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Yi/Downloads/"/>
    </mc:Choice>
  </mc:AlternateContent>
  <xr:revisionPtr revIDLastSave="0" documentId="13_ncr:1_{F0B2DDB2-A6D1-494C-9818-0A281D537B46}" xr6:coauthVersionLast="47" xr6:coauthVersionMax="47" xr10:uidLastSave="{00000000-0000-0000-0000-000000000000}"/>
  <bookViews>
    <workbookView xWindow="0" yWindow="500" windowWidth="28800" windowHeight="15760" activeTab="1" xr2:uid="{00000000-000D-0000-FFFF-FFFF00000000}"/>
  </bookViews>
  <sheets>
    <sheet name="PL-FL-G40-B25" sheetId="1" r:id="rId1"/>
    <sheet name="PL-FL-S14-B25" sheetId="2" r:id="rId2"/>
  </sheets>
  <calcPr calcId="191029"/>
</workbook>
</file>

<file path=xl/calcChain.xml><?xml version="1.0" encoding="utf-8"?>
<calcChain xmlns="http://schemas.openxmlformats.org/spreadsheetml/2006/main">
  <c r="R32" i="2" l="1"/>
  <c r="R32" i="1"/>
  <c r="AB32" i="2"/>
  <c r="AD32" i="2" s="1"/>
  <c r="J32" i="2" s="1"/>
  <c r="Y32" i="2"/>
  <c r="X32" i="2"/>
  <c r="V32" i="2"/>
  <c r="U32" i="2"/>
  <c r="T32" i="2"/>
  <c r="P32" i="2"/>
  <c r="O32" i="2"/>
  <c r="Q32" i="2" s="1"/>
  <c r="M32" i="2"/>
  <c r="H32" i="2"/>
  <c r="C32" i="2"/>
  <c r="AD31" i="2"/>
  <c r="J31" i="2" s="1"/>
  <c r="AB31" i="2"/>
  <c r="Y31" i="2"/>
  <c r="X31" i="2"/>
  <c r="P31" i="2"/>
  <c r="O31" i="2"/>
  <c r="Q31" i="2" s="1"/>
  <c r="M31" i="2"/>
  <c r="H31" i="2"/>
  <c r="C31" i="2"/>
  <c r="AB30" i="2"/>
  <c r="AD30" i="2" s="1"/>
  <c r="J30" i="2" s="1"/>
  <c r="Y30" i="2"/>
  <c r="X30" i="2"/>
  <c r="P30" i="2"/>
  <c r="O30" i="2"/>
  <c r="Q30" i="2" s="1"/>
  <c r="M30" i="2"/>
  <c r="H30" i="2"/>
  <c r="C30" i="2"/>
  <c r="AB29" i="2"/>
  <c r="AD29" i="2" s="1"/>
  <c r="J29" i="2" s="1"/>
  <c r="Y29" i="2"/>
  <c r="X29" i="2"/>
  <c r="Q29" i="2"/>
  <c r="P29" i="2"/>
  <c r="O29" i="2"/>
  <c r="M29" i="2"/>
  <c r="H29" i="2"/>
  <c r="C29" i="2"/>
  <c r="AB28" i="2"/>
  <c r="AD28" i="2" s="1"/>
  <c r="J28" i="2" s="1"/>
  <c r="Y28" i="2"/>
  <c r="X28" i="2"/>
  <c r="V28" i="2"/>
  <c r="U28" i="2"/>
  <c r="T28" i="2"/>
  <c r="Q28" i="2"/>
  <c r="P28" i="2"/>
  <c r="O28" i="2"/>
  <c r="M28" i="2"/>
  <c r="H28" i="2"/>
  <c r="C28" i="2"/>
  <c r="AB27" i="2"/>
  <c r="AD27" i="2" s="1"/>
  <c r="J27" i="2" s="1"/>
  <c r="Y27" i="2"/>
  <c r="X27" i="2"/>
  <c r="P27" i="2"/>
  <c r="O27" i="2"/>
  <c r="Q27" i="2" s="1"/>
  <c r="M27" i="2"/>
  <c r="H27" i="2"/>
  <c r="C27" i="2"/>
  <c r="AB26" i="2"/>
  <c r="AD26" i="2" s="1"/>
  <c r="J26" i="2" s="1"/>
  <c r="Y26" i="2"/>
  <c r="X26" i="2"/>
  <c r="P26" i="2"/>
  <c r="O26" i="2"/>
  <c r="M26" i="2"/>
  <c r="H26" i="2"/>
  <c r="C26" i="2"/>
  <c r="AB25" i="2"/>
  <c r="AD25" i="2" s="1"/>
  <c r="J25" i="2" s="1"/>
  <c r="Y25" i="2"/>
  <c r="X25" i="2"/>
  <c r="P25" i="2"/>
  <c r="Q25" i="2" s="1"/>
  <c r="O25" i="2"/>
  <c r="M25" i="2"/>
  <c r="H25" i="2"/>
  <c r="C25" i="2"/>
  <c r="AD24" i="2"/>
  <c r="J24" i="2" s="1"/>
  <c r="AB24" i="2"/>
  <c r="Y24" i="2"/>
  <c r="X24" i="2"/>
  <c r="P24" i="2"/>
  <c r="O24" i="2"/>
  <c r="Q24" i="2" s="1"/>
  <c r="M24" i="2"/>
  <c r="H24" i="2"/>
  <c r="C24" i="2"/>
  <c r="AB23" i="2"/>
  <c r="AD23" i="2" s="1"/>
  <c r="J23" i="2" s="1"/>
  <c r="Y23" i="2"/>
  <c r="X23" i="2"/>
  <c r="P23" i="2"/>
  <c r="O23" i="2"/>
  <c r="Q23" i="2" s="1"/>
  <c r="M23" i="2"/>
  <c r="H23" i="2"/>
  <c r="C23" i="2"/>
  <c r="AB22" i="2"/>
  <c r="AD22" i="2" s="1"/>
  <c r="J22" i="2" s="1"/>
  <c r="Y22" i="2"/>
  <c r="X22" i="2"/>
  <c r="P22" i="2"/>
  <c r="O22" i="2"/>
  <c r="Q22" i="2" s="1"/>
  <c r="M22" i="2"/>
  <c r="H22" i="2"/>
  <c r="C22" i="2"/>
  <c r="AB21" i="2"/>
  <c r="AD21" i="2" s="1"/>
  <c r="J21" i="2" s="1"/>
  <c r="Y21" i="2"/>
  <c r="X21" i="2"/>
  <c r="P21" i="2"/>
  <c r="O21" i="2"/>
  <c r="Q21" i="2" s="1"/>
  <c r="M21" i="2"/>
  <c r="H21" i="2"/>
  <c r="C21" i="2"/>
  <c r="AB20" i="2"/>
  <c r="AD20" i="2" s="1"/>
  <c r="J20" i="2" s="1"/>
  <c r="Y20" i="2"/>
  <c r="X20" i="2"/>
  <c r="P20" i="2"/>
  <c r="O20" i="2"/>
  <c r="Q20" i="2" s="1"/>
  <c r="M20" i="2"/>
  <c r="H20" i="2"/>
  <c r="C20" i="2"/>
  <c r="AB19" i="2"/>
  <c r="AD19" i="2" s="1"/>
  <c r="J19" i="2" s="1"/>
  <c r="Y19" i="2"/>
  <c r="X19" i="2"/>
  <c r="P19" i="2"/>
  <c r="O19" i="2"/>
  <c r="M19" i="2"/>
  <c r="H19" i="2"/>
  <c r="C19" i="2"/>
  <c r="AB18" i="2"/>
  <c r="AD18" i="2" s="1"/>
  <c r="J18" i="2" s="1"/>
  <c r="Y18" i="2"/>
  <c r="X18" i="2"/>
  <c r="P18" i="2"/>
  <c r="O18" i="2"/>
  <c r="M18" i="2"/>
  <c r="H18" i="2"/>
  <c r="C18" i="2"/>
  <c r="AD17" i="2"/>
  <c r="J17" i="2" s="1"/>
  <c r="AB17" i="2"/>
  <c r="Y17" i="2"/>
  <c r="X17" i="2"/>
  <c r="P17" i="2"/>
  <c r="O17" i="2"/>
  <c r="M17" i="2"/>
  <c r="H17" i="2"/>
  <c r="C17" i="2"/>
  <c r="AB16" i="2"/>
  <c r="AD16" i="2" s="1"/>
  <c r="J16" i="2" s="1"/>
  <c r="Y16" i="2"/>
  <c r="X16" i="2"/>
  <c r="P16" i="2"/>
  <c r="O16" i="2"/>
  <c r="Q16" i="2" s="1"/>
  <c r="M16" i="2"/>
  <c r="H16" i="2"/>
  <c r="C16" i="2"/>
  <c r="AB15" i="2"/>
  <c r="AD15" i="2" s="1"/>
  <c r="J15" i="2" s="1"/>
  <c r="Y15" i="2"/>
  <c r="X15" i="2"/>
  <c r="P15" i="2"/>
  <c r="O15" i="2"/>
  <c r="Q15" i="2" s="1"/>
  <c r="M15" i="2"/>
  <c r="H15" i="2"/>
  <c r="C15" i="2"/>
  <c r="AB14" i="2"/>
  <c r="AD14" i="2" s="1"/>
  <c r="J14" i="2" s="1"/>
  <c r="Y14" i="2"/>
  <c r="X14" i="2"/>
  <c r="P14" i="2"/>
  <c r="O14" i="2"/>
  <c r="Q14" i="2" s="1"/>
  <c r="M14" i="2"/>
  <c r="H14" i="2"/>
  <c r="C14" i="2"/>
  <c r="AB13" i="2"/>
  <c r="AD13" i="2" s="1"/>
  <c r="J13" i="2" s="1"/>
  <c r="Y13" i="2"/>
  <c r="X13" i="2"/>
  <c r="P13" i="2"/>
  <c r="O13" i="2"/>
  <c r="Q13" i="2" s="1"/>
  <c r="M13" i="2"/>
  <c r="H13" i="2"/>
  <c r="C13" i="2"/>
  <c r="AB12" i="2"/>
  <c r="AD12" i="2" s="1"/>
  <c r="J12" i="2" s="1"/>
  <c r="Y12" i="2"/>
  <c r="X12" i="2"/>
  <c r="Q12" i="2"/>
  <c r="P12" i="2"/>
  <c r="O12" i="2"/>
  <c r="M12" i="2"/>
  <c r="H12" i="2"/>
  <c r="C12" i="2"/>
  <c r="AB11" i="2"/>
  <c r="AD11" i="2" s="1"/>
  <c r="J11" i="2" s="1"/>
  <c r="Y11" i="2"/>
  <c r="X11" i="2"/>
  <c r="P11" i="2"/>
  <c r="O11" i="2"/>
  <c r="M11" i="2"/>
  <c r="H11" i="2"/>
  <c r="C11" i="2"/>
  <c r="AB10" i="2"/>
  <c r="AD10" i="2" s="1"/>
  <c r="J10" i="2" s="1"/>
  <c r="Y10" i="2"/>
  <c r="X10" i="2"/>
  <c r="P10" i="2"/>
  <c r="O10" i="2"/>
  <c r="M10" i="2"/>
  <c r="H10" i="2"/>
  <c r="C10" i="2"/>
  <c r="AB9" i="2"/>
  <c r="AD9" i="2" s="1"/>
  <c r="J9" i="2" s="1"/>
  <c r="Y9" i="2"/>
  <c r="X9" i="2"/>
  <c r="P9" i="2"/>
  <c r="Q9" i="2" s="1"/>
  <c r="O9" i="2"/>
  <c r="M9" i="2"/>
  <c r="H9" i="2"/>
  <c r="C9" i="2"/>
  <c r="AB8" i="2"/>
  <c r="AD8" i="2" s="1"/>
  <c r="J8" i="2" s="1"/>
  <c r="Y8" i="2"/>
  <c r="X8" i="2"/>
  <c r="P8" i="2"/>
  <c r="O8" i="2"/>
  <c r="Q8" i="2" s="1"/>
  <c r="M8" i="2"/>
  <c r="H8" i="2"/>
  <c r="C8" i="2"/>
  <c r="AB7" i="2"/>
  <c r="AD7" i="2" s="1"/>
  <c r="J7" i="2" s="1"/>
  <c r="Y7" i="2"/>
  <c r="X7" i="2"/>
  <c r="P7" i="2"/>
  <c r="O7" i="2"/>
  <c r="Q7" i="2" s="1"/>
  <c r="M7" i="2"/>
  <c r="H7" i="2"/>
  <c r="C7" i="2"/>
  <c r="AB6" i="2"/>
  <c r="AD6" i="2" s="1"/>
  <c r="J6" i="2" s="1"/>
  <c r="Y6" i="2"/>
  <c r="X6" i="2"/>
  <c r="P6" i="2"/>
  <c r="O6" i="2"/>
  <c r="Q6" i="2" s="1"/>
  <c r="M6" i="2"/>
  <c r="H6" i="2"/>
  <c r="C6" i="2"/>
  <c r="AB5" i="2"/>
  <c r="AD5" i="2" s="1"/>
  <c r="J5" i="2" s="1"/>
  <c r="Y5" i="2"/>
  <c r="X5" i="2"/>
  <c r="P5" i="2"/>
  <c r="O5" i="2"/>
  <c r="Q5" i="2" s="1"/>
  <c r="M5" i="2"/>
  <c r="H5" i="2"/>
  <c r="C5" i="2"/>
  <c r="AB4" i="2"/>
  <c r="AD4" i="2" s="1"/>
  <c r="Y4" i="2"/>
  <c r="X4" i="2"/>
  <c r="P4" i="2"/>
  <c r="Q4" i="2" s="1"/>
  <c r="O4" i="2"/>
  <c r="M4" i="2"/>
  <c r="H4" i="2"/>
  <c r="C4" i="2"/>
  <c r="AG3" i="2"/>
  <c r="AF3" i="2"/>
  <c r="W3" i="2"/>
  <c r="V3" i="2"/>
  <c r="U3" i="2"/>
  <c r="T3" i="2"/>
  <c r="O3" i="2"/>
  <c r="G3" i="2"/>
  <c r="F3" i="2"/>
  <c r="D3" i="2"/>
  <c r="C3" i="2"/>
  <c r="A2" i="2"/>
  <c r="A1" i="2"/>
  <c r="AB32" i="1"/>
  <c r="AD32" i="1" s="1"/>
  <c r="J32" i="1" s="1"/>
  <c r="Y32" i="1"/>
  <c r="X32" i="1"/>
  <c r="V32" i="1"/>
  <c r="U32" i="1"/>
  <c r="T32" i="1"/>
  <c r="P32" i="1"/>
  <c r="O32" i="1"/>
  <c r="M32" i="1"/>
  <c r="H32" i="1"/>
  <c r="C32" i="1"/>
  <c r="AB31" i="1"/>
  <c r="AD31" i="1" s="1"/>
  <c r="J31" i="1" s="1"/>
  <c r="Y31" i="1"/>
  <c r="X31" i="1"/>
  <c r="P31" i="1"/>
  <c r="O31" i="1"/>
  <c r="M31" i="1"/>
  <c r="H31" i="1"/>
  <c r="C31" i="1"/>
  <c r="AB30" i="1"/>
  <c r="AD30" i="1" s="1"/>
  <c r="J30" i="1" s="1"/>
  <c r="Y30" i="1"/>
  <c r="X30" i="1"/>
  <c r="P30" i="1"/>
  <c r="O30" i="1"/>
  <c r="M30" i="1"/>
  <c r="H30" i="1"/>
  <c r="C30" i="1"/>
  <c r="AB29" i="1"/>
  <c r="AD29" i="1" s="1"/>
  <c r="J29" i="1" s="1"/>
  <c r="Y29" i="1"/>
  <c r="X29" i="1"/>
  <c r="Q29" i="1"/>
  <c r="P29" i="1"/>
  <c r="O29" i="1"/>
  <c r="M29" i="1"/>
  <c r="H29" i="1"/>
  <c r="C29" i="1"/>
  <c r="AB28" i="1"/>
  <c r="AD28" i="1" s="1"/>
  <c r="J28" i="1" s="1"/>
  <c r="Y28" i="1"/>
  <c r="X28" i="1"/>
  <c r="V28" i="1"/>
  <c r="U28" i="1"/>
  <c r="T28" i="1"/>
  <c r="P28" i="1"/>
  <c r="O28" i="1"/>
  <c r="Q28" i="1" s="1"/>
  <c r="M28" i="1"/>
  <c r="H28" i="1"/>
  <c r="C28" i="1"/>
  <c r="AB27" i="1"/>
  <c r="AD27" i="1" s="1"/>
  <c r="J27" i="1" s="1"/>
  <c r="Y27" i="1"/>
  <c r="X27" i="1"/>
  <c r="Q27" i="1"/>
  <c r="P27" i="1"/>
  <c r="O27" i="1"/>
  <c r="M27" i="1"/>
  <c r="H27" i="1"/>
  <c r="C27" i="1"/>
  <c r="AB26" i="1"/>
  <c r="AD26" i="1" s="1"/>
  <c r="J26" i="1" s="1"/>
  <c r="Y26" i="1"/>
  <c r="X26" i="1"/>
  <c r="P26" i="1"/>
  <c r="O26" i="1"/>
  <c r="M26" i="1"/>
  <c r="H26" i="1"/>
  <c r="C26" i="1"/>
  <c r="AB25" i="1"/>
  <c r="AD25" i="1" s="1"/>
  <c r="J25" i="1" s="1"/>
  <c r="Y25" i="1"/>
  <c r="X25" i="1"/>
  <c r="P25" i="1"/>
  <c r="Q25" i="1" s="1"/>
  <c r="O25" i="1"/>
  <c r="M25" i="1"/>
  <c r="H25" i="1"/>
  <c r="C25" i="1"/>
  <c r="AD24" i="1"/>
  <c r="J24" i="1" s="1"/>
  <c r="AB24" i="1"/>
  <c r="Y24" i="1"/>
  <c r="X24" i="1"/>
  <c r="P24" i="1"/>
  <c r="Q24" i="1" s="1"/>
  <c r="O24" i="1"/>
  <c r="M24" i="1"/>
  <c r="H24" i="1"/>
  <c r="C24" i="1"/>
  <c r="AB23" i="1"/>
  <c r="AD23" i="1" s="1"/>
  <c r="J23" i="1" s="1"/>
  <c r="Y23" i="1"/>
  <c r="X23" i="1"/>
  <c r="P23" i="1"/>
  <c r="O23" i="1"/>
  <c r="M23" i="1"/>
  <c r="H23" i="1"/>
  <c r="C23" i="1"/>
  <c r="AB22" i="1"/>
  <c r="AD22" i="1" s="1"/>
  <c r="J22" i="1" s="1"/>
  <c r="Y22" i="1"/>
  <c r="X22" i="1"/>
  <c r="P22" i="1"/>
  <c r="O22" i="1"/>
  <c r="M22" i="1"/>
  <c r="H22" i="1"/>
  <c r="C22" i="1"/>
  <c r="AB21" i="1"/>
  <c r="AD21" i="1" s="1"/>
  <c r="J21" i="1" s="1"/>
  <c r="Y21" i="1"/>
  <c r="X21" i="1"/>
  <c r="P21" i="1"/>
  <c r="O21" i="1"/>
  <c r="M21" i="1"/>
  <c r="H21" i="1"/>
  <c r="C21" i="1"/>
  <c r="AB20" i="1"/>
  <c r="AD20" i="1" s="1"/>
  <c r="J20" i="1" s="1"/>
  <c r="Y20" i="1"/>
  <c r="X20" i="1"/>
  <c r="Q20" i="1"/>
  <c r="P20" i="1"/>
  <c r="O20" i="1"/>
  <c r="M20" i="1"/>
  <c r="H20" i="1"/>
  <c r="C20" i="1"/>
  <c r="AB19" i="1"/>
  <c r="AD19" i="1" s="1"/>
  <c r="J19" i="1" s="1"/>
  <c r="Y19" i="1"/>
  <c r="X19" i="1"/>
  <c r="P19" i="1"/>
  <c r="O19" i="1"/>
  <c r="Q19" i="1" s="1"/>
  <c r="M19" i="1"/>
  <c r="H19" i="1"/>
  <c r="C19" i="1"/>
  <c r="AB18" i="1"/>
  <c r="AD18" i="1" s="1"/>
  <c r="J18" i="1" s="1"/>
  <c r="Y18" i="1"/>
  <c r="X18" i="1"/>
  <c r="P18" i="1"/>
  <c r="O18" i="1"/>
  <c r="Q18" i="1" s="1"/>
  <c r="M18" i="1"/>
  <c r="H18" i="1"/>
  <c r="C18" i="1"/>
  <c r="AB17" i="1"/>
  <c r="AD17" i="1" s="1"/>
  <c r="J17" i="1" s="1"/>
  <c r="Y17" i="1"/>
  <c r="X17" i="1"/>
  <c r="P17" i="1"/>
  <c r="O17" i="1"/>
  <c r="M17" i="1"/>
  <c r="H17" i="1"/>
  <c r="C17" i="1"/>
  <c r="AD16" i="1"/>
  <c r="J16" i="1" s="1"/>
  <c r="AB16" i="1"/>
  <c r="Y16" i="1"/>
  <c r="X16" i="1"/>
  <c r="P16" i="1"/>
  <c r="Q16" i="1" s="1"/>
  <c r="O16" i="1"/>
  <c r="M16" i="1"/>
  <c r="H16" i="1"/>
  <c r="C16" i="1"/>
  <c r="AD15" i="1"/>
  <c r="J15" i="1" s="1"/>
  <c r="AB15" i="1"/>
  <c r="Y15" i="1"/>
  <c r="X15" i="1"/>
  <c r="P15" i="1"/>
  <c r="O15" i="1"/>
  <c r="Q15" i="1" s="1"/>
  <c r="M15" i="1"/>
  <c r="H15" i="1"/>
  <c r="C15" i="1"/>
  <c r="AB14" i="1"/>
  <c r="AD14" i="1" s="1"/>
  <c r="J14" i="1" s="1"/>
  <c r="Y14" i="1"/>
  <c r="X14" i="1"/>
  <c r="P14" i="1"/>
  <c r="O14" i="1"/>
  <c r="Q14" i="1" s="1"/>
  <c r="M14" i="1"/>
  <c r="H14" i="1"/>
  <c r="C14" i="1"/>
  <c r="AB13" i="1"/>
  <c r="AD13" i="1" s="1"/>
  <c r="J13" i="1" s="1"/>
  <c r="Y13" i="1"/>
  <c r="X13" i="1"/>
  <c r="P13" i="1"/>
  <c r="O13" i="1"/>
  <c r="Q13" i="1" s="1"/>
  <c r="M13" i="1"/>
  <c r="H13" i="1"/>
  <c r="C13" i="1"/>
  <c r="AB12" i="1"/>
  <c r="AD12" i="1" s="1"/>
  <c r="J12" i="1" s="1"/>
  <c r="Y12" i="1"/>
  <c r="X12" i="1"/>
  <c r="P12" i="1"/>
  <c r="O12" i="1"/>
  <c r="Q12" i="1" s="1"/>
  <c r="M12" i="1"/>
  <c r="H12" i="1"/>
  <c r="C12" i="1"/>
  <c r="AB11" i="1"/>
  <c r="AD11" i="1" s="1"/>
  <c r="J11" i="1" s="1"/>
  <c r="Y11" i="1"/>
  <c r="X11" i="1"/>
  <c r="P11" i="1"/>
  <c r="O11" i="1"/>
  <c r="Q11" i="1" s="1"/>
  <c r="M11" i="1"/>
  <c r="H11" i="1"/>
  <c r="C11" i="1"/>
  <c r="AB10" i="1"/>
  <c r="AD10" i="1" s="1"/>
  <c r="J10" i="1" s="1"/>
  <c r="Y10" i="1"/>
  <c r="X10" i="1"/>
  <c r="P10" i="1"/>
  <c r="O10" i="1"/>
  <c r="Q10" i="1" s="1"/>
  <c r="M10" i="1"/>
  <c r="H10" i="1"/>
  <c r="C10" i="1"/>
  <c r="AB9" i="1"/>
  <c r="AD9" i="1" s="1"/>
  <c r="J9" i="1" s="1"/>
  <c r="Y9" i="1"/>
  <c r="X9" i="1"/>
  <c r="P9" i="1"/>
  <c r="O9" i="1"/>
  <c r="M9" i="1"/>
  <c r="H9" i="1"/>
  <c r="C9" i="1"/>
  <c r="AD8" i="1"/>
  <c r="J8" i="1" s="1"/>
  <c r="AB8" i="1"/>
  <c r="Y8" i="1"/>
  <c r="X8" i="1"/>
  <c r="P8" i="1"/>
  <c r="Q8" i="1" s="1"/>
  <c r="O8" i="1"/>
  <c r="M8" i="1"/>
  <c r="H8" i="1"/>
  <c r="C8" i="1"/>
  <c r="AB7" i="1"/>
  <c r="AD7" i="1" s="1"/>
  <c r="J7" i="1" s="1"/>
  <c r="Y7" i="1"/>
  <c r="X7" i="1"/>
  <c r="P7" i="1"/>
  <c r="O7" i="1"/>
  <c r="M7" i="1"/>
  <c r="H7" i="1"/>
  <c r="C7" i="1"/>
  <c r="AB6" i="1"/>
  <c r="AD6" i="1" s="1"/>
  <c r="J6" i="1" s="1"/>
  <c r="Y6" i="1"/>
  <c r="X6" i="1"/>
  <c r="P6" i="1"/>
  <c r="O6" i="1"/>
  <c r="M6" i="1"/>
  <c r="H6" i="1"/>
  <c r="C6" i="1"/>
  <c r="AB5" i="1"/>
  <c r="AD5" i="1" s="1"/>
  <c r="J5" i="1" s="1"/>
  <c r="Y5" i="1"/>
  <c r="X5" i="1"/>
  <c r="P5" i="1"/>
  <c r="O5" i="1"/>
  <c r="M5" i="1"/>
  <c r="H5" i="1"/>
  <c r="C5" i="1"/>
  <c r="AB4" i="1"/>
  <c r="AD4" i="1" s="1"/>
  <c r="Y4" i="1"/>
  <c r="X4" i="1"/>
  <c r="Q4" i="1"/>
  <c r="P4" i="1"/>
  <c r="O4" i="1"/>
  <c r="M4" i="1"/>
  <c r="H4" i="1"/>
  <c r="C4" i="1"/>
  <c r="AG3" i="1"/>
  <c r="AF3" i="1"/>
  <c r="W3" i="1"/>
  <c r="V3" i="1"/>
  <c r="U3" i="1"/>
  <c r="T3" i="1"/>
  <c r="O3" i="1"/>
  <c r="G3" i="1"/>
  <c r="H3" i="1" s="1"/>
  <c r="F3" i="1"/>
  <c r="D3" i="1"/>
  <c r="C3" i="1"/>
  <c r="A2" i="1"/>
  <c r="A1" i="1"/>
  <c r="Q26" i="1" l="1"/>
  <c r="X3" i="2"/>
  <c r="Q9" i="1"/>
  <c r="Q10" i="2"/>
  <c r="Q11" i="2"/>
  <c r="Q26" i="2"/>
  <c r="H3" i="2"/>
  <c r="Q17" i="1"/>
  <c r="Q5" i="1"/>
  <c r="Q6" i="1"/>
  <c r="Q7" i="1"/>
  <c r="Q21" i="1"/>
  <c r="Q22" i="1"/>
  <c r="Q23" i="1"/>
  <c r="Q30" i="1"/>
  <c r="Q31" i="1"/>
  <c r="Q32" i="1"/>
  <c r="Q17" i="2"/>
  <c r="Q18" i="2"/>
  <c r="Q19" i="2"/>
  <c r="X3" i="1"/>
  <c r="K30" i="1"/>
  <c r="I30" i="1"/>
  <c r="I18" i="2"/>
  <c r="K18" i="2"/>
  <c r="I25" i="1"/>
  <c r="K25" i="1"/>
  <c r="K26" i="1"/>
  <c r="I26" i="1"/>
  <c r="AD3" i="2"/>
  <c r="J4" i="2"/>
  <c r="K20" i="2"/>
  <c r="I20" i="2"/>
  <c r="I21" i="2"/>
  <c r="K21" i="2"/>
  <c r="K22" i="2"/>
  <c r="I22" i="2"/>
  <c r="K23" i="2"/>
  <c r="I23" i="2"/>
  <c r="I30" i="2"/>
  <c r="K30" i="2"/>
  <c r="I6" i="1"/>
  <c r="K6" i="1"/>
  <c r="I29" i="1"/>
  <c r="K29" i="1"/>
  <c r="K29" i="2"/>
  <c r="I29" i="2"/>
  <c r="I7" i="2"/>
  <c r="K7" i="2"/>
  <c r="I24" i="2"/>
  <c r="K24" i="2"/>
  <c r="K31" i="2"/>
  <c r="I31" i="2"/>
  <c r="K5" i="1"/>
  <c r="I5" i="1"/>
  <c r="I22" i="1"/>
  <c r="K22" i="1"/>
  <c r="I23" i="1"/>
  <c r="K23" i="1"/>
  <c r="K17" i="2"/>
  <c r="I17" i="2"/>
  <c r="I11" i="1"/>
  <c r="K11" i="1"/>
  <c r="K6" i="2"/>
  <c r="I6" i="2"/>
  <c r="K13" i="1"/>
  <c r="I13" i="1"/>
  <c r="I32" i="1"/>
  <c r="K32" i="1"/>
  <c r="I8" i="2"/>
  <c r="K8" i="2"/>
  <c r="K25" i="2"/>
  <c r="I25" i="2"/>
  <c r="I26" i="2"/>
  <c r="K26" i="2"/>
  <c r="K27" i="2"/>
  <c r="I27" i="2"/>
  <c r="K21" i="1"/>
  <c r="I21" i="1"/>
  <c r="K10" i="1"/>
  <c r="I10" i="1"/>
  <c r="I12" i="1"/>
  <c r="K12" i="1"/>
  <c r="I14" i="1"/>
  <c r="K14" i="1"/>
  <c r="I15" i="1"/>
  <c r="K15" i="1"/>
  <c r="K9" i="2"/>
  <c r="I9" i="2"/>
  <c r="I10" i="2"/>
  <c r="K10" i="2"/>
  <c r="K11" i="2"/>
  <c r="I11" i="2"/>
  <c r="AD3" i="1"/>
  <c r="J4" i="1"/>
  <c r="K31" i="1"/>
  <c r="I31" i="1"/>
  <c r="I16" i="2"/>
  <c r="K16" i="2"/>
  <c r="K9" i="1"/>
  <c r="I9" i="1"/>
  <c r="K24" i="1"/>
  <c r="I24" i="1"/>
  <c r="I5" i="2"/>
  <c r="K5" i="2"/>
  <c r="I17" i="1"/>
  <c r="K17" i="1"/>
  <c r="K18" i="1"/>
  <c r="I18" i="1"/>
  <c r="K12" i="2"/>
  <c r="I12" i="2"/>
  <c r="I20" i="1"/>
  <c r="K20" i="1"/>
  <c r="K28" i="2"/>
  <c r="I28" i="2"/>
  <c r="I7" i="1"/>
  <c r="K7" i="1"/>
  <c r="K19" i="2"/>
  <c r="I19" i="2"/>
  <c r="K8" i="1"/>
  <c r="I8" i="1"/>
  <c r="I27" i="1"/>
  <c r="K27" i="1"/>
  <c r="K16" i="1"/>
  <c r="I16" i="1"/>
  <c r="K19" i="1"/>
  <c r="I19" i="1"/>
  <c r="I28" i="1"/>
  <c r="K28" i="1"/>
  <c r="I13" i="2"/>
  <c r="K13" i="2"/>
  <c r="K14" i="2"/>
  <c r="I14" i="2"/>
  <c r="I15" i="2"/>
  <c r="K15" i="2"/>
  <c r="K32" i="2"/>
  <c r="I32" i="2"/>
  <c r="J3" i="2" l="1"/>
  <c r="K4" i="2"/>
  <c r="I4" i="2"/>
  <c r="I4" i="1"/>
  <c r="K4" i="1"/>
  <c r="J3" i="1"/>
  <c r="K3" i="1" l="1"/>
  <c r="I3" i="1"/>
  <c r="K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sharedStrings.xml><?xml version="1.0" encoding="utf-8"?>
<sst xmlns="http://schemas.openxmlformats.org/spreadsheetml/2006/main" count="327" uniqueCount="119">
  <si>
    <t>Price</t>
  </si>
  <si>
    <t>AMZ
Sales</t>
  </si>
  <si>
    <t>Non-AMZ 
Sales</t>
  </si>
  <si>
    <t>Revenue</t>
  </si>
  <si>
    <t>PPC Spend</t>
  </si>
  <si>
    <t>% 
Ad Spend</t>
  </si>
  <si>
    <t>Margin
(Incl. Storage)</t>
  </si>
  <si>
    <t>Net Profit 
(Incl. Storage)</t>
  </si>
  <si>
    <t>Profit / 
Piece</t>
  </si>
  <si>
    <t>Sessions</t>
  </si>
  <si>
    <t>Conversion
Rate</t>
  </si>
  <si>
    <t>QTY</t>
  </si>
  <si>
    <t>AMZ
7D Velocity</t>
  </si>
  <si>
    <t>Non-AMZ
7D Velocity</t>
  </si>
  <si>
    <t>DOH</t>
  </si>
  <si>
    <t>DOH of Comp Inv</t>
  </si>
  <si>
    <t>Sell
Through</t>
  </si>
  <si>
    <t>In 
Transit</t>
  </si>
  <si>
    <t>Arrival Date</t>
  </si>
  <si>
    <t xml:space="preserve">PPC
Sales </t>
  </si>
  <si>
    <t>% PPC Sales</t>
  </si>
  <si>
    <t>Cost per PPC Sale</t>
  </si>
  <si>
    <t>PPC Sales 
(Other SKUs)</t>
  </si>
  <si>
    <t>Size Tier</t>
  </si>
  <si>
    <t>Storage Per 
Cubic Ft.</t>
  </si>
  <si>
    <t xml:space="preserve">Volume </t>
  </si>
  <si>
    <t>Storage
Cost</t>
  </si>
  <si>
    <t>FBA 
Fee</t>
  </si>
  <si>
    <t>Blended 
Landed Cost</t>
  </si>
  <si>
    <t>Coupons</t>
  </si>
  <si>
    <t>PL-FL-G40-B25</t>
  </si>
  <si>
    <t>Totals</t>
  </si>
  <si>
    <t>12/28 to 1/3</t>
  </si>
  <si>
    <t>schedule the price $14.99, target 3</t>
  </si>
  <si>
    <t/>
  </si>
  <si>
    <t>UsLargeStandardSize</t>
  </si>
  <si>
    <t>1/4 to 1/10</t>
  </si>
  <si>
    <t>min $12.99, 10% off coupon</t>
  </si>
  <si>
    <t>1/11 to 1/17</t>
  </si>
  <si>
    <t>ppeak is not working, price it $12.99</t>
  </si>
  <si>
    <t xml:space="preserve">:  -  :  -  :  -  :  -  :  -  :  -  :  -  :  -  :  -  :  - :  -  :  -  :  -  :  -  :  -  :  -  :  -  :  -  :  - </t>
  </si>
  <si>
    <t>1/18 to 1/24</t>
  </si>
  <si>
    <t>$3 ppc</t>
  </si>
  <si>
    <t>1/25 to 1/31</t>
  </si>
  <si>
    <t>turn off the ppc, ppeak $14.99</t>
  </si>
  <si>
    <t>2/1 to 2/7</t>
  </si>
  <si>
    <t>min $13.59, target 3</t>
  </si>
  <si>
    <t>2/8 to 2/14</t>
  </si>
  <si>
    <t>PPEAK $12.99-25.99</t>
  </si>
  <si>
    <t>2/15 to 2/21</t>
  </si>
  <si>
    <t>turned on some ppc</t>
  </si>
  <si>
    <t>2/22 to 2/28</t>
  </si>
  <si>
    <t>opt ppc</t>
  </si>
  <si>
    <t>3/1 to 3/7</t>
  </si>
  <si>
    <t>opt ppc, trimmed back, PPEAK $16.99-25.99</t>
  </si>
  <si>
    <t>3/8 to 3/14</t>
  </si>
  <si>
    <t>PPC off</t>
  </si>
  <si>
    <t>3/15 to 3/21</t>
  </si>
  <si>
    <t>PPEKA $15.99-20.99</t>
  </si>
  <si>
    <t>3/22 to 3/28</t>
  </si>
  <si>
    <t>about 45 days our per zach. strong margin, solid conversion, DOH low, PPEAK $20.99-28.99</t>
  </si>
  <si>
    <t>3/29 to 4/4</t>
  </si>
  <si>
    <t xml:space="preserve">maintaining </t>
  </si>
  <si>
    <t>4/5 to 4/11</t>
  </si>
  <si>
    <t>4/12 to 4/18</t>
  </si>
  <si>
    <t>4/19 to 4/25</t>
  </si>
  <si>
    <t>one month to restock. PPEAK $18.99-24.99</t>
  </si>
  <si>
    <t>AGL203: 570 - 06/01/21</t>
  </si>
  <si>
    <t>4/26 to 5/2</t>
  </si>
  <si>
    <t>28 days to arrival, but only 39 left- dropped minimum $2 to $16.99-24.99</t>
  </si>
  <si>
    <t>AGL 203: 570 - 06/01/21</t>
  </si>
  <si>
    <t>5/3 to 5/9</t>
  </si>
  <si>
    <t>Coming in June, set to sell out with restock</t>
  </si>
  <si>
    <t>AGL 203: 440 - 06/01/21</t>
  </si>
  <si>
    <t>5/10 to 5/16</t>
  </si>
  <si>
    <t>PPEAK $13.99-16.99 to speed up sell through</t>
  </si>
  <si>
    <t>AGL 203: 440 - 05/20/21</t>
  </si>
  <si>
    <t>5/17 to 5/23</t>
  </si>
  <si>
    <t>shipment delayed 25 days. ETA now June 15th, awaiting updates</t>
  </si>
  <si>
    <t>AGL203: 440 - 06/25/21</t>
  </si>
  <si>
    <t>5/24 to 5/30</t>
  </si>
  <si>
    <t>5/31 to 6/6</t>
  </si>
  <si>
    <t>out no more for a few weeks</t>
  </si>
  <si>
    <t>6/7 to 6/13</t>
  </si>
  <si>
    <t xml:space="preserve">been in stock a couple of days and already above 2/day! turning on a little ppc </t>
  </si>
  <si>
    <t>6/14 to 6/20</t>
  </si>
  <si>
    <t>PPC helping to relaunch, PPEAK $13.99-15.99 and coupon added</t>
  </si>
  <si>
    <t>6/21 to 6/27</t>
  </si>
  <si>
    <t>6/28 to 7/4</t>
  </si>
  <si>
    <t>created isolated converter prod targ campaign</t>
  </si>
  <si>
    <t>7/5 to 7/11</t>
  </si>
  <si>
    <t>Upped bid to spend, adding coupon, PPEAk $10.99-12.99</t>
  </si>
  <si>
    <t>No Transit, But 130 At Factory 50-75 days from Earliest Arrival</t>
  </si>
  <si>
    <t>7/12 to 7/18</t>
  </si>
  <si>
    <t>PPEAK $10.99-12.99, running coupon</t>
  </si>
  <si>
    <t>PL-FL-S14-B25</t>
  </si>
  <si>
    <t>schedule the price $19.59</t>
  </si>
  <si>
    <t>ppeak is working now, maintain</t>
  </si>
  <si>
    <t>maintain</t>
  </si>
  <si>
    <t>target 5</t>
  </si>
  <si>
    <t>min $16.59</t>
  </si>
  <si>
    <t>PPEAK $19.99-39.99</t>
  </si>
  <si>
    <t>ppc paused</t>
  </si>
  <si>
    <t>PPEAK min raised</t>
  </si>
  <si>
    <t>sold out</t>
  </si>
  <si>
    <t>one month to restock.</t>
  </si>
  <si>
    <t>AGL203: 1058 - 06/01/21</t>
  </si>
  <si>
    <t>28 days to arrival</t>
  </si>
  <si>
    <t>AGL 203: 1058 - 06/01/21</t>
  </si>
  <si>
    <t>AGL 203: 504 - 06/01/21</t>
  </si>
  <si>
    <t>PPEAK $16.99-19.99 for relaunching upon arrival</t>
  </si>
  <si>
    <t>AGL 203: 504 - 05/20/21</t>
  </si>
  <si>
    <t>AGL203: 504 - 06/25/21</t>
  </si>
  <si>
    <t xml:space="preserve">been in stock a couple of days and already moving nicely. turning on a little ppc </t>
  </si>
  <si>
    <t>PPEAK $20.99-29.99 after dynamite restart- ppc off, coupon on</t>
  </si>
  <si>
    <t>low bid, low budget ppc, PPEAK min lowered a dollar, $19.99-29.99</t>
  </si>
  <si>
    <t>Upped bid to spend, adding coupon, $15.99-19.99</t>
  </si>
  <si>
    <t>No Transit, But 554 At Factory 50-75 days from Earliest Arrival</t>
  </si>
  <si>
    <t>At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</si>
</sst>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  <numFmt numFmtId="167" formatCode="_([$$-409]* #,##0.00_);_([$$-409]* \(#,##0.00\);_([$$-409]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</font>
    <font>
      <b/>
      <sz val="11"/>
      <color rgb="FFF2F2F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2" borderId="9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44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44" fontId="4" fillId="2" borderId="9" xfId="0" applyNumberFormat="1" applyFont="1" applyFill="1" applyBorder="1" applyAlignment="1">
      <alignment horizontal="center" vertical="center"/>
    </xf>
    <xf numFmtId="0" fontId="0" fillId="0" borderId="0" xfId="0" applyFont="1"/>
    <xf numFmtId="164" fontId="1" fillId="2" borderId="11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/>
    </xf>
    <xf numFmtId="44" fontId="0" fillId="2" borderId="11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2" fontId="1" fillId="0" borderId="0" xfId="0" applyNumberFormat="1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left"/>
    </xf>
    <xf numFmtId="9" fontId="0" fillId="0" borderId="0" xfId="0" applyNumberFormat="1" applyFont="1"/>
    <xf numFmtId="44" fontId="0" fillId="0" borderId="0" xfId="0" applyNumberFormat="1" applyFont="1"/>
    <xf numFmtId="44" fontId="0" fillId="0" borderId="0" xfId="0" applyNumberFormat="1" applyFont="1" applyAlignment="1">
      <alignment horizontal="center"/>
    </xf>
    <xf numFmtId="166" fontId="0" fillId="0" borderId="0" xfId="0" applyNumberFormat="1" applyFont="1"/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44" fontId="1" fillId="2" borderId="11" xfId="0" applyNumberFormat="1" applyFont="1" applyFill="1" applyBorder="1"/>
    <xf numFmtId="9" fontId="1" fillId="2" borderId="11" xfId="0" applyNumberFormat="1" applyFont="1" applyFill="1" applyBorder="1" applyAlignment="1">
      <alignment horizontal="center"/>
    </xf>
    <xf numFmtId="44" fontId="1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9" fontId="1" fillId="0" borderId="0" xfId="0" applyNumberFormat="1" applyFont="1"/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166" fontId="1" fillId="0" borderId="0" xfId="0" applyNumberFormat="1" applyFont="1"/>
    <xf numFmtId="2" fontId="0" fillId="0" borderId="0" xfId="0" applyNumberFormat="1" applyFont="1"/>
    <xf numFmtId="44" fontId="0" fillId="2" borderId="11" xfId="0" applyNumberFormat="1" applyFont="1" applyFill="1" applyBorder="1"/>
    <xf numFmtId="167" fontId="0" fillId="0" borderId="0" xfId="0" applyNumberFormat="1" applyFont="1"/>
    <xf numFmtId="0" fontId="6" fillId="3" borderId="0" xfId="0" applyFont="1" applyFill="1" applyAlignment="1">
      <alignment horizontal="left"/>
    </xf>
    <xf numFmtId="164" fontId="0" fillId="2" borderId="11" xfId="0" applyNumberFormat="1" applyFont="1" applyFill="1" applyBorder="1" applyAlignment="1">
      <alignment horizontal="center"/>
    </xf>
    <xf numFmtId="0" fontId="0" fillId="2" borderId="11" xfId="0" applyFont="1" applyFill="1" applyBorder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164" fontId="0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44" fontId="0" fillId="2" borderId="1" xfId="0" applyNumberFormat="1" applyFon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/>
    <xf numFmtId="0" fontId="4" fillId="2" borderId="7" xfId="0" applyFont="1" applyFill="1" applyBorder="1" applyAlignment="1">
      <alignment horizontal="left" vertical="center"/>
    </xf>
    <xf numFmtId="0" fontId="3" fillId="0" borderId="8" xfId="0" applyFont="1" applyBorder="1"/>
    <xf numFmtId="165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0" fontId="3" fillId="0" borderId="5" xfId="0" applyFont="1" applyBorder="1"/>
    <xf numFmtId="0" fontId="0" fillId="0" borderId="0" xfId="0" applyFont="1" applyAlignment="1">
      <alignment horizontal="center" vertical="center" wrapText="1"/>
    </xf>
    <xf numFmtId="0" fontId="3" fillId="0" borderId="6" xfId="0" applyFont="1" applyBorder="1"/>
    <xf numFmtId="0" fontId="1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workbookViewId="0">
      <pane xSplit="2" ySplit="3" topLeftCell="I8" activePane="bottomRight" state="frozen"/>
      <selection pane="topRight" activeCell="C1" sqref="C1"/>
      <selection pane="bottomLeft" activeCell="A4" sqref="A4"/>
      <selection pane="bottomRight" activeCell="R32" sqref="R32"/>
    </sheetView>
  </sheetViews>
  <sheetFormatPr baseColWidth="10" defaultColWidth="14.5" defaultRowHeight="15" customHeight="1" x14ac:dyDescent="0.2"/>
  <cols>
    <col min="1" max="1" width="15" customWidth="1"/>
    <col min="2" max="2" width="21.83203125" customWidth="1"/>
    <col min="3" max="3" width="8.5" customWidth="1"/>
    <col min="4" max="4" width="6.5" customWidth="1"/>
    <col min="5" max="5" width="9.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24.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5.3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x14ac:dyDescent="0.2">
      <c r="A1" s="49" t="str">
        <f ca="1">IFERROR(__xludf.DUMMYFUNCTION("IFERROR(VLOOKUP(B2,IMPORTRANGE(""https://docs.google.com/spreadsheets/d/1x0DhHglkXKoEBOD2MBsuK_EyIr1ouxD2ftIpqOYFa-k/edit?usp=sharing"",""Ubiquitty-SKU-Specific Info!B1:BJ5000""),3,FALSE),"""")"),"G40 Globe Light Bulbs Replacement for String Lights…")</f>
        <v>G40 Globe Light Bulbs Replacement for String Lights…</v>
      </c>
      <c r="B1" s="50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8" t="s">
        <v>118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6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Info!B1:BJ5000""),2,FALSE),"""")"),"B01E44VCAO")</f>
        <v>B01E44VCAO</v>
      </c>
      <c r="B2" s="3" t="s">
        <v>30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06.5" customHeight="1" x14ac:dyDescent="0.2">
      <c r="A3" s="58" t="s">
        <v>31</v>
      </c>
      <c r="B3" s="59"/>
      <c r="C3" s="4">
        <f>((AE32+AF32)/0.85)*-1</f>
        <v>9.9827758098529404</v>
      </c>
      <c r="D3" s="5">
        <f>SUM(D4:D99768)</f>
        <v>199</v>
      </c>
      <c r="E3" s="5"/>
      <c r="F3" s="6">
        <f t="shared" ref="F3:G3" si="0">SUM(F4:F99768)</f>
        <v>3375.6299999999997</v>
      </c>
      <c r="G3" s="6">
        <f t="shared" si="0"/>
        <v>-143.52999999999997</v>
      </c>
      <c r="H3" s="7">
        <f t="shared" ref="H3:H32" si="1">G3/F3*-1</f>
        <v>4.2519470439592012E-2</v>
      </c>
      <c r="I3" s="8">
        <f t="shared" ref="I3:I32" si="2">J3/F3</f>
        <v>0.29149805683004065</v>
      </c>
      <c r="J3" s="6">
        <f>SUM(J4:J99768)</f>
        <v>983.98958557719004</v>
      </c>
      <c r="K3" s="6">
        <f t="shared" ref="K3:K32" si="3">J3/D3</f>
        <v>4.9446712843074874</v>
      </c>
      <c r="L3" s="5"/>
      <c r="M3" s="9"/>
      <c r="N3" s="10"/>
      <c r="O3" s="5" t="str">
        <f ca="1">IFERROR(__xludf.DUMMYFUNCTION("VLOOKUP(B2,IMPORTRANGE(""https://docs.google.com/spreadsheets/d/1N8jvpEHDVkurDv7NrPxwI3eH6hQsvtb1QltGNCalRjU/edit#gid=865736387"",""Compiled Sheet!a1:g5000""),2,FALSE)"),"5 - March
5 - April
5 - May
4 - June
4 - July
3 - Aug
2 - Sept
1 - Oct
1 - Nov
1 - Dec
3 - Jan
3 - Feb")</f>
        <v>5 - March
5 - April
5 - May
4 - June
4 - July
3 - Aug
2 - Sept
1 - Oct
1 - Nov
1 - Dec
3 - Jan
3 -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SUM(W4:W99768)</f>
        <v>20</v>
      </c>
      <c r="X3" s="7">
        <f>W3/D3</f>
        <v>0.10050251256281408</v>
      </c>
      <c r="Y3" s="6"/>
      <c r="Z3" s="5"/>
      <c r="AA3" s="5"/>
      <c r="AB3" s="5"/>
      <c r="AC3" s="5"/>
      <c r="AD3" s="6">
        <f>SUM(AD4:AD99768)</f>
        <v>-41.641498756276562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Info!B2:BZ3000""),37,FALSE)),"""")*-1"),-3.535359438375)</f>
        <v>-3.535359438375</v>
      </c>
      <c r="AG3" s="6">
        <f>SUM(AG4:AG99768)</f>
        <v>-8.1999999999999993</v>
      </c>
    </row>
    <row r="4" spans="1:33" x14ac:dyDescent="0.2">
      <c r="A4" s="15" t="s">
        <v>32</v>
      </c>
      <c r="B4" s="15" t="s">
        <v>33</v>
      </c>
      <c r="C4" s="16">
        <f t="shared" ref="C4:C32" si="4">IFERROR(F4/D4," - ")</f>
        <v>19.989999999999998</v>
      </c>
      <c r="D4" s="17">
        <v>6</v>
      </c>
      <c r="E4" s="17">
        <v>0</v>
      </c>
      <c r="F4" s="18">
        <v>119.93999999999998</v>
      </c>
      <c r="G4" s="18">
        <v>-0.06</v>
      </c>
      <c r="H4" s="19">
        <f t="shared" si="1"/>
        <v>5.0025012506253134E-4</v>
      </c>
      <c r="I4" s="19">
        <f t="shared" si="2"/>
        <v>0.42217848570750011</v>
      </c>
      <c r="J4" s="18">
        <f t="shared" ref="J4:J32" si="5">F4*0.85+G4+AF4*D4+D4*AE4+AG4+AD4</f>
        <v>50.636087575757557</v>
      </c>
      <c r="K4" s="18">
        <f t="shared" si="3"/>
        <v>8.4393479292929268</v>
      </c>
      <c r="L4" s="17">
        <v>4</v>
      </c>
      <c r="M4" s="20">
        <f t="shared" ref="M4:M32" si="6">IFERROR(D4/L4,"-")</f>
        <v>1.5</v>
      </c>
      <c r="N4" s="17">
        <v>149</v>
      </c>
      <c r="O4" s="21">
        <f t="shared" ref="O4:P4" si="7">D4/7</f>
        <v>0.8571428571428571</v>
      </c>
      <c r="P4" s="21">
        <f t="shared" si="7"/>
        <v>0</v>
      </c>
      <c r="Q4" s="17">
        <f t="shared" ref="Q4:Q32" si="8">ROUNDDOWN(N4/(O4+P4),0)</f>
        <v>173</v>
      </c>
      <c r="R4" s="17"/>
      <c r="S4" s="22">
        <v>0.39628482972136198</v>
      </c>
      <c r="T4" s="15">
        <v>500</v>
      </c>
      <c r="U4" s="23" t="s">
        <v>34</v>
      </c>
      <c r="V4" s="24" t="s">
        <v>34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35</v>
      </c>
      <c r="AB4" s="27">
        <f t="shared" ref="AB4:AB32" si="11">IF(OR(AA4="UsLargeStandardSize",AA4="UsSmallStandardSize"),-0.69,-0.48)</f>
        <v>-0.69</v>
      </c>
      <c r="AC4" s="28">
        <v>0.15162962962962964</v>
      </c>
      <c r="AD4" s="26">
        <f t="shared" ref="AD4:AD32" si="12">IFERROR(AB4*AC4*D4*2,0)</f>
        <v>-1.2554933333333334</v>
      </c>
      <c r="AE4" s="26">
        <v>-4.9000000000000004</v>
      </c>
      <c r="AF4" s="26">
        <v>-3.4329031818181819</v>
      </c>
      <c r="AG4" s="26">
        <v>0</v>
      </c>
    </row>
    <row r="5" spans="1:33" x14ac:dyDescent="0.2">
      <c r="A5" s="29" t="s">
        <v>36</v>
      </c>
      <c r="B5" s="29" t="s">
        <v>37</v>
      </c>
      <c r="C5" s="16">
        <f t="shared" si="4"/>
        <v>16.239999999999998</v>
      </c>
      <c r="D5" s="30">
        <v>4</v>
      </c>
      <c r="E5" s="30">
        <v>0</v>
      </c>
      <c r="F5" s="31">
        <v>64.959999999999994</v>
      </c>
      <c r="G5" s="31">
        <v>0</v>
      </c>
      <c r="H5" s="32">
        <f t="shared" si="1"/>
        <v>0</v>
      </c>
      <c r="I5" s="32">
        <f t="shared" si="2"/>
        <v>0.32399048414076431</v>
      </c>
      <c r="J5" s="33">
        <f t="shared" si="5"/>
        <v>21.046421849784046</v>
      </c>
      <c r="K5" s="33">
        <f t="shared" si="3"/>
        <v>5.2616054624460116</v>
      </c>
      <c r="L5" s="30">
        <v>15</v>
      </c>
      <c r="M5" s="34">
        <f t="shared" si="6"/>
        <v>0.26666666666666666</v>
      </c>
      <c r="N5" s="30">
        <v>143</v>
      </c>
      <c r="O5" s="35">
        <f t="shared" ref="O5:P5" si="13">D5/7</f>
        <v>0.5714285714285714</v>
      </c>
      <c r="P5" s="35">
        <f t="shared" si="13"/>
        <v>0</v>
      </c>
      <c r="Q5" s="30">
        <f t="shared" si="8"/>
        <v>250</v>
      </c>
      <c r="R5" s="30"/>
      <c r="S5" s="22">
        <v>0.47588424437298998</v>
      </c>
      <c r="T5" s="29">
        <v>500</v>
      </c>
      <c r="U5" s="36" t="s">
        <v>34</v>
      </c>
      <c r="V5" s="37" t="s">
        <v>34</v>
      </c>
      <c r="W5" s="29">
        <v>0</v>
      </c>
      <c r="X5" s="38">
        <f t="shared" si="9"/>
        <v>0</v>
      </c>
      <c r="Y5" s="39">
        <f t="shared" si="10"/>
        <v>0</v>
      </c>
      <c r="Z5" s="29">
        <v>0</v>
      </c>
      <c r="AA5" s="29" t="s">
        <v>35</v>
      </c>
      <c r="AB5" s="40">
        <f t="shared" si="11"/>
        <v>-0.69</v>
      </c>
      <c r="AC5" s="41">
        <v>0.1518053302433372</v>
      </c>
      <c r="AD5" s="39">
        <f t="shared" si="12"/>
        <v>-0.83796542294322129</v>
      </c>
      <c r="AE5" s="39">
        <v>-4.9000000000000004</v>
      </c>
      <c r="AF5" s="39">
        <v>-3.4329031818181819</v>
      </c>
      <c r="AG5" s="39">
        <v>0</v>
      </c>
    </row>
    <row r="6" spans="1:33" x14ac:dyDescent="0.2">
      <c r="A6" s="29" t="s">
        <v>38</v>
      </c>
      <c r="B6" s="29" t="s">
        <v>39</v>
      </c>
      <c r="C6" s="16">
        <f t="shared" si="4"/>
        <v>14.99</v>
      </c>
      <c r="D6" s="30">
        <v>3</v>
      </c>
      <c r="E6" s="30">
        <v>0</v>
      </c>
      <c r="F6" s="31">
        <v>44.97</v>
      </c>
      <c r="G6" s="31">
        <v>0</v>
      </c>
      <c r="H6" s="32">
        <f t="shared" si="1"/>
        <v>0</v>
      </c>
      <c r="I6" s="32">
        <f t="shared" si="2"/>
        <v>0.24678772043315067</v>
      </c>
      <c r="J6" s="33">
        <f t="shared" si="5"/>
        <v>11.098043787878785</v>
      </c>
      <c r="K6" s="33">
        <f t="shared" si="3"/>
        <v>3.6993479292929283</v>
      </c>
      <c r="L6" s="30">
        <v>7</v>
      </c>
      <c r="M6" s="34">
        <f t="shared" si="6"/>
        <v>0.42857142857142855</v>
      </c>
      <c r="N6" s="30">
        <v>140</v>
      </c>
      <c r="O6" s="35">
        <f t="shared" ref="O6:P6" si="14">D6/7</f>
        <v>0.42857142857142855</v>
      </c>
      <c r="P6" s="35">
        <f t="shared" si="14"/>
        <v>0</v>
      </c>
      <c r="Q6" s="30">
        <f t="shared" si="8"/>
        <v>326</v>
      </c>
      <c r="R6" s="30"/>
      <c r="S6" s="22">
        <v>0.52459016393442603</v>
      </c>
      <c r="T6" s="29">
        <v>500</v>
      </c>
      <c r="U6" s="36" t="s">
        <v>34</v>
      </c>
      <c r="V6" s="37" t="s">
        <v>40</v>
      </c>
      <c r="W6" s="29">
        <v>0</v>
      </c>
      <c r="X6" s="38">
        <f t="shared" si="9"/>
        <v>0</v>
      </c>
      <c r="Y6" s="39">
        <f t="shared" si="10"/>
        <v>0</v>
      </c>
      <c r="Z6" s="29">
        <v>0</v>
      </c>
      <c r="AA6" s="29" t="s">
        <v>35</v>
      </c>
      <c r="AB6" s="40">
        <f t="shared" si="11"/>
        <v>-0.69</v>
      </c>
      <c r="AC6" s="41">
        <v>0.15162962962962964</v>
      </c>
      <c r="AD6" s="39">
        <f t="shared" si="12"/>
        <v>-0.62774666666666668</v>
      </c>
      <c r="AE6" s="39">
        <v>-4.9000000000000004</v>
      </c>
      <c r="AF6" s="39">
        <v>-3.4329031818181819</v>
      </c>
      <c r="AG6" s="39">
        <v>-1.5</v>
      </c>
    </row>
    <row r="7" spans="1:33" x14ac:dyDescent="0.2">
      <c r="A7" s="29" t="s">
        <v>41</v>
      </c>
      <c r="B7" s="29" t="s">
        <v>42</v>
      </c>
      <c r="C7" s="16">
        <f t="shared" si="4"/>
        <v>13.989999999999998</v>
      </c>
      <c r="D7" s="30">
        <v>8</v>
      </c>
      <c r="E7" s="30">
        <v>0</v>
      </c>
      <c r="F7" s="31">
        <v>111.91999999999999</v>
      </c>
      <c r="G7" s="31">
        <v>0</v>
      </c>
      <c r="H7" s="32">
        <f t="shared" si="1"/>
        <v>0</v>
      </c>
      <c r="I7" s="32">
        <f t="shared" si="2"/>
        <v>0.21439227514602777</v>
      </c>
      <c r="J7" s="33">
        <f t="shared" si="5"/>
        <v>23.994783434343425</v>
      </c>
      <c r="K7" s="33">
        <f t="shared" si="3"/>
        <v>2.9993479292929281</v>
      </c>
      <c r="L7" s="30">
        <v>7</v>
      </c>
      <c r="M7" s="34">
        <f t="shared" si="6"/>
        <v>1.1428571428571428</v>
      </c>
      <c r="N7" s="30">
        <v>134</v>
      </c>
      <c r="O7" s="35">
        <f t="shared" ref="O7:P7" si="15">D7/7</f>
        <v>1.1428571428571428</v>
      </c>
      <c r="P7" s="35">
        <f t="shared" si="15"/>
        <v>0</v>
      </c>
      <c r="Q7" s="30">
        <f t="shared" si="8"/>
        <v>117</v>
      </c>
      <c r="R7" s="30"/>
      <c r="S7" s="22">
        <v>0.39830508474576198</v>
      </c>
      <c r="T7" s="29">
        <v>500</v>
      </c>
      <c r="U7" s="36" t="s">
        <v>34</v>
      </c>
      <c r="V7" s="37" t="s">
        <v>40</v>
      </c>
      <c r="W7" s="29">
        <v>0</v>
      </c>
      <c r="X7" s="38">
        <f t="shared" si="9"/>
        <v>0</v>
      </c>
      <c r="Y7" s="39">
        <f t="shared" si="10"/>
        <v>0</v>
      </c>
      <c r="Z7" s="29">
        <v>0</v>
      </c>
      <c r="AA7" s="29" t="s">
        <v>35</v>
      </c>
      <c r="AB7" s="40">
        <f t="shared" si="11"/>
        <v>-0.69</v>
      </c>
      <c r="AC7" s="41">
        <v>0.15162962962962964</v>
      </c>
      <c r="AD7" s="39">
        <f t="shared" si="12"/>
        <v>-1.6739911111111112</v>
      </c>
      <c r="AE7" s="39">
        <v>-4.9000000000000004</v>
      </c>
      <c r="AF7" s="39">
        <v>-3.4329031818181819</v>
      </c>
      <c r="AG7" s="39">
        <v>-2.8</v>
      </c>
    </row>
    <row r="8" spans="1:33" x14ac:dyDescent="0.2">
      <c r="A8" s="29" t="s">
        <v>43</v>
      </c>
      <c r="B8" s="29" t="s">
        <v>44</v>
      </c>
      <c r="C8" s="16">
        <f t="shared" si="4"/>
        <v>12.989999999999998</v>
      </c>
      <c r="D8" s="30">
        <v>8</v>
      </c>
      <c r="E8" s="30">
        <v>0</v>
      </c>
      <c r="F8" s="31">
        <v>103.91999999999999</v>
      </c>
      <c r="G8" s="31">
        <v>-18.479999999999997</v>
      </c>
      <c r="H8" s="32">
        <f t="shared" si="1"/>
        <v>0.17782909930715934</v>
      </c>
      <c r="I8" s="32">
        <f t="shared" si="2"/>
        <v>-2.2728936788982957E-2</v>
      </c>
      <c r="J8" s="33">
        <f t="shared" si="5"/>
        <v>-2.3619911111111085</v>
      </c>
      <c r="K8" s="33">
        <f t="shared" si="3"/>
        <v>-0.29524888888888856</v>
      </c>
      <c r="L8" s="30">
        <v>14</v>
      </c>
      <c r="M8" s="34">
        <f t="shared" si="6"/>
        <v>0.5714285714285714</v>
      </c>
      <c r="N8" s="30">
        <v>126</v>
      </c>
      <c r="O8" s="35">
        <f t="shared" ref="O8:P8" si="16">D8/7</f>
        <v>1.1428571428571428</v>
      </c>
      <c r="P8" s="35">
        <f t="shared" si="16"/>
        <v>0</v>
      </c>
      <c r="Q8" s="30">
        <f t="shared" si="8"/>
        <v>110</v>
      </c>
      <c r="R8" s="30"/>
      <c r="S8" s="22">
        <v>0.49888641425389701</v>
      </c>
      <c r="T8" s="29">
        <v>500</v>
      </c>
      <c r="U8" s="36" t="s">
        <v>34</v>
      </c>
      <c r="V8" s="37" t="s">
        <v>34</v>
      </c>
      <c r="W8" s="29">
        <v>3</v>
      </c>
      <c r="X8" s="38">
        <f t="shared" si="9"/>
        <v>0.375</v>
      </c>
      <c r="Y8" s="39">
        <f t="shared" si="10"/>
        <v>6.1599999999999993</v>
      </c>
      <c r="Z8" s="29">
        <v>0</v>
      </c>
      <c r="AA8" s="29" t="s">
        <v>35</v>
      </c>
      <c r="AB8" s="40">
        <f t="shared" si="11"/>
        <v>-0.69</v>
      </c>
      <c r="AC8" s="41">
        <v>0.15162962962962964</v>
      </c>
      <c r="AD8" s="39">
        <f t="shared" si="12"/>
        <v>-1.6739911111111112</v>
      </c>
      <c r="AE8" s="39">
        <v>-4.9000000000000004</v>
      </c>
      <c r="AF8" s="39">
        <v>-3.43</v>
      </c>
      <c r="AG8" s="39">
        <v>-3.9000000000000004</v>
      </c>
    </row>
    <row r="9" spans="1:33" x14ac:dyDescent="0.2">
      <c r="A9" s="29" t="s">
        <v>45</v>
      </c>
      <c r="B9" s="29" t="s">
        <v>46</v>
      </c>
      <c r="C9" s="16">
        <f t="shared" si="4"/>
        <v>13.9575</v>
      </c>
      <c r="D9" s="30">
        <v>8</v>
      </c>
      <c r="E9" s="30">
        <v>0</v>
      </c>
      <c r="F9" s="31">
        <v>111.66</v>
      </c>
      <c r="G9" s="31">
        <v>-7.06</v>
      </c>
      <c r="H9" s="32">
        <f t="shared" si="1"/>
        <v>6.3227655382410888E-2</v>
      </c>
      <c r="I9" s="32">
        <f t="shared" si="2"/>
        <v>0.16519282381399539</v>
      </c>
      <c r="J9" s="33">
        <f t="shared" si="5"/>
        <v>18.445430707070724</v>
      </c>
      <c r="K9" s="33">
        <f t="shared" si="3"/>
        <v>2.3056788383838405</v>
      </c>
      <c r="L9" s="30">
        <v>19</v>
      </c>
      <c r="M9" s="34">
        <f t="shared" si="6"/>
        <v>0.42105263157894735</v>
      </c>
      <c r="N9" s="30">
        <v>117</v>
      </c>
      <c r="O9" s="35">
        <f t="shared" ref="O9:P9" si="17">D9/7</f>
        <v>1.1428571428571428</v>
      </c>
      <c r="P9" s="35">
        <f t="shared" si="17"/>
        <v>0</v>
      </c>
      <c r="Q9" s="30">
        <f t="shared" si="8"/>
        <v>102</v>
      </c>
      <c r="R9" s="30"/>
      <c r="S9" s="22">
        <v>0.60185185185185097</v>
      </c>
      <c r="T9" s="29">
        <v>500</v>
      </c>
      <c r="U9" s="36" t="s">
        <v>34</v>
      </c>
      <c r="V9" s="37" t="s">
        <v>34</v>
      </c>
      <c r="W9" s="29">
        <v>1</v>
      </c>
      <c r="X9" s="38">
        <f t="shared" si="9"/>
        <v>0.125</v>
      </c>
      <c r="Y9" s="39">
        <f t="shared" si="10"/>
        <v>7.06</v>
      </c>
      <c r="Z9" s="29">
        <v>0</v>
      </c>
      <c r="AA9" s="29" t="s">
        <v>35</v>
      </c>
      <c r="AB9" s="40">
        <f t="shared" si="11"/>
        <v>-0.69</v>
      </c>
      <c r="AC9" s="41">
        <v>0.15162962962962964</v>
      </c>
      <c r="AD9" s="39">
        <f t="shared" si="12"/>
        <v>-1.6739911111111112</v>
      </c>
      <c r="AE9" s="39">
        <v>-4.9000000000000004</v>
      </c>
      <c r="AF9" s="39">
        <v>-3.5664472727272698</v>
      </c>
      <c r="AG9" s="39">
        <v>0</v>
      </c>
    </row>
    <row r="10" spans="1:33" x14ac:dyDescent="0.2">
      <c r="A10" s="29" t="s">
        <v>47</v>
      </c>
      <c r="B10" s="29" t="s">
        <v>48</v>
      </c>
      <c r="C10" s="16">
        <f t="shared" si="4"/>
        <v>14.993333333333332</v>
      </c>
      <c r="D10" s="30">
        <v>6</v>
      </c>
      <c r="E10" s="30">
        <v>0</v>
      </c>
      <c r="F10" s="31">
        <v>89.96</v>
      </c>
      <c r="G10" s="31">
        <v>0</v>
      </c>
      <c r="H10" s="32">
        <f t="shared" si="1"/>
        <v>0</v>
      </c>
      <c r="I10" s="32">
        <f t="shared" si="2"/>
        <v>0.2713630839295581</v>
      </c>
      <c r="J10" s="33">
        <f t="shared" si="5"/>
        <v>24.411823030303044</v>
      </c>
      <c r="K10" s="33">
        <f t="shared" si="3"/>
        <v>4.0686371717171737</v>
      </c>
      <c r="L10" s="30">
        <v>8</v>
      </c>
      <c r="M10" s="34">
        <f t="shared" si="6"/>
        <v>0.75</v>
      </c>
      <c r="N10" s="30">
        <v>111</v>
      </c>
      <c r="O10" s="35">
        <f t="shared" ref="O10:P10" si="18">D10/7</f>
        <v>0.8571428571428571</v>
      </c>
      <c r="P10" s="35">
        <f t="shared" si="18"/>
        <v>0</v>
      </c>
      <c r="Q10" s="30">
        <f t="shared" si="8"/>
        <v>129</v>
      </c>
      <c r="R10" s="30"/>
      <c r="S10" s="22">
        <v>0.68269230769230704</v>
      </c>
      <c r="T10" s="29">
        <v>500</v>
      </c>
      <c r="U10" s="36" t="s">
        <v>34</v>
      </c>
      <c r="V10" s="37" t="s">
        <v>34</v>
      </c>
      <c r="W10" s="29">
        <v>0</v>
      </c>
      <c r="X10" s="38">
        <f t="shared" si="9"/>
        <v>0</v>
      </c>
      <c r="Y10" s="39">
        <f t="shared" si="10"/>
        <v>0</v>
      </c>
      <c r="Z10" s="29">
        <v>0</v>
      </c>
      <c r="AA10" s="29" t="s">
        <v>35</v>
      </c>
      <c r="AB10" s="40">
        <f t="shared" si="11"/>
        <v>-0.69</v>
      </c>
      <c r="AC10" s="41">
        <v>0.15162962962962964</v>
      </c>
      <c r="AD10" s="39">
        <f t="shared" si="12"/>
        <v>-1.2554933333333334</v>
      </c>
      <c r="AE10" s="39">
        <v>-4.9000000000000004</v>
      </c>
      <c r="AF10" s="39">
        <v>-3.5664472727272698</v>
      </c>
      <c r="AG10" s="39">
        <v>0</v>
      </c>
    </row>
    <row r="11" spans="1:33" x14ac:dyDescent="0.2">
      <c r="A11" s="29" t="s">
        <v>49</v>
      </c>
      <c r="B11" s="29" t="s">
        <v>50</v>
      </c>
      <c r="C11" s="16">
        <f t="shared" si="4"/>
        <v>13.59</v>
      </c>
      <c r="D11" s="30">
        <v>2</v>
      </c>
      <c r="E11" s="30">
        <v>0</v>
      </c>
      <c r="F11" s="31">
        <v>27.18</v>
      </c>
      <c r="G11" s="31">
        <v>0</v>
      </c>
      <c r="H11" s="32">
        <f t="shared" si="1"/>
        <v>0</v>
      </c>
      <c r="I11" s="32">
        <f t="shared" si="2"/>
        <v>0.21161176147048122</v>
      </c>
      <c r="J11" s="33">
        <f t="shared" si="5"/>
        <v>5.7516076767676791</v>
      </c>
      <c r="K11" s="33">
        <f t="shared" si="3"/>
        <v>2.8758038383838396</v>
      </c>
      <c r="L11" s="30">
        <v>3</v>
      </c>
      <c r="M11" s="34">
        <f t="shared" si="6"/>
        <v>0.66666666666666663</v>
      </c>
      <c r="N11" s="30">
        <v>108</v>
      </c>
      <c r="O11" s="35">
        <f t="shared" ref="O11:P11" si="19">D11/7</f>
        <v>0.2857142857142857</v>
      </c>
      <c r="P11" s="35">
        <f t="shared" si="19"/>
        <v>0</v>
      </c>
      <c r="Q11" s="30">
        <f t="shared" si="8"/>
        <v>378</v>
      </c>
      <c r="R11" s="30"/>
      <c r="S11" s="22">
        <v>0.50946643717728002</v>
      </c>
      <c r="T11" s="29">
        <v>500</v>
      </c>
      <c r="U11" s="36" t="s">
        <v>34</v>
      </c>
      <c r="V11" s="37" t="s">
        <v>34</v>
      </c>
      <c r="W11" s="29">
        <v>0</v>
      </c>
      <c r="X11" s="38">
        <f t="shared" si="9"/>
        <v>0</v>
      </c>
      <c r="Y11" s="39">
        <f t="shared" si="10"/>
        <v>0</v>
      </c>
      <c r="Z11" s="29">
        <v>0</v>
      </c>
      <c r="AA11" s="29" t="s">
        <v>35</v>
      </c>
      <c r="AB11" s="40">
        <f t="shared" si="11"/>
        <v>-0.69</v>
      </c>
      <c r="AC11" s="41">
        <v>0.15162962962962964</v>
      </c>
      <c r="AD11" s="39">
        <f t="shared" si="12"/>
        <v>-0.4184977777777778</v>
      </c>
      <c r="AE11" s="39">
        <v>-4.9000000000000004</v>
      </c>
      <c r="AF11" s="39">
        <v>-3.5664472727272698</v>
      </c>
      <c r="AG11" s="39">
        <v>0</v>
      </c>
    </row>
    <row r="12" spans="1:33" x14ac:dyDescent="0.2">
      <c r="A12" s="29" t="s">
        <v>51</v>
      </c>
      <c r="B12" s="29" t="s">
        <v>52</v>
      </c>
      <c r="C12" s="16">
        <f t="shared" si="4"/>
        <v>16.305714285714288</v>
      </c>
      <c r="D12" s="30">
        <v>7</v>
      </c>
      <c r="E12" s="30">
        <v>0</v>
      </c>
      <c r="F12" s="31">
        <v>114.14000000000001</v>
      </c>
      <c r="G12" s="31">
        <v>-0.08</v>
      </c>
      <c r="H12" s="32">
        <f t="shared" si="1"/>
        <v>7.0089363939022248E-4</v>
      </c>
      <c r="I12" s="32">
        <f t="shared" si="2"/>
        <v>0.31723433387670308</v>
      </c>
      <c r="J12" s="33">
        <f t="shared" si="5"/>
        <v>36.209126868686894</v>
      </c>
      <c r="K12" s="33">
        <f t="shared" si="3"/>
        <v>5.1727324098124132</v>
      </c>
      <c r="L12" s="30">
        <v>5</v>
      </c>
      <c r="M12" s="34">
        <f t="shared" si="6"/>
        <v>1.4</v>
      </c>
      <c r="N12" s="30">
        <v>104</v>
      </c>
      <c r="O12" s="35">
        <f t="shared" ref="O12:P12" si="20">D12/7</f>
        <v>1</v>
      </c>
      <c r="P12" s="35">
        <f t="shared" si="20"/>
        <v>0</v>
      </c>
      <c r="Q12" s="30">
        <f t="shared" si="8"/>
        <v>104</v>
      </c>
      <c r="R12" s="30"/>
      <c r="S12" s="22">
        <v>0.48114901256732401</v>
      </c>
      <c r="T12" s="29">
        <v>500</v>
      </c>
      <c r="U12" s="36" t="s">
        <v>34</v>
      </c>
      <c r="V12" s="37" t="s">
        <v>34</v>
      </c>
      <c r="W12" s="29">
        <v>0</v>
      </c>
      <c r="X12" s="38">
        <f t="shared" si="9"/>
        <v>0</v>
      </c>
      <c r="Y12" s="39">
        <f t="shared" si="10"/>
        <v>0</v>
      </c>
      <c r="Z12" s="29">
        <v>0</v>
      </c>
      <c r="AA12" s="29" t="s">
        <v>35</v>
      </c>
      <c r="AB12" s="40">
        <f t="shared" si="11"/>
        <v>-0.69</v>
      </c>
      <c r="AC12" s="41">
        <v>0.15162962962962964</v>
      </c>
      <c r="AD12" s="39">
        <f t="shared" si="12"/>
        <v>-1.4647422222222224</v>
      </c>
      <c r="AE12" s="39">
        <v>-4.9000000000000004</v>
      </c>
      <c r="AF12" s="39">
        <v>-3.5664472727272698</v>
      </c>
      <c r="AG12" s="39">
        <v>0</v>
      </c>
    </row>
    <row r="13" spans="1:33" x14ac:dyDescent="0.2">
      <c r="A13" s="29" t="s">
        <v>53</v>
      </c>
      <c r="B13" s="29" t="s">
        <v>54</v>
      </c>
      <c r="C13" s="16">
        <f t="shared" si="4"/>
        <v>17.096666666666668</v>
      </c>
      <c r="D13" s="30">
        <v>9</v>
      </c>
      <c r="E13" s="30">
        <v>0</v>
      </c>
      <c r="F13" s="33">
        <v>153.87</v>
      </c>
      <c r="G13" s="31">
        <v>-36.930000000000007</v>
      </c>
      <c r="H13" s="32">
        <f t="shared" si="1"/>
        <v>0.24000779879118742</v>
      </c>
      <c r="I13" s="32">
        <f t="shared" si="2"/>
        <v>9.8431515387842505E-2</v>
      </c>
      <c r="J13" s="33">
        <f t="shared" si="5"/>
        <v>15.145657272727327</v>
      </c>
      <c r="K13" s="33">
        <f t="shared" si="3"/>
        <v>1.682850808080814</v>
      </c>
      <c r="L13" s="30">
        <v>13</v>
      </c>
      <c r="M13" s="34">
        <f t="shared" si="6"/>
        <v>0.69230769230769229</v>
      </c>
      <c r="N13" s="30">
        <v>93</v>
      </c>
      <c r="O13" s="35">
        <f t="shared" ref="O13:P13" si="21">D13/7</f>
        <v>1.2857142857142858</v>
      </c>
      <c r="P13" s="35">
        <f t="shared" si="21"/>
        <v>0</v>
      </c>
      <c r="Q13" s="30">
        <f t="shared" si="8"/>
        <v>72</v>
      </c>
      <c r="R13" s="30"/>
      <c r="S13" s="22">
        <v>0.51188299817184602</v>
      </c>
      <c r="T13" s="29">
        <v>500</v>
      </c>
      <c r="U13" s="36" t="s">
        <v>34</v>
      </c>
      <c r="V13" s="37" t="s">
        <v>34</v>
      </c>
      <c r="W13" s="29">
        <v>6</v>
      </c>
      <c r="X13" s="38">
        <f t="shared" si="9"/>
        <v>0.66666666666666663</v>
      </c>
      <c r="Y13" s="39">
        <f t="shared" si="10"/>
        <v>6.1550000000000011</v>
      </c>
      <c r="Z13" s="29">
        <v>0</v>
      </c>
      <c r="AA13" s="29" t="s">
        <v>35</v>
      </c>
      <c r="AB13" s="40">
        <f t="shared" si="11"/>
        <v>-0.69</v>
      </c>
      <c r="AC13" s="41">
        <v>0.15162962962962964</v>
      </c>
      <c r="AD13" s="39">
        <f t="shared" si="12"/>
        <v>-1.88324</v>
      </c>
      <c r="AE13" s="39">
        <v>-4.9000000000000004</v>
      </c>
      <c r="AF13" s="39">
        <v>-3.6367336363636298</v>
      </c>
      <c r="AG13" s="39">
        <v>0</v>
      </c>
    </row>
    <row r="14" spans="1:33" x14ac:dyDescent="0.2">
      <c r="A14" s="29" t="s">
        <v>55</v>
      </c>
      <c r="B14" s="29" t="s">
        <v>56</v>
      </c>
      <c r="C14" s="16">
        <f t="shared" si="4"/>
        <v>18.726923076923075</v>
      </c>
      <c r="D14" s="30">
        <v>13</v>
      </c>
      <c r="E14" s="30">
        <v>0</v>
      </c>
      <c r="F14" s="33">
        <v>243.44999999999996</v>
      </c>
      <c r="G14" s="31">
        <v>-24.709999999999997</v>
      </c>
      <c r="H14" s="32">
        <f t="shared" si="1"/>
        <v>0.10149928116656398</v>
      </c>
      <c r="I14" s="32">
        <f t="shared" si="2"/>
        <v>0.28147351477394617</v>
      </c>
      <c r="J14" s="33">
        <f t="shared" si="5"/>
        <v>68.524727171717188</v>
      </c>
      <c r="K14" s="33">
        <f t="shared" si="3"/>
        <v>5.2711328593628606</v>
      </c>
      <c r="L14" s="30">
        <v>20</v>
      </c>
      <c r="M14" s="34">
        <f t="shared" si="6"/>
        <v>0.65</v>
      </c>
      <c r="N14" s="30">
        <v>79</v>
      </c>
      <c r="O14" s="35">
        <f t="shared" ref="O14:P14" si="22">D14/7</f>
        <v>1.8571428571428572</v>
      </c>
      <c r="P14" s="35">
        <f t="shared" si="22"/>
        <v>0</v>
      </c>
      <c r="Q14" s="30">
        <f t="shared" si="8"/>
        <v>42</v>
      </c>
      <c r="R14" s="30"/>
      <c r="S14" s="22">
        <v>0.60198019801980196</v>
      </c>
      <c r="T14" s="29">
        <v>500</v>
      </c>
      <c r="U14" s="36" t="s">
        <v>34</v>
      </c>
      <c r="V14" s="37" t="s">
        <v>34</v>
      </c>
      <c r="W14" s="29">
        <v>4</v>
      </c>
      <c r="X14" s="38">
        <f t="shared" si="9"/>
        <v>0.30769230769230771</v>
      </c>
      <c r="Y14" s="39">
        <f t="shared" si="10"/>
        <v>6.1774999999999993</v>
      </c>
      <c r="Z14" s="29">
        <v>0</v>
      </c>
      <c r="AA14" s="29" t="s">
        <v>35</v>
      </c>
      <c r="AB14" s="40">
        <f t="shared" si="11"/>
        <v>-0.69</v>
      </c>
      <c r="AC14" s="41">
        <v>0.15162962962962964</v>
      </c>
      <c r="AD14" s="39">
        <f t="shared" si="12"/>
        <v>-2.7202355555555555</v>
      </c>
      <c r="AE14" s="39">
        <v>-4.9000000000000004</v>
      </c>
      <c r="AF14" s="39">
        <v>-3.6367336363636298</v>
      </c>
      <c r="AG14" s="39">
        <v>0</v>
      </c>
    </row>
    <row r="15" spans="1:33" x14ac:dyDescent="0.2">
      <c r="A15" s="29" t="s">
        <v>57</v>
      </c>
      <c r="B15" s="29" t="s">
        <v>58</v>
      </c>
      <c r="C15" s="16">
        <f t="shared" si="4"/>
        <v>18.177500000000002</v>
      </c>
      <c r="D15" s="30">
        <v>4</v>
      </c>
      <c r="E15" s="30">
        <v>0</v>
      </c>
      <c r="F15" s="33">
        <v>72.710000000000008</v>
      </c>
      <c r="G15" s="31">
        <v>-1.52</v>
      </c>
      <c r="H15" s="32">
        <f t="shared" si="1"/>
        <v>2.0904964929170676E-2</v>
      </c>
      <c r="I15" s="32">
        <f t="shared" si="2"/>
        <v>0.34795172464571478</v>
      </c>
      <c r="J15" s="33">
        <f t="shared" si="5"/>
        <v>25.299569898989926</v>
      </c>
      <c r="K15" s="33">
        <f t="shared" si="3"/>
        <v>6.3248924747474815</v>
      </c>
      <c r="L15" s="30">
        <v>9</v>
      </c>
      <c r="M15" s="34">
        <f t="shared" si="6"/>
        <v>0.44444444444444442</v>
      </c>
      <c r="N15" s="30">
        <v>76</v>
      </c>
      <c r="O15" s="35">
        <f t="shared" ref="O15:P15" si="23">D15/7</f>
        <v>0.5714285714285714</v>
      </c>
      <c r="P15" s="35">
        <f t="shared" si="23"/>
        <v>0</v>
      </c>
      <c r="Q15" s="30">
        <f t="shared" si="8"/>
        <v>133</v>
      </c>
      <c r="R15" s="30"/>
      <c r="S15" s="22">
        <v>0.661157024793388</v>
      </c>
      <c r="T15" s="29">
        <v>500</v>
      </c>
      <c r="U15" s="36" t="s">
        <v>34</v>
      </c>
      <c r="V15" s="37" t="s">
        <v>34</v>
      </c>
      <c r="W15" s="29">
        <v>0</v>
      </c>
      <c r="X15" s="38">
        <f t="shared" si="9"/>
        <v>0</v>
      </c>
      <c r="Y15" s="39">
        <f t="shared" si="10"/>
        <v>0</v>
      </c>
      <c r="Z15" s="29">
        <v>0</v>
      </c>
      <c r="AA15" s="29" t="s">
        <v>35</v>
      </c>
      <c r="AB15" s="40">
        <f t="shared" si="11"/>
        <v>-0.69</v>
      </c>
      <c r="AC15" s="41">
        <v>0.15162962962962964</v>
      </c>
      <c r="AD15" s="39">
        <f t="shared" si="12"/>
        <v>-0.8369955555555556</v>
      </c>
      <c r="AE15" s="39">
        <v>-4.9000000000000004</v>
      </c>
      <c r="AF15" s="39">
        <v>-3.6367336363636298</v>
      </c>
      <c r="AG15" s="39">
        <v>0</v>
      </c>
    </row>
    <row r="16" spans="1:33" ht="9.75" customHeight="1" x14ac:dyDescent="0.2">
      <c r="A16" s="29" t="s">
        <v>59</v>
      </c>
      <c r="B16" s="29" t="s">
        <v>60</v>
      </c>
      <c r="C16" s="16">
        <f t="shared" si="4"/>
        <v>18.804545454545455</v>
      </c>
      <c r="D16" s="30">
        <v>11</v>
      </c>
      <c r="E16" s="30">
        <v>0</v>
      </c>
      <c r="F16" s="33">
        <v>206.85</v>
      </c>
      <c r="G16" s="31">
        <v>0</v>
      </c>
      <c r="H16" s="32">
        <f t="shared" si="1"/>
        <v>0</v>
      </c>
      <c r="I16" s="32">
        <f t="shared" si="2"/>
        <v>0.38490061504579304</v>
      </c>
      <c r="J16" s="33">
        <f t="shared" si="5"/>
        <v>79.616692222222284</v>
      </c>
      <c r="K16" s="33">
        <f t="shared" si="3"/>
        <v>7.2378811111111165</v>
      </c>
      <c r="L16" s="30">
        <v>15</v>
      </c>
      <c r="M16" s="34">
        <f t="shared" si="6"/>
        <v>0.73333333333333328</v>
      </c>
      <c r="N16" s="30">
        <v>66</v>
      </c>
      <c r="O16" s="35">
        <f t="shared" ref="O16:P16" si="24">D16/7</f>
        <v>1.5714285714285714</v>
      </c>
      <c r="P16" s="35">
        <f t="shared" si="24"/>
        <v>0</v>
      </c>
      <c r="Q16" s="30">
        <f t="shared" si="8"/>
        <v>42</v>
      </c>
      <c r="R16" s="30"/>
      <c r="S16" s="22">
        <v>0.73593073593073499</v>
      </c>
      <c r="T16" s="29">
        <v>570</v>
      </c>
      <c r="U16" s="36" t="s">
        <v>34</v>
      </c>
      <c r="V16" s="37" t="s">
        <v>34</v>
      </c>
      <c r="W16" s="29">
        <v>0</v>
      </c>
      <c r="X16" s="38">
        <f t="shared" si="9"/>
        <v>0</v>
      </c>
      <c r="Y16" s="39">
        <f t="shared" si="10"/>
        <v>0</v>
      </c>
      <c r="Z16" s="29">
        <v>0</v>
      </c>
      <c r="AA16" s="29" t="s">
        <v>35</v>
      </c>
      <c r="AB16" s="40">
        <f t="shared" si="11"/>
        <v>-0.69</v>
      </c>
      <c r="AC16" s="41">
        <v>0.15162962962962964</v>
      </c>
      <c r="AD16" s="39">
        <f t="shared" si="12"/>
        <v>-2.3017377777777779</v>
      </c>
      <c r="AE16" s="39">
        <v>-4.9000000000000004</v>
      </c>
      <c r="AF16" s="39">
        <v>-3.6367336363636298</v>
      </c>
      <c r="AG16" s="39">
        <v>0</v>
      </c>
    </row>
    <row r="17" spans="1:33" x14ac:dyDescent="0.2">
      <c r="A17" s="29" t="s">
        <v>61</v>
      </c>
      <c r="B17" s="29" t="s">
        <v>62</v>
      </c>
      <c r="C17" s="16">
        <f t="shared" si="4"/>
        <v>22.222222222222221</v>
      </c>
      <c r="D17" s="30">
        <v>9</v>
      </c>
      <c r="E17" s="30">
        <v>0</v>
      </c>
      <c r="F17" s="33">
        <v>200</v>
      </c>
      <c r="G17" s="31">
        <v>0</v>
      </c>
      <c r="H17" s="32">
        <f t="shared" si="1"/>
        <v>0</v>
      </c>
      <c r="I17" s="32">
        <f t="shared" si="2"/>
        <v>0.45643078636363671</v>
      </c>
      <c r="J17" s="33">
        <f t="shared" si="5"/>
        <v>91.286157272727337</v>
      </c>
      <c r="K17" s="33">
        <f t="shared" si="3"/>
        <v>10.142906363636371</v>
      </c>
      <c r="L17" s="30">
        <v>16</v>
      </c>
      <c r="M17" s="34">
        <f t="shared" si="6"/>
        <v>0.5625</v>
      </c>
      <c r="N17" s="30">
        <v>57</v>
      </c>
      <c r="O17" s="35">
        <f t="shared" ref="O17:P17" si="25">D17/7</f>
        <v>1.2857142857142858</v>
      </c>
      <c r="P17" s="35">
        <f t="shared" si="25"/>
        <v>0</v>
      </c>
      <c r="Q17" s="30">
        <f t="shared" si="8"/>
        <v>44</v>
      </c>
      <c r="R17" s="30"/>
      <c r="S17" s="22">
        <v>0.842592592592592</v>
      </c>
      <c r="T17" s="29">
        <v>570</v>
      </c>
      <c r="U17" s="36" t="s">
        <v>34</v>
      </c>
      <c r="V17" s="37" t="s">
        <v>34</v>
      </c>
      <c r="W17" s="29">
        <v>0</v>
      </c>
      <c r="X17" s="38">
        <f t="shared" si="9"/>
        <v>0</v>
      </c>
      <c r="Y17" s="39">
        <f t="shared" si="10"/>
        <v>0</v>
      </c>
      <c r="Z17" s="29">
        <v>0</v>
      </c>
      <c r="AA17" s="29" t="s">
        <v>35</v>
      </c>
      <c r="AB17" s="40">
        <f t="shared" si="11"/>
        <v>-0.69</v>
      </c>
      <c r="AC17" s="41">
        <v>0.15162962962962964</v>
      </c>
      <c r="AD17" s="39">
        <f t="shared" si="12"/>
        <v>-1.88324</v>
      </c>
      <c r="AE17" s="39">
        <v>-4.9000000000000004</v>
      </c>
      <c r="AF17" s="39">
        <v>-3.6367336363636298</v>
      </c>
      <c r="AG17" s="39">
        <v>0</v>
      </c>
    </row>
    <row r="18" spans="1:33" x14ac:dyDescent="0.2">
      <c r="A18" s="29" t="s">
        <v>63</v>
      </c>
      <c r="B18" s="29" t="s">
        <v>62</v>
      </c>
      <c r="C18" s="16">
        <f t="shared" si="4"/>
        <v>22.377499999999998</v>
      </c>
      <c r="D18" s="30">
        <v>8</v>
      </c>
      <c r="E18" s="30">
        <v>0</v>
      </c>
      <c r="F18" s="33">
        <v>179.01999999999998</v>
      </c>
      <c r="G18" s="31">
        <v>-0.02</v>
      </c>
      <c r="H18" s="32">
        <f t="shared" si="1"/>
        <v>1.1171936096525529E-4</v>
      </c>
      <c r="I18" s="32">
        <f t="shared" si="2"/>
        <v>0.45905004914523417</v>
      </c>
      <c r="J18" s="33">
        <f t="shared" si="5"/>
        <v>82.179139797979815</v>
      </c>
      <c r="K18" s="33">
        <f t="shared" si="3"/>
        <v>10.272392474747477</v>
      </c>
      <c r="L18" s="30">
        <v>13</v>
      </c>
      <c r="M18" s="34">
        <f t="shared" si="6"/>
        <v>0.61538461538461542</v>
      </c>
      <c r="N18" s="30">
        <v>51</v>
      </c>
      <c r="O18" s="35">
        <f t="shared" ref="O18:P18" si="26">D18/7</f>
        <v>1.1428571428571428</v>
      </c>
      <c r="P18" s="35">
        <f t="shared" si="26"/>
        <v>0</v>
      </c>
      <c r="Q18" s="30">
        <f t="shared" si="8"/>
        <v>44</v>
      </c>
      <c r="R18" s="30"/>
      <c r="S18" s="22">
        <v>0.93765586034912696</v>
      </c>
      <c r="T18" s="29">
        <v>570</v>
      </c>
      <c r="U18" s="36" t="s">
        <v>34</v>
      </c>
      <c r="V18" s="37" t="s">
        <v>34</v>
      </c>
      <c r="W18" s="29">
        <v>0</v>
      </c>
      <c r="X18" s="38">
        <f t="shared" si="9"/>
        <v>0</v>
      </c>
      <c r="Y18" s="39">
        <f t="shared" si="10"/>
        <v>0</v>
      </c>
      <c r="Z18" s="29">
        <v>0</v>
      </c>
      <c r="AA18" s="29" t="s">
        <v>35</v>
      </c>
      <c r="AB18" s="40">
        <f t="shared" si="11"/>
        <v>-0.69</v>
      </c>
      <c r="AC18" s="41">
        <v>0.15162962962962964</v>
      </c>
      <c r="AD18" s="39">
        <f t="shared" si="12"/>
        <v>-1.6739911111111112</v>
      </c>
      <c r="AE18" s="39">
        <v>-4.9000000000000004</v>
      </c>
      <c r="AF18" s="39">
        <v>-3.6367336363636298</v>
      </c>
      <c r="AG18" s="39">
        <v>0</v>
      </c>
    </row>
    <row r="19" spans="1:33" ht="12.75" customHeight="1" x14ac:dyDescent="0.2">
      <c r="A19" s="29" t="s">
        <v>64</v>
      </c>
      <c r="B19" s="29" t="s">
        <v>62</v>
      </c>
      <c r="C19" s="16">
        <f t="shared" si="4"/>
        <v>21.16</v>
      </c>
      <c r="D19" s="30">
        <v>3</v>
      </c>
      <c r="E19" s="30">
        <v>0</v>
      </c>
      <c r="F19" s="33">
        <v>63.48</v>
      </c>
      <c r="G19" s="31">
        <v>0</v>
      </c>
      <c r="H19" s="32">
        <f t="shared" si="1"/>
        <v>0</v>
      </c>
      <c r="I19" s="32">
        <f t="shared" si="2"/>
        <v>0.4366737937026216</v>
      </c>
      <c r="J19" s="33">
        <f t="shared" si="5"/>
        <v>27.720052424242418</v>
      </c>
      <c r="K19" s="33">
        <f t="shared" si="3"/>
        <v>9.2400174747474733</v>
      </c>
      <c r="L19" s="30">
        <v>4</v>
      </c>
      <c r="M19" s="34">
        <f t="shared" si="6"/>
        <v>0.75</v>
      </c>
      <c r="N19" s="30">
        <v>46</v>
      </c>
      <c r="O19" s="35">
        <f t="shared" ref="O19:P19" si="27">D19/7</f>
        <v>0.42857142857142855</v>
      </c>
      <c r="P19" s="35">
        <f t="shared" si="27"/>
        <v>0</v>
      </c>
      <c r="Q19" s="30">
        <f t="shared" si="8"/>
        <v>107</v>
      </c>
      <c r="R19" s="30"/>
      <c r="S19" s="22">
        <v>1.0210526315789401</v>
      </c>
      <c r="T19" s="29">
        <v>570</v>
      </c>
      <c r="U19" s="36" t="s">
        <v>34</v>
      </c>
      <c r="V19" s="37" t="s">
        <v>34</v>
      </c>
      <c r="W19" s="29">
        <v>0</v>
      </c>
      <c r="X19" s="38">
        <f t="shared" si="9"/>
        <v>0</v>
      </c>
      <c r="Y19" s="39">
        <f t="shared" si="10"/>
        <v>0</v>
      </c>
      <c r="Z19" s="29">
        <v>0</v>
      </c>
      <c r="AA19" s="29" t="s">
        <v>35</v>
      </c>
      <c r="AB19" s="40">
        <f t="shared" si="11"/>
        <v>-0.69</v>
      </c>
      <c r="AC19" s="41">
        <v>0.15162962962962964</v>
      </c>
      <c r="AD19" s="39">
        <f t="shared" si="12"/>
        <v>-0.62774666666666668</v>
      </c>
      <c r="AE19" s="39">
        <v>-4.9000000000000004</v>
      </c>
      <c r="AF19" s="39">
        <v>-3.6367336363636364</v>
      </c>
      <c r="AG19" s="39">
        <v>0</v>
      </c>
    </row>
    <row r="20" spans="1:33" x14ac:dyDescent="0.2">
      <c r="A20" s="29" t="s">
        <v>65</v>
      </c>
      <c r="B20" s="29" t="s">
        <v>66</v>
      </c>
      <c r="C20" s="16">
        <f t="shared" si="4"/>
        <v>20.99</v>
      </c>
      <c r="D20" s="30">
        <v>3</v>
      </c>
      <c r="E20" s="30">
        <v>0</v>
      </c>
      <c r="F20" s="33">
        <v>62.97</v>
      </c>
      <c r="G20" s="31">
        <v>0</v>
      </c>
      <c r="H20" s="32">
        <f t="shared" si="1"/>
        <v>0</v>
      </c>
      <c r="I20" s="32">
        <f t="shared" si="2"/>
        <v>0.4333262255715804</v>
      </c>
      <c r="J20" s="33">
        <f t="shared" si="5"/>
        <v>27.286552424242416</v>
      </c>
      <c r="K20" s="33">
        <f t="shared" si="3"/>
        <v>9.0955174747474725</v>
      </c>
      <c r="L20" s="30">
        <v>11</v>
      </c>
      <c r="M20" s="34">
        <f t="shared" si="6"/>
        <v>0.27272727272727271</v>
      </c>
      <c r="N20" s="30">
        <v>44</v>
      </c>
      <c r="O20" s="35">
        <f t="shared" ref="O20:P20" si="28">D20/7</f>
        <v>0.42857142857142855</v>
      </c>
      <c r="P20" s="35">
        <f t="shared" si="28"/>
        <v>0</v>
      </c>
      <c r="Q20" s="30">
        <f t="shared" si="8"/>
        <v>102</v>
      </c>
      <c r="R20" s="30"/>
      <c r="S20" s="22">
        <v>1.0279329608938499</v>
      </c>
      <c r="T20" s="29">
        <v>1140</v>
      </c>
      <c r="U20" s="36">
        <v>570</v>
      </c>
      <c r="V20" s="37" t="s">
        <v>67</v>
      </c>
      <c r="W20" s="29">
        <v>0</v>
      </c>
      <c r="X20" s="38">
        <f t="shared" si="9"/>
        <v>0</v>
      </c>
      <c r="Y20" s="39">
        <f t="shared" si="10"/>
        <v>0</v>
      </c>
      <c r="Z20" s="29">
        <v>0</v>
      </c>
      <c r="AA20" s="29" t="s">
        <v>35</v>
      </c>
      <c r="AB20" s="40">
        <f t="shared" si="11"/>
        <v>-0.69</v>
      </c>
      <c r="AC20" s="41">
        <v>0.15162962962962964</v>
      </c>
      <c r="AD20" s="39">
        <f t="shared" si="12"/>
        <v>-0.62774666666666668</v>
      </c>
      <c r="AE20" s="39">
        <v>-4.9000000000000004</v>
      </c>
      <c r="AF20" s="39">
        <v>-3.6367336363636364</v>
      </c>
      <c r="AG20" s="39">
        <v>0</v>
      </c>
    </row>
    <row r="21" spans="1:33" ht="15.75" customHeight="1" x14ac:dyDescent="0.2">
      <c r="A21" s="29" t="s">
        <v>68</v>
      </c>
      <c r="B21" s="29" t="s">
        <v>69</v>
      </c>
      <c r="C21" s="16">
        <f t="shared" si="4"/>
        <v>20.925000000000001</v>
      </c>
      <c r="D21" s="30">
        <v>4</v>
      </c>
      <c r="E21" s="30">
        <v>0</v>
      </c>
      <c r="F21" s="33">
        <v>83.7</v>
      </c>
      <c r="G21" s="31">
        <v>-0.02</v>
      </c>
      <c r="H21" s="32">
        <f t="shared" si="1"/>
        <v>2.3894862604540023E-4</v>
      </c>
      <c r="I21" s="32">
        <f t="shared" si="2"/>
        <v>0.43179294980872041</v>
      </c>
      <c r="J21" s="33">
        <f t="shared" si="5"/>
        <v>36.141069898989898</v>
      </c>
      <c r="K21" s="33">
        <f t="shared" si="3"/>
        <v>9.0352674747474744</v>
      </c>
      <c r="L21" s="30">
        <v>4</v>
      </c>
      <c r="M21" s="34">
        <f t="shared" si="6"/>
        <v>1</v>
      </c>
      <c r="N21" s="30">
        <v>39</v>
      </c>
      <c r="O21" s="35">
        <f t="shared" ref="O21:P21" si="29">D21/7</f>
        <v>0.5714285714285714</v>
      </c>
      <c r="P21" s="35">
        <f t="shared" si="29"/>
        <v>0</v>
      </c>
      <c r="Q21" s="30">
        <f t="shared" si="8"/>
        <v>68</v>
      </c>
      <c r="R21" s="30"/>
      <c r="S21" s="22">
        <v>1.05454545454545</v>
      </c>
      <c r="T21" s="29">
        <v>1140</v>
      </c>
      <c r="U21" s="36">
        <v>570</v>
      </c>
      <c r="V21" s="37" t="s">
        <v>70</v>
      </c>
      <c r="W21" s="29">
        <v>0</v>
      </c>
      <c r="X21" s="38">
        <f t="shared" si="9"/>
        <v>0</v>
      </c>
      <c r="Y21" s="39">
        <f t="shared" si="10"/>
        <v>0</v>
      </c>
      <c r="Z21" s="29">
        <v>0</v>
      </c>
      <c r="AA21" s="29" t="s">
        <v>35</v>
      </c>
      <c r="AB21" s="40">
        <f t="shared" si="11"/>
        <v>-0.69</v>
      </c>
      <c r="AC21" s="41">
        <v>0.15162962962962964</v>
      </c>
      <c r="AD21" s="39">
        <f t="shared" si="12"/>
        <v>-0.8369955555555556</v>
      </c>
      <c r="AE21" s="39">
        <v>-4.9000000000000004</v>
      </c>
      <c r="AF21" s="39">
        <v>-3.6367336363636364</v>
      </c>
      <c r="AG21" s="39">
        <v>0</v>
      </c>
    </row>
    <row r="22" spans="1:33" ht="15.75" customHeight="1" x14ac:dyDescent="0.2">
      <c r="A22" s="29" t="s">
        <v>71</v>
      </c>
      <c r="B22" s="29" t="s">
        <v>72</v>
      </c>
      <c r="C22" s="16">
        <f t="shared" si="4"/>
        <v>17.636249999999997</v>
      </c>
      <c r="D22" s="30">
        <v>8</v>
      </c>
      <c r="E22" s="30">
        <v>0</v>
      </c>
      <c r="F22" s="31">
        <v>141.08999999999997</v>
      </c>
      <c r="G22" s="31">
        <v>0</v>
      </c>
      <c r="H22" s="32">
        <f t="shared" si="1"/>
        <v>0</v>
      </c>
      <c r="I22" s="32">
        <f t="shared" si="2"/>
        <v>0.35409057904869073</v>
      </c>
      <c r="J22" s="33">
        <f t="shared" si="5"/>
        <v>49.958639797979764</v>
      </c>
      <c r="K22" s="33">
        <f t="shared" si="3"/>
        <v>6.2448299747474705</v>
      </c>
      <c r="L22" s="30">
        <v>9</v>
      </c>
      <c r="M22" s="34">
        <f t="shared" si="6"/>
        <v>0.88888888888888884</v>
      </c>
      <c r="N22" s="30">
        <v>31</v>
      </c>
      <c r="O22" s="35">
        <f t="shared" ref="O22:P22" si="30">D22/7</f>
        <v>1.1428571428571428</v>
      </c>
      <c r="P22" s="35">
        <f t="shared" si="30"/>
        <v>0</v>
      </c>
      <c r="Q22" s="30">
        <f t="shared" si="8"/>
        <v>27</v>
      </c>
      <c r="R22" s="30"/>
      <c r="S22" s="22">
        <v>1.20547945205479</v>
      </c>
      <c r="T22" s="29">
        <v>1010</v>
      </c>
      <c r="U22" s="36">
        <v>440</v>
      </c>
      <c r="V22" s="37" t="s">
        <v>73</v>
      </c>
      <c r="W22" s="29">
        <v>0</v>
      </c>
      <c r="X22" s="38">
        <f t="shared" si="9"/>
        <v>0</v>
      </c>
      <c r="Y22" s="39">
        <f t="shared" si="10"/>
        <v>0</v>
      </c>
      <c r="Z22" s="29">
        <v>0</v>
      </c>
      <c r="AA22" s="29" t="s">
        <v>35</v>
      </c>
      <c r="AB22" s="40">
        <f t="shared" si="11"/>
        <v>-0.69</v>
      </c>
      <c r="AC22" s="41">
        <v>0.15162962962962964</v>
      </c>
      <c r="AD22" s="39">
        <f t="shared" si="12"/>
        <v>-1.6739911111111112</v>
      </c>
      <c r="AE22" s="39">
        <v>-4.9000000000000004</v>
      </c>
      <c r="AF22" s="39">
        <v>-3.6367336363636364</v>
      </c>
      <c r="AG22" s="39">
        <v>0</v>
      </c>
    </row>
    <row r="23" spans="1:33" ht="15.75" customHeight="1" x14ac:dyDescent="0.2">
      <c r="A23" s="29" t="s">
        <v>74</v>
      </c>
      <c r="B23" s="29" t="s">
        <v>75</v>
      </c>
      <c r="C23" s="16">
        <f t="shared" si="4"/>
        <v>17.304545454545451</v>
      </c>
      <c r="D23" s="30">
        <v>11</v>
      </c>
      <c r="E23" s="30">
        <v>0</v>
      </c>
      <c r="F23" s="33">
        <v>190.34999999999997</v>
      </c>
      <c r="G23" s="31">
        <v>0</v>
      </c>
      <c r="H23" s="32">
        <f t="shared" si="1"/>
        <v>0</v>
      </c>
      <c r="I23" s="32">
        <f t="shared" si="2"/>
        <v>0.34458467151154287</v>
      </c>
      <c r="J23" s="33">
        <f t="shared" si="5"/>
        <v>65.591692222222179</v>
      </c>
      <c r="K23" s="33">
        <f t="shared" si="3"/>
        <v>5.9628811111111073</v>
      </c>
      <c r="L23" s="30">
        <v>17</v>
      </c>
      <c r="M23" s="34">
        <f t="shared" si="6"/>
        <v>0.6470588235294118</v>
      </c>
      <c r="N23" s="30">
        <v>23</v>
      </c>
      <c r="O23" s="35">
        <f t="shared" ref="O23:P23" si="31">D23/7</f>
        <v>1.5714285714285714</v>
      </c>
      <c r="P23" s="35">
        <f t="shared" si="31"/>
        <v>0</v>
      </c>
      <c r="Q23" s="30">
        <f t="shared" si="8"/>
        <v>14</v>
      </c>
      <c r="R23" s="30"/>
      <c r="S23" s="22">
        <v>1.26007326007326</v>
      </c>
      <c r="T23" s="29">
        <v>1010</v>
      </c>
      <c r="U23" s="36">
        <v>440</v>
      </c>
      <c r="V23" s="37" t="s">
        <v>76</v>
      </c>
      <c r="W23" s="29">
        <v>0</v>
      </c>
      <c r="X23" s="38">
        <f t="shared" si="9"/>
        <v>0</v>
      </c>
      <c r="Y23" s="39">
        <f t="shared" si="10"/>
        <v>0</v>
      </c>
      <c r="Z23" s="29">
        <v>0</v>
      </c>
      <c r="AA23" s="29" t="s">
        <v>35</v>
      </c>
      <c r="AB23" s="40">
        <f t="shared" si="11"/>
        <v>-0.69</v>
      </c>
      <c r="AC23" s="41">
        <v>0.15162962962962964</v>
      </c>
      <c r="AD23" s="39">
        <f t="shared" si="12"/>
        <v>-2.3017377777777779</v>
      </c>
      <c r="AE23" s="39">
        <v>-4.9000000000000004</v>
      </c>
      <c r="AF23" s="39">
        <v>-3.6367336363636364</v>
      </c>
      <c r="AG23" s="39">
        <v>0</v>
      </c>
    </row>
    <row r="24" spans="1:33" ht="15.75" customHeight="1" x14ac:dyDescent="0.2">
      <c r="A24" s="29" t="s">
        <v>77</v>
      </c>
      <c r="B24" s="29" t="s">
        <v>78</v>
      </c>
      <c r="C24" s="16">
        <f t="shared" si="4"/>
        <v>15.768888888888888</v>
      </c>
      <c r="D24" s="30">
        <v>9</v>
      </c>
      <c r="E24" s="30">
        <v>0</v>
      </c>
      <c r="F24" s="33">
        <v>141.91999999999999</v>
      </c>
      <c r="G24" s="33">
        <v>0</v>
      </c>
      <c r="H24" s="32">
        <f t="shared" si="1"/>
        <v>0</v>
      </c>
      <c r="I24" s="32">
        <f t="shared" si="2"/>
        <v>0.29536469329712001</v>
      </c>
      <c r="J24" s="33">
        <f t="shared" si="5"/>
        <v>41.918157272727264</v>
      </c>
      <c r="K24" s="33">
        <f t="shared" si="3"/>
        <v>4.6575730303030296</v>
      </c>
      <c r="L24" s="30">
        <v>9</v>
      </c>
      <c r="M24" s="34">
        <f t="shared" si="6"/>
        <v>1</v>
      </c>
      <c r="N24" s="30">
        <v>15</v>
      </c>
      <c r="O24" s="35">
        <f t="shared" ref="O24:P24" si="32">D24/7</f>
        <v>1.2857142857142858</v>
      </c>
      <c r="P24" s="35">
        <f t="shared" si="32"/>
        <v>0</v>
      </c>
      <c r="Q24" s="30">
        <f t="shared" si="8"/>
        <v>11</v>
      </c>
      <c r="R24" s="30"/>
      <c r="S24" s="22">
        <v>1.47035573122529</v>
      </c>
      <c r="T24" s="29">
        <v>1010</v>
      </c>
      <c r="U24" s="36">
        <v>440</v>
      </c>
      <c r="V24" s="37" t="s">
        <v>79</v>
      </c>
      <c r="W24" s="29">
        <v>0</v>
      </c>
      <c r="X24" s="38">
        <f t="shared" si="9"/>
        <v>0</v>
      </c>
      <c r="Y24" s="39">
        <f t="shared" si="10"/>
        <v>0</v>
      </c>
      <c r="Z24" s="29">
        <v>0</v>
      </c>
      <c r="AA24" s="29" t="s">
        <v>35</v>
      </c>
      <c r="AB24" s="40">
        <f t="shared" si="11"/>
        <v>-0.69</v>
      </c>
      <c r="AC24" s="41">
        <v>0.15162962962962964</v>
      </c>
      <c r="AD24" s="39">
        <f t="shared" si="12"/>
        <v>-1.88324</v>
      </c>
      <c r="AE24" s="39">
        <v>-4.9000000000000004</v>
      </c>
      <c r="AF24" s="39">
        <v>-3.6367336363636364</v>
      </c>
      <c r="AG24" s="39">
        <v>0</v>
      </c>
    </row>
    <row r="25" spans="1:33" ht="15.75" customHeight="1" x14ac:dyDescent="0.2">
      <c r="A25" s="29" t="s">
        <v>80</v>
      </c>
      <c r="B25" s="15"/>
      <c r="C25" s="16">
        <f t="shared" si="4"/>
        <v>16.055454545454548</v>
      </c>
      <c r="D25" s="30">
        <v>11</v>
      </c>
      <c r="E25" s="30">
        <v>0</v>
      </c>
      <c r="F25" s="33">
        <v>176.61</v>
      </c>
      <c r="G25" s="33">
        <v>0</v>
      </c>
      <c r="H25" s="32">
        <f t="shared" si="1"/>
        <v>0</v>
      </c>
      <c r="I25" s="32">
        <f t="shared" si="2"/>
        <v>0.30506065467539906</v>
      </c>
      <c r="J25" s="33">
        <f t="shared" si="5"/>
        <v>53.876762222222233</v>
      </c>
      <c r="K25" s="33">
        <f t="shared" si="3"/>
        <v>4.8978874747474759</v>
      </c>
      <c r="L25" s="30">
        <v>21</v>
      </c>
      <c r="M25" s="34">
        <f t="shared" si="6"/>
        <v>0.52380952380952384</v>
      </c>
      <c r="N25" s="30">
        <v>3</v>
      </c>
      <c r="O25" s="35">
        <f t="shared" ref="O25:P25" si="33">D25/7</f>
        <v>1.5714285714285714</v>
      </c>
      <c r="P25" s="35">
        <f t="shared" si="33"/>
        <v>0</v>
      </c>
      <c r="Q25" s="30">
        <f t="shared" si="8"/>
        <v>1</v>
      </c>
      <c r="R25" s="30"/>
      <c r="S25" s="22">
        <v>1.86046511627907</v>
      </c>
      <c r="T25" s="29">
        <v>1010</v>
      </c>
      <c r="U25" s="36">
        <v>440</v>
      </c>
      <c r="V25" s="37" t="s">
        <v>79</v>
      </c>
      <c r="W25" s="15">
        <v>0</v>
      </c>
      <c r="X25" s="38">
        <f t="shared" si="9"/>
        <v>0</v>
      </c>
      <c r="Y25" s="39">
        <f t="shared" si="10"/>
        <v>0</v>
      </c>
      <c r="Z25" s="15">
        <v>0</v>
      </c>
      <c r="AA25" s="29" t="s">
        <v>35</v>
      </c>
      <c r="AB25" s="40">
        <f t="shared" si="11"/>
        <v>-0.69</v>
      </c>
      <c r="AC25" s="41">
        <v>0.15162962962962964</v>
      </c>
      <c r="AD25" s="39">
        <f t="shared" si="12"/>
        <v>-2.3017377777777779</v>
      </c>
      <c r="AE25" s="39">
        <v>-4.9000000000000004</v>
      </c>
      <c r="AF25" s="39">
        <v>-3.64</v>
      </c>
      <c r="AG25" s="39">
        <v>0</v>
      </c>
    </row>
    <row r="26" spans="1:33" ht="15.75" customHeight="1" x14ac:dyDescent="0.2">
      <c r="A26" s="15" t="s">
        <v>81</v>
      </c>
      <c r="B26" s="15" t="s">
        <v>82</v>
      </c>
      <c r="C26" s="16">
        <f t="shared" si="4"/>
        <v>16.18</v>
      </c>
      <c r="D26" s="17">
        <v>1</v>
      </c>
      <c r="E26" s="17">
        <v>0</v>
      </c>
      <c r="F26" s="18">
        <v>16.18</v>
      </c>
      <c r="G26" s="18">
        <v>0</v>
      </c>
      <c r="H26" s="32">
        <f t="shared" si="1"/>
        <v>0</v>
      </c>
      <c r="I26" s="32">
        <f t="shared" si="2"/>
        <v>0.30945719868649446</v>
      </c>
      <c r="J26" s="33">
        <f t="shared" si="5"/>
        <v>5.0070174747474807</v>
      </c>
      <c r="K26" s="33">
        <f t="shared" si="3"/>
        <v>5.0070174747474807</v>
      </c>
      <c r="L26" s="17">
        <v>2</v>
      </c>
      <c r="M26" s="34">
        <f t="shared" si="6"/>
        <v>0.5</v>
      </c>
      <c r="N26" s="17">
        <v>0</v>
      </c>
      <c r="O26" s="35">
        <f t="shared" ref="O26:P26" si="34">D26/7</f>
        <v>0.14285714285714285</v>
      </c>
      <c r="P26" s="35">
        <f t="shared" si="34"/>
        <v>0</v>
      </c>
      <c r="Q26" s="30">
        <f t="shared" si="8"/>
        <v>0</v>
      </c>
      <c r="R26" s="30"/>
      <c r="S26" s="42">
        <v>0</v>
      </c>
      <c r="T26" s="29">
        <v>570</v>
      </c>
      <c r="U26" s="36" t="s">
        <v>34</v>
      </c>
      <c r="V26" s="37" t="s">
        <v>34</v>
      </c>
      <c r="W26" s="15">
        <v>0</v>
      </c>
      <c r="X26" s="38">
        <f t="shared" si="9"/>
        <v>0</v>
      </c>
      <c r="Y26" s="39">
        <f t="shared" si="10"/>
        <v>0</v>
      </c>
      <c r="Z26" s="15">
        <v>0</v>
      </c>
      <c r="AA26" s="29" t="s">
        <v>35</v>
      </c>
      <c r="AB26" s="40">
        <f t="shared" si="11"/>
        <v>-0.69</v>
      </c>
      <c r="AC26" s="41">
        <v>0.15162962962962964</v>
      </c>
      <c r="AD26" s="39">
        <f t="shared" si="12"/>
        <v>-0.2092488888888889</v>
      </c>
      <c r="AE26" s="26">
        <v>-4.9000000000000004</v>
      </c>
      <c r="AF26" s="26">
        <v>-3.6367336363636298</v>
      </c>
      <c r="AG26" s="26">
        <v>0</v>
      </c>
    </row>
    <row r="27" spans="1:33" ht="15.75" customHeight="1" x14ac:dyDescent="0.2">
      <c r="A27" s="15" t="s">
        <v>83</v>
      </c>
      <c r="B27" s="15" t="s">
        <v>84</v>
      </c>
      <c r="C27" s="16">
        <f t="shared" si="4"/>
        <v>16.37</v>
      </c>
      <c r="D27" s="17">
        <v>12</v>
      </c>
      <c r="E27" s="17">
        <v>0</v>
      </c>
      <c r="F27" s="18">
        <v>196.44</v>
      </c>
      <c r="G27" s="18">
        <v>0</v>
      </c>
      <c r="H27" s="32">
        <f t="shared" si="1"/>
        <v>0</v>
      </c>
      <c r="I27" s="32">
        <f t="shared" si="2"/>
        <v>0.31267669363148931</v>
      </c>
      <c r="J27" s="33">
        <f t="shared" si="5"/>
        <v>61.422209696969759</v>
      </c>
      <c r="K27" s="33">
        <f t="shared" si="3"/>
        <v>5.1185174747474802</v>
      </c>
      <c r="L27" s="17">
        <v>10</v>
      </c>
      <c r="M27" s="34">
        <f t="shared" si="6"/>
        <v>1.2</v>
      </c>
      <c r="N27" s="17">
        <v>441</v>
      </c>
      <c r="O27" s="35">
        <f t="shared" ref="O27:P27" si="35">D27/7</f>
        <v>1.7142857142857142</v>
      </c>
      <c r="P27" s="35">
        <f t="shared" si="35"/>
        <v>0</v>
      </c>
      <c r="Q27" s="30">
        <f t="shared" si="8"/>
        <v>257</v>
      </c>
      <c r="R27" s="30"/>
      <c r="S27" s="42">
        <v>0.61386138613861385</v>
      </c>
      <c r="T27" s="29">
        <v>570</v>
      </c>
      <c r="U27" s="36" t="s">
        <v>34</v>
      </c>
      <c r="V27" s="37" t="s">
        <v>34</v>
      </c>
      <c r="W27" s="15">
        <v>0</v>
      </c>
      <c r="X27" s="38">
        <f t="shared" si="9"/>
        <v>0</v>
      </c>
      <c r="Y27" s="39">
        <f t="shared" si="10"/>
        <v>0</v>
      </c>
      <c r="Z27" s="15">
        <v>0</v>
      </c>
      <c r="AA27" s="29" t="s">
        <v>35</v>
      </c>
      <c r="AB27" s="40">
        <f t="shared" si="11"/>
        <v>-0.69</v>
      </c>
      <c r="AC27" s="41">
        <v>0.15162962962962964</v>
      </c>
      <c r="AD27" s="39">
        <f t="shared" si="12"/>
        <v>-2.5109866666666667</v>
      </c>
      <c r="AE27" s="26">
        <v>-4.95</v>
      </c>
      <c r="AF27" s="26">
        <v>-3.6367336363636298</v>
      </c>
      <c r="AG27" s="26">
        <v>0</v>
      </c>
    </row>
    <row r="28" spans="1:33" ht="15.75" customHeight="1" x14ac:dyDescent="0.2">
      <c r="A28" s="15" t="s">
        <v>85</v>
      </c>
      <c r="B28" s="15" t="s">
        <v>86</v>
      </c>
      <c r="C28" s="16">
        <f t="shared" si="4"/>
        <v>15.581666666666669</v>
      </c>
      <c r="D28" s="17">
        <v>6</v>
      </c>
      <c r="E28" s="17">
        <v>0</v>
      </c>
      <c r="F28" s="18">
        <v>93.490000000000009</v>
      </c>
      <c r="G28" s="18">
        <v>-19.98</v>
      </c>
      <c r="H28" s="32">
        <f t="shared" si="1"/>
        <v>0.21371269654508501</v>
      </c>
      <c r="I28" s="32">
        <f t="shared" si="2"/>
        <v>7.1778851732644033E-2</v>
      </c>
      <c r="J28" s="33">
        <f t="shared" si="5"/>
        <v>6.7106048484848912</v>
      </c>
      <c r="K28" s="33">
        <f t="shared" si="3"/>
        <v>1.1184341414141485</v>
      </c>
      <c r="L28" s="17">
        <v>18</v>
      </c>
      <c r="M28" s="34">
        <f t="shared" si="6"/>
        <v>0.33333333333333331</v>
      </c>
      <c r="N28" s="17">
        <v>422</v>
      </c>
      <c r="O28" s="35">
        <f t="shared" ref="O28:P28" si="36">D28/7</f>
        <v>0.8571428571428571</v>
      </c>
      <c r="P28" s="35">
        <f t="shared" si="36"/>
        <v>0</v>
      </c>
      <c r="Q28" s="30">
        <f t="shared" si="8"/>
        <v>492</v>
      </c>
      <c r="R28" s="30"/>
      <c r="S28" s="42">
        <v>0.66433566433566438</v>
      </c>
      <c r="T28" s="29">
        <f ca="1">IFERROR(__xludf.DUMMYFUNCTION("IFERROR(VLOOKUP($B$2,IMPORTRANGE(""https://docs.google.com/spreadsheets/d/1iVgg6Mw12RULLujzHmfOFIY8Q_KaAD8anoZzgtVAQ74/edit#gid=1503384807"",""Ubiquitty - Summary!A1:AD5000""),9,FALSE),"""")"),570)</f>
        <v>570</v>
      </c>
      <c r="U28" s="36" t="str">
        <f ca="1">IFERROR(__xludf.DUMMYFUNCTION("IFERROR(VLOOKUP($B$2,IMPORTRANGE(""https://docs.google.com/spreadsheets/d/1iVgg6Mw12RULLujzHmfOFIY8Q_KaAD8anoZzgtVAQ74/edit#gid=1503384807"",""Ubiquitty - Summary!A1:AD5000""),28,FALSE),"""")"),"")</f>
        <v/>
      </c>
      <c r="V28" s="37" t="str">
        <f ca="1">IFERROR(__xludf.DUMMYFUNCTION("IFERROR(VLOOKUP($B$2,IMPORTRANGE(""https://docs.google.com/spreadsheets/d/1iVgg6Mw12RULLujzHmfOFIY8Q_KaAD8anoZzgtVAQ74/edit#gid=1503384807"",""Ubiquitty - Summary!A1:Ae5000""),31,FALSE),"""")"),"")</f>
        <v/>
      </c>
      <c r="W28" s="15">
        <v>5</v>
      </c>
      <c r="X28" s="38">
        <f t="shared" si="9"/>
        <v>0.83333333333333337</v>
      </c>
      <c r="Y28" s="39">
        <f t="shared" si="10"/>
        <v>3.996</v>
      </c>
      <c r="Z28" s="29">
        <v>0</v>
      </c>
      <c r="AA28" s="29" t="s">
        <v>35</v>
      </c>
      <c r="AB28" s="40">
        <f t="shared" si="11"/>
        <v>-0.69</v>
      </c>
      <c r="AC28" s="41">
        <v>0.15162962962962964</v>
      </c>
      <c r="AD28" s="39">
        <f t="shared" si="12"/>
        <v>-1.2554933333333334</v>
      </c>
      <c r="AE28" s="26">
        <v>-4.95</v>
      </c>
      <c r="AF28" s="26">
        <v>-3.6367336363636298</v>
      </c>
      <c r="AG28" s="26">
        <v>0</v>
      </c>
    </row>
    <row r="29" spans="1:33" ht="15.75" customHeight="1" x14ac:dyDescent="0.2">
      <c r="A29" s="29" t="s">
        <v>87</v>
      </c>
      <c r="B29" s="29" t="s">
        <v>52</v>
      </c>
      <c r="C29" s="16">
        <f t="shared" si="4"/>
        <v>14.872</v>
      </c>
      <c r="D29" s="30">
        <v>10</v>
      </c>
      <c r="E29" s="30">
        <v>3</v>
      </c>
      <c r="F29" s="33">
        <v>148.72</v>
      </c>
      <c r="G29" s="33">
        <v>-13.38</v>
      </c>
      <c r="H29" s="32">
        <f t="shared" si="1"/>
        <v>8.9967724583109199E-2</v>
      </c>
      <c r="I29" s="32">
        <f t="shared" si="2"/>
        <v>0.1685864359028699</v>
      </c>
      <c r="J29" s="33">
        <f t="shared" si="5"/>
        <v>25.072174747474811</v>
      </c>
      <c r="K29" s="33">
        <f t="shared" si="3"/>
        <v>2.5072174747474811</v>
      </c>
      <c r="L29" s="30">
        <v>14</v>
      </c>
      <c r="M29" s="34">
        <f t="shared" si="6"/>
        <v>0.7142857142857143</v>
      </c>
      <c r="N29" s="17">
        <v>387</v>
      </c>
      <c r="O29" s="35">
        <f t="shared" ref="O29:P29" si="37">D29/7</f>
        <v>1.4285714285714286</v>
      </c>
      <c r="P29" s="35">
        <f t="shared" si="37"/>
        <v>0.42857142857142855</v>
      </c>
      <c r="Q29" s="30">
        <f t="shared" si="8"/>
        <v>208</v>
      </c>
      <c r="R29" s="30"/>
      <c r="S29" s="42">
        <v>0.82157676348547715</v>
      </c>
      <c r="T29" s="29">
        <v>570</v>
      </c>
      <c r="U29" s="36" t="s">
        <v>34</v>
      </c>
      <c r="V29" s="37" t="s">
        <v>34</v>
      </c>
      <c r="W29" s="29">
        <v>1</v>
      </c>
      <c r="X29" s="38">
        <f t="shared" si="9"/>
        <v>0.1</v>
      </c>
      <c r="Y29" s="39">
        <f t="shared" si="10"/>
        <v>13.38</v>
      </c>
      <c r="Z29" s="29">
        <v>0</v>
      </c>
      <c r="AA29" s="29" t="s">
        <v>35</v>
      </c>
      <c r="AB29" s="40">
        <f t="shared" si="11"/>
        <v>-0.69</v>
      </c>
      <c r="AC29" s="41">
        <v>0.15162962962962964</v>
      </c>
      <c r="AD29" s="39">
        <f t="shared" si="12"/>
        <v>-2.0924888888888891</v>
      </c>
      <c r="AE29" s="39">
        <v>-4.95</v>
      </c>
      <c r="AF29" s="26">
        <v>-3.6367336363636298</v>
      </c>
      <c r="AG29" s="39">
        <v>0</v>
      </c>
    </row>
    <row r="30" spans="1:33" ht="15.75" customHeight="1" x14ac:dyDescent="0.2">
      <c r="A30" s="15" t="s">
        <v>88</v>
      </c>
      <c r="B30" s="15" t="s">
        <v>89</v>
      </c>
      <c r="C30" s="16">
        <f t="shared" si="4"/>
        <v>14.457999999999998</v>
      </c>
      <c r="D30" s="17">
        <v>10</v>
      </c>
      <c r="E30" s="17">
        <v>0</v>
      </c>
      <c r="F30" s="18">
        <v>144.57999999999998</v>
      </c>
      <c r="G30" s="18">
        <v>-11.61</v>
      </c>
      <c r="H30" s="32">
        <f t="shared" si="1"/>
        <v>8.0301563148429941E-2</v>
      </c>
      <c r="I30" s="32">
        <f t="shared" si="2"/>
        <v>0.16832837686651755</v>
      </c>
      <c r="J30" s="33">
        <f t="shared" si="5"/>
        <v>24.336916727361107</v>
      </c>
      <c r="K30" s="33">
        <f t="shared" si="3"/>
        <v>2.4336916727361109</v>
      </c>
      <c r="L30" s="17">
        <v>6</v>
      </c>
      <c r="M30" s="34">
        <f t="shared" si="6"/>
        <v>1.6666666666666667</v>
      </c>
      <c r="N30" s="17">
        <v>388</v>
      </c>
      <c r="O30" s="35">
        <f t="shared" ref="O30:P30" si="38">D30/7</f>
        <v>1.4285714285714286</v>
      </c>
      <c r="P30" s="35">
        <f t="shared" si="38"/>
        <v>0</v>
      </c>
      <c r="Q30" s="30">
        <f t="shared" si="8"/>
        <v>271</v>
      </c>
      <c r="R30" s="30"/>
      <c r="S30" s="42">
        <v>0.76800000000000002</v>
      </c>
      <c r="T30" s="29">
        <v>570</v>
      </c>
      <c r="U30" s="36" t="s">
        <v>34</v>
      </c>
      <c r="V30" s="37" t="s">
        <v>34</v>
      </c>
      <c r="W30" s="15">
        <v>0</v>
      </c>
      <c r="X30" s="38">
        <f t="shared" si="9"/>
        <v>0</v>
      </c>
      <c r="Y30" s="39">
        <f t="shared" si="10"/>
        <v>0</v>
      </c>
      <c r="Z30" s="15">
        <v>0</v>
      </c>
      <c r="AA30" s="29" t="s">
        <v>35</v>
      </c>
      <c r="AB30" s="40">
        <f t="shared" si="11"/>
        <v>-0.69</v>
      </c>
      <c r="AC30" s="41">
        <v>0.15162962962962964</v>
      </c>
      <c r="AD30" s="39">
        <f t="shared" si="12"/>
        <v>-2.0924888888888891</v>
      </c>
      <c r="AE30" s="26">
        <v>-4.95</v>
      </c>
      <c r="AF30" s="26">
        <v>-3.535359438375</v>
      </c>
      <c r="AG30" s="26">
        <v>0</v>
      </c>
    </row>
    <row r="31" spans="1:33" ht="15.75" customHeight="1" x14ac:dyDescent="0.2">
      <c r="A31" s="15" t="s">
        <v>90</v>
      </c>
      <c r="B31" s="15" t="s">
        <v>91</v>
      </c>
      <c r="C31" s="16">
        <f t="shared" si="4"/>
        <v>14.77</v>
      </c>
      <c r="D31" s="17">
        <v>2</v>
      </c>
      <c r="E31" s="17">
        <v>0</v>
      </c>
      <c r="F31" s="18">
        <v>29.54</v>
      </c>
      <c r="G31" s="43">
        <v>-1.5</v>
      </c>
      <c r="H31" s="32">
        <f t="shared" si="1"/>
        <v>5.0778605280974949E-2</v>
      </c>
      <c r="I31" s="32">
        <f t="shared" si="2"/>
        <v>0.21055461562194383</v>
      </c>
      <c r="J31" s="33">
        <f t="shared" si="5"/>
        <v>6.2197833454722202</v>
      </c>
      <c r="K31" s="33">
        <f t="shared" si="3"/>
        <v>3.1098916727361101</v>
      </c>
      <c r="L31" s="17">
        <v>6</v>
      </c>
      <c r="M31" s="34">
        <f t="shared" si="6"/>
        <v>0.33333333333333331</v>
      </c>
      <c r="N31" s="17">
        <v>391</v>
      </c>
      <c r="O31" s="35">
        <f t="shared" ref="O31:P31" si="39">D31/7</f>
        <v>0.2857142857142857</v>
      </c>
      <c r="P31" s="35">
        <f t="shared" si="39"/>
        <v>0</v>
      </c>
      <c r="Q31" s="30">
        <f t="shared" si="8"/>
        <v>1368</v>
      </c>
      <c r="R31" s="30"/>
      <c r="S31" s="42">
        <v>0.41245972073039699</v>
      </c>
      <c r="T31" s="15">
        <v>130</v>
      </c>
      <c r="U31" s="23" t="s">
        <v>34</v>
      </c>
      <c r="V31" s="1" t="s">
        <v>92</v>
      </c>
      <c r="W31" s="15">
        <v>0</v>
      </c>
      <c r="X31" s="38">
        <f t="shared" si="9"/>
        <v>0</v>
      </c>
      <c r="Y31" s="39">
        <f t="shared" si="10"/>
        <v>0</v>
      </c>
      <c r="Z31" s="15">
        <v>0</v>
      </c>
      <c r="AA31" s="15" t="s">
        <v>35</v>
      </c>
      <c r="AB31" s="40">
        <f t="shared" si="11"/>
        <v>-0.69</v>
      </c>
      <c r="AC31" s="28">
        <v>0.15162962962962964</v>
      </c>
      <c r="AD31" s="39">
        <f t="shared" si="12"/>
        <v>-0.4184977777777778</v>
      </c>
      <c r="AE31" s="44">
        <v>-4.95</v>
      </c>
      <c r="AF31" s="44">
        <v>-3.535359438375</v>
      </c>
      <c r="AG31" s="26">
        <v>0</v>
      </c>
    </row>
    <row r="32" spans="1:33" ht="15.75" customHeight="1" x14ac:dyDescent="0.2">
      <c r="A32" s="15" t="s">
        <v>93</v>
      </c>
      <c r="B32" s="45" t="s">
        <v>94</v>
      </c>
      <c r="C32" s="16">
        <f t="shared" si="4"/>
        <v>14.003333333333332</v>
      </c>
      <c r="D32" s="17">
        <v>3</v>
      </c>
      <c r="E32" s="17">
        <v>1</v>
      </c>
      <c r="F32" s="18">
        <v>42.01</v>
      </c>
      <c r="G32" s="18">
        <v>-8.18</v>
      </c>
      <c r="H32" s="32">
        <f t="shared" si="1"/>
        <v>0.19471554391811474</v>
      </c>
      <c r="I32" s="32">
        <f t="shared" si="2"/>
        <v>3.4388836424859154E-2</v>
      </c>
      <c r="J32" s="33">
        <f t="shared" si="5"/>
        <v>1.444675018208333</v>
      </c>
      <c r="K32" s="33">
        <f t="shared" si="3"/>
        <v>0.48155833940277765</v>
      </c>
      <c r="L32" s="17">
        <v>11</v>
      </c>
      <c r="M32" s="34">
        <f t="shared" si="6"/>
        <v>0.27272727272727271</v>
      </c>
      <c r="N32" s="17">
        <v>389</v>
      </c>
      <c r="O32" s="35">
        <f t="shared" ref="O32:P32" si="40">D32/7</f>
        <v>0.42857142857142855</v>
      </c>
      <c r="P32" s="35">
        <f t="shared" si="40"/>
        <v>0.14285714285714285</v>
      </c>
      <c r="Q32" s="30">
        <f t="shared" si="8"/>
        <v>680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42">
        <v>0.41797752808988758</v>
      </c>
      <c r="T32" s="15">
        <f ca="1">IFERROR(__xludf.DUMMYFUNCTION("IFERROR(VLOOKUP($B$2,IMPORTRANGE(""https://docs.google.com/spreadsheets/d/1KiWZV1ko8G7lnRucBRBd29jj3Be6ltMfljMDqzOkQmI/edit#gid=1381463014"",""Lookup!A:D""),4,FALSE),"""")"),130)</f>
        <v>130</v>
      </c>
      <c r="U32" s="23">
        <f ca="1">IFERROR(__xludf.DUMMYFUNCTION("IFERROR(VLOOKUP($B$2,IMPORTRANGE(""https://docs.google.com/spreadsheets/d/1KiWZV1ko8G7lnRucBRBd29jj3Be6ltMfljMDqzOkQmI/edit#gid=1381463014"",""Lookup!A:D""),3,FALSE),"""")"),440)</f>
        <v>440</v>
      </c>
      <c r="V32" s="1" t="str">
        <f ca="1">IFERROR(__xludf.DUMMYFUNCTION("IFERROR(VLOOKUP($B$2,IMPORTRANGE(""https://docs.google.com/spreadsheets/d/1KiWZV1ko8G7lnRucBRBd29jj3Be6ltMfljMDqzOkQmI/edit#gid=1381463014"",""Lookup!A:D""),2,FALSE),"""")"),"| AGL203  - 440 units 06/07")</f>
        <v>| AGL203  - 440 units 06/07</v>
      </c>
      <c r="W32" s="15">
        <v>0</v>
      </c>
      <c r="X32" s="38">
        <f t="shared" si="9"/>
        <v>0</v>
      </c>
      <c r="Y32" s="39">
        <f t="shared" si="10"/>
        <v>0</v>
      </c>
      <c r="Z32" s="15">
        <v>0</v>
      </c>
      <c r="AA32" s="15" t="s">
        <v>35</v>
      </c>
      <c r="AB32" s="40">
        <f t="shared" si="11"/>
        <v>-0.69</v>
      </c>
      <c r="AC32" s="28">
        <v>0.15162962962962964</v>
      </c>
      <c r="AD32" s="39">
        <f t="shared" si="12"/>
        <v>-0.62774666666666668</v>
      </c>
      <c r="AE32" s="26">
        <v>-4.95</v>
      </c>
      <c r="AF32" s="26">
        <v>-3.535359438375</v>
      </c>
      <c r="AG32" s="26">
        <v>0</v>
      </c>
    </row>
    <row r="33" spans="1:33" ht="15.75" customHeight="1" x14ac:dyDescent="0.2">
      <c r="A33" s="15"/>
      <c r="B33" s="15"/>
      <c r="C33" s="46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30"/>
      <c r="S33" s="4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6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4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6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4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6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4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6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4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6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4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6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4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6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4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6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4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6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4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6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4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6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4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6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4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6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4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6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4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6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4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6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4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6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4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6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4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6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4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6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4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6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4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6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4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6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4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6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4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6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4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6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4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6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4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6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4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6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4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6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4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6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4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6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4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6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4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6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4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6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4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6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4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6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4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6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4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6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4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6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4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6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4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6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4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6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4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6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4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6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4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6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4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6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4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6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4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6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4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6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4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6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4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6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4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6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4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6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4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6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4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6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4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6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4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6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4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6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4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6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4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6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4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6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4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6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4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6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4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6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4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6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4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7"/>
      <c r="R100" s="47"/>
      <c r="S100" s="4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7"/>
      <c r="R101" s="47"/>
      <c r="S101" s="4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7"/>
      <c r="R102" s="47"/>
      <c r="S102" s="4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7"/>
      <c r="R103" s="47"/>
      <c r="S103" s="4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7"/>
      <c r="R104" s="47"/>
      <c r="S104" s="4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7"/>
      <c r="R105" s="47"/>
      <c r="S105" s="4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7"/>
      <c r="R106" s="47"/>
      <c r="S106" s="4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7"/>
      <c r="R107" s="47"/>
      <c r="S107" s="4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7"/>
      <c r="R108" s="47"/>
      <c r="S108" s="4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7"/>
      <c r="R109" s="47"/>
      <c r="S109" s="4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7"/>
      <c r="R110" s="47"/>
      <c r="S110" s="4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7"/>
      <c r="R111" s="47"/>
      <c r="S111" s="4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7"/>
      <c r="R112" s="47"/>
      <c r="S112" s="4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7"/>
      <c r="R113" s="47"/>
      <c r="S113" s="4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7"/>
      <c r="R114" s="47"/>
      <c r="S114" s="4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47"/>
      <c r="R115" s="47"/>
      <c r="S115" s="42"/>
      <c r="T115" s="15"/>
      <c r="U115" s="15"/>
      <c r="V115" s="15"/>
      <c r="W115" s="15"/>
      <c r="X115" s="15"/>
      <c r="Y115" s="15"/>
      <c r="Z115" s="15"/>
      <c r="AA115" s="2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47"/>
      <c r="R116" s="47"/>
      <c r="S116" s="42"/>
      <c r="T116" s="15"/>
      <c r="U116" s="15"/>
      <c r="V116" s="15"/>
      <c r="W116" s="15"/>
      <c r="X116" s="15"/>
      <c r="Y116" s="15"/>
      <c r="Z116" s="15"/>
      <c r="AA116" s="2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47"/>
      <c r="R117" s="47"/>
      <c r="S117" s="42"/>
      <c r="T117" s="15"/>
      <c r="U117" s="15"/>
      <c r="V117" s="15"/>
      <c r="W117" s="15"/>
      <c r="X117" s="15"/>
      <c r="Y117" s="15"/>
      <c r="Z117" s="15"/>
      <c r="AA117" s="2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2"/>
    </row>
    <row r="124" spans="1:33" ht="15.75" customHeight="1" x14ac:dyDescent="0.2"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2"/>
    </row>
    <row r="125" spans="1:33" ht="15.75" customHeight="1" x14ac:dyDescent="0.2"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2"/>
    </row>
    <row r="126" spans="1:33" ht="15.75" customHeight="1" x14ac:dyDescent="0.2"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2"/>
    </row>
    <row r="127" spans="1:33" ht="15.75" customHeight="1" x14ac:dyDescent="0.2"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2"/>
    </row>
    <row r="128" spans="1:33" ht="15.75" customHeight="1" x14ac:dyDescent="0.2"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2"/>
    </row>
    <row r="129" spans="3:19" ht="15.75" customHeight="1" x14ac:dyDescent="0.2"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2"/>
    </row>
    <row r="130" spans="3:19" ht="15.75" customHeight="1" x14ac:dyDescent="0.2"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2"/>
    </row>
    <row r="131" spans="3:19" ht="15.75" customHeight="1" x14ac:dyDescent="0.2"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2"/>
    </row>
    <row r="132" spans="3:19" ht="15.75" customHeight="1" x14ac:dyDescent="0.2"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2"/>
    </row>
    <row r="133" spans="3:19" ht="15.75" customHeight="1" x14ac:dyDescent="0.2"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2"/>
    </row>
    <row r="134" spans="3:19" ht="15.75" customHeight="1" x14ac:dyDescent="0.2"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2"/>
    </row>
    <row r="135" spans="3:19" ht="15.75" customHeight="1" x14ac:dyDescent="0.2"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2"/>
    </row>
    <row r="136" spans="3:19" ht="15.75" customHeight="1" x14ac:dyDescent="0.2"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2"/>
    </row>
    <row r="137" spans="3:19" ht="15.75" customHeight="1" x14ac:dyDescent="0.2"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2"/>
    </row>
    <row r="138" spans="3:19" ht="15.75" customHeight="1" x14ac:dyDescent="0.2"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2"/>
    </row>
    <row r="139" spans="3:19" ht="15.75" customHeight="1" x14ac:dyDescent="0.2"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2"/>
    </row>
    <row r="140" spans="3:19" ht="15.75" customHeight="1" x14ac:dyDescent="0.2"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2"/>
    </row>
    <row r="141" spans="3:19" ht="15.75" customHeight="1" x14ac:dyDescent="0.2"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2"/>
    </row>
    <row r="142" spans="3:19" ht="15.75" customHeight="1" x14ac:dyDescent="0.2"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2"/>
    </row>
    <row r="143" spans="3:19" ht="15.75" customHeight="1" x14ac:dyDescent="0.2"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2"/>
    </row>
    <row r="144" spans="3:19" ht="15.75" customHeight="1" x14ac:dyDescent="0.2"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2"/>
    </row>
    <row r="145" spans="3:19" ht="15.75" customHeight="1" x14ac:dyDescent="0.2"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2"/>
    </row>
    <row r="146" spans="3:19" ht="15.75" customHeight="1" x14ac:dyDescent="0.2"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2"/>
    </row>
    <row r="147" spans="3:19" ht="15.75" customHeight="1" x14ac:dyDescent="0.2"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2"/>
    </row>
    <row r="148" spans="3:19" ht="15.75" customHeight="1" x14ac:dyDescent="0.2"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2"/>
    </row>
    <row r="149" spans="3:19" ht="15.75" customHeight="1" x14ac:dyDescent="0.2"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2"/>
    </row>
    <row r="150" spans="3:19" ht="15.75" customHeight="1" x14ac:dyDescent="0.2"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2"/>
    </row>
    <row r="151" spans="3:19" ht="15.75" customHeight="1" x14ac:dyDescent="0.2"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2"/>
    </row>
    <row r="152" spans="3:19" ht="15.75" customHeight="1" x14ac:dyDescent="0.2"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2"/>
    </row>
    <row r="153" spans="3:19" ht="15.75" customHeight="1" x14ac:dyDescent="0.2"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2"/>
    </row>
    <row r="154" spans="3:19" ht="15.75" customHeight="1" x14ac:dyDescent="0.2"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2"/>
    </row>
    <row r="155" spans="3:19" ht="15.75" customHeight="1" x14ac:dyDescent="0.2"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2"/>
    </row>
    <row r="156" spans="3:19" ht="15.75" customHeight="1" x14ac:dyDescent="0.2"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2"/>
    </row>
    <row r="157" spans="3:19" ht="15.75" customHeight="1" x14ac:dyDescent="0.2"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2"/>
    </row>
    <row r="158" spans="3:19" ht="15.75" customHeight="1" x14ac:dyDescent="0.2"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2"/>
    </row>
    <row r="159" spans="3:19" ht="15.75" customHeight="1" x14ac:dyDescent="0.2"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2"/>
    </row>
    <row r="160" spans="3:19" ht="15.75" customHeight="1" x14ac:dyDescent="0.2"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2"/>
    </row>
    <row r="161" spans="3:19" ht="15.75" customHeight="1" x14ac:dyDescent="0.2"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2"/>
    </row>
    <row r="162" spans="3:19" ht="15.75" customHeight="1" x14ac:dyDescent="0.2"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2"/>
    </row>
    <row r="163" spans="3:19" ht="15.75" customHeight="1" x14ac:dyDescent="0.2"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2"/>
    </row>
    <row r="164" spans="3:19" ht="15.75" customHeight="1" x14ac:dyDescent="0.2"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2"/>
    </row>
    <row r="165" spans="3:19" ht="15.75" customHeight="1" x14ac:dyDescent="0.2"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2"/>
    </row>
    <row r="166" spans="3:19" ht="15.75" customHeight="1" x14ac:dyDescent="0.2"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2"/>
    </row>
    <row r="167" spans="3:19" ht="15.75" customHeight="1" x14ac:dyDescent="0.2"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2"/>
    </row>
    <row r="168" spans="3:19" ht="15.75" customHeight="1" x14ac:dyDescent="0.2"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2"/>
    </row>
    <row r="169" spans="3:19" ht="15.75" customHeight="1" x14ac:dyDescent="0.2"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2"/>
    </row>
    <row r="170" spans="3:19" ht="15.75" customHeight="1" x14ac:dyDescent="0.2"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2"/>
    </row>
    <row r="171" spans="3:19" ht="15.75" customHeight="1" x14ac:dyDescent="0.2"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2"/>
    </row>
    <row r="172" spans="3:19" ht="15.75" customHeight="1" x14ac:dyDescent="0.2"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2"/>
    </row>
    <row r="173" spans="3:19" ht="15.75" customHeight="1" x14ac:dyDescent="0.2"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2"/>
    </row>
    <row r="174" spans="3:19" ht="15.75" customHeight="1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2"/>
    </row>
    <row r="175" spans="3:19" ht="15.75" customHeight="1" x14ac:dyDescent="0.2"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2"/>
    </row>
    <row r="176" spans="3:19" ht="15.75" customHeight="1" x14ac:dyDescent="0.2"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2"/>
    </row>
    <row r="177" spans="3:19" ht="15.75" customHeight="1" x14ac:dyDescent="0.2"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2"/>
    </row>
    <row r="178" spans="3:19" ht="15.75" customHeight="1" x14ac:dyDescent="0.2"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2"/>
    </row>
    <row r="179" spans="3:19" ht="15.75" customHeight="1" x14ac:dyDescent="0.2"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2"/>
    </row>
    <row r="180" spans="3:19" ht="15.75" customHeight="1" x14ac:dyDescent="0.2"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2"/>
    </row>
    <row r="181" spans="3:19" ht="15.75" customHeight="1" x14ac:dyDescent="0.2"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2"/>
    </row>
    <row r="182" spans="3:19" ht="15.75" customHeight="1" x14ac:dyDescent="0.2"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2"/>
    </row>
    <row r="183" spans="3:19" ht="15.75" customHeight="1" x14ac:dyDescent="0.2"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2"/>
    </row>
    <row r="184" spans="3:19" ht="15.75" customHeight="1" x14ac:dyDescent="0.2"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2"/>
    </row>
    <row r="185" spans="3:19" ht="15.75" customHeight="1" x14ac:dyDescent="0.2"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2"/>
    </row>
    <row r="186" spans="3:19" ht="15.75" customHeight="1" x14ac:dyDescent="0.2"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2"/>
    </row>
    <row r="187" spans="3:19" ht="15.75" customHeight="1" x14ac:dyDescent="0.2"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2"/>
    </row>
    <row r="188" spans="3:19" ht="15.75" customHeight="1" x14ac:dyDescent="0.2"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2"/>
    </row>
    <row r="189" spans="3:19" ht="15.75" customHeight="1" x14ac:dyDescent="0.2"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2"/>
    </row>
    <row r="190" spans="3:19" ht="15.75" customHeight="1" x14ac:dyDescent="0.2"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2"/>
    </row>
    <row r="191" spans="3:19" ht="15.75" customHeight="1" x14ac:dyDescent="0.2"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2"/>
    </row>
    <row r="192" spans="3:19" ht="15.75" customHeight="1" x14ac:dyDescent="0.2"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2"/>
    </row>
    <row r="193" spans="3:19" ht="15.75" customHeight="1" x14ac:dyDescent="0.2"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2"/>
    </row>
    <row r="194" spans="3:19" ht="15.75" customHeight="1" x14ac:dyDescent="0.2"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2"/>
    </row>
    <row r="195" spans="3:19" ht="15.75" customHeight="1" x14ac:dyDescent="0.2"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2"/>
    </row>
    <row r="196" spans="3:19" ht="15.75" customHeight="1" x14ac:dyDescent="0.2"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2"/>
    </row>
    <row r="197" spans="3:19" ht="15.75" customHeight="1" x14ac:dyDescent="0.2"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2"/>
    </row>
    <row r="198" spans="3:19" ht="15.75" customHeight="1" x14ac:dyDescent="0.2"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2"/>
    </row>
    <row r="199" spans="3:19" ht="15.75" customHeight="1" x14ac:dyDescent="0.2"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2"/>
    </row>
    <row r="200" spans="3:19" ht="15.75" customHeight="1" x14ac:dyDescent="0.2"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2"/>
    </row>
    <row r="201" spans="3:19" ht="15.75" customHeight="1" x14ac:dyDescent="0.2"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2"/>
    </row>
    <row r="202" spans="3:19" ht="15.75" customHeight="1" x14ac:dyDescent="0.2"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2"/>
    </row>
    <row r="203" spans="3:19" ht="15.75" customHeight="1" x14ac:dyDescent="0.2"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2"/>
    </row>
    <row r="204" spans="3:19" ht="15.75" customHeight="1" x14ac:dyDescent="0.2"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2"/>
    </row>
    <row r="205" spans="3:19" ht="15.75" customHeight="1" x14ac:dyDescent="0.2"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2"/>
    </row>
    <row r="206" spans="3:19" ht="15.75" customHeight="1" x14ac:dyDescent="0.2"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2"/>
    </row>
    <row r="207" spans="3:19" ht="15.75" customHeight="1" x14ac:dyDescent="0.2"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2"/>
    </row>
    <row r="208" spans="3:19" ht="15.75" customHeight="1" x14ac:dyDescent="0.2"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2"/>
    </row>
    <row r="209" spans="3:19" ht="15.75" customHeight="1" x14ac:dyDescent="0.2"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2"/>
    </row>
    <row r="210" spans="3:19" ht="15.75" customHeight="1" x14ac:dyDescent="0.2"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2"/>
    </row>
    <row r="211" spans="3:19" ht="15.75" customHeight="1" x14ac:dyDescent="0.2"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2"/>
    </row>
    <row r="212" spans="3:19" ht="15.75" customHeight="1" x14ac:dyDescent="0.2"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2"/>
    </row>
    <row r="213" spans="3:19" ht="15.75" customHeight="1" x14ac:dyDescent="0.2"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2"/>
    </row>
    <row r="214" spans="3:19" ht="15.75" customHeight="1" x14ac:dyDescent="0.2"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2"/>
    </row>
    <row r="215" spans="3:19" ht="15.75" customHeight="1" x14ac:dyDescent="0.2"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2"/>
    </row>
    <row r="216" spans="3:19" ht="15.75" customHeight="1" x14ac:dyDescent="0.2"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2"/>
    </row>
    <row r="217" spans="3:19" ht="15.75" customHeight="1" x14ac:dyDescent="0.2"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2"/>
    </row>
    <row r="218" spans="3:19" ht="15.75" customHeight="1" x14ac:dyDescent="0.2"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2"/>
    </row>
    <row r="219" spans="3:19" ht="15.75" customHeight="1" x14ac:dyDescent="0.2"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2"/>
    </row>
    <row r="220" spans="3:19" ht="15.75" customHeight="1" x14ac:dyDescent="0.2"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2"/>
    </row>
    <row r="221" spans="3:19" ht="15.75" customHeight="1" x14ac:dyDescent="0.2">
      <c r="R221" s="15"/>
      <c r="S221" s="42"/>
    </row>
    <row r="222" spans="3:19" ht="15.75" customHeight="1" x14ac:dyDescent="0.2">
      <c r="R222" s="15"/>
      <c r="S222" s="42"/>
    </row>
    <row r="223" spans="3:19" ht="15.75" customHeight="1" x14ac:dyDescent="0.2">
      <c r="R223" s="15"/>
      <c r="S223" s="42"/>
    </row>
    <row r="224" spans="3:19" ht="15.75" customHeight="1" x14ac:dyDescent="0.2">
      <c r="R224" s="15"/>
      <c r="S224" s="4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abSelected="1" workbookViewId="0">
      <pane xSplit="2" ySplit="3" topLeftCell="F19" activePane="bottomRight" state="frozen"/>
      <selection activeCell="R32" sqref="R32"/>
      <selection pane="topRight" activeCell="R32" sqref="R32"/>
      <selection pane="bottomLeft" activeCell="R32" sqref="R32"/>
      <selection pane="bottomRight" activeCell="R32" sqref="R32"/>
    </sheetView>
  </sheetViews>
  <sheetFormatPr baseColWidth="10" defaultColWidth="14.5" defaultRowHeight="15" customHeight="1" x14ac:dyDescent="0.2"/>
  <cols>
    <col min="1" max="1" width="15" customWidth="1"/>
    <col min="2" max="2" width="21.83203125" customWidth="1"/>
    <col min="3" max="3" width="8.5" customWidth="1"/>
    <col min="4" max="4" width="6.5" customWidth="1"/>
    <col min="5" max="5" width="9.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24.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0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49" t="str">
        <f ca="1">IFERROR(__xludf.DUMMYFUNCTION("IFERROR(VLOOKUP(B2,IMPORTRANGE(""https://docs.google.com/spreadsheets/d/1x0DhHglkXKoEBOD2MBsuK_EyIr1ouxD2ftIpqOYFa-k/edit?usp=sharing"",""Ubiquitty-SKU-Specific Info!B1:BJ5000""),3,FALSE),"""")"),"S14 Light Bulbs Replacement for String Lights")</f>
        <v>S14 Light Bulbs Replacement for String Lights</v>
      </c>
      <c r="B1" s="50"/>
      <c r="C1" s="51" t="s">
        <v>0</v>
      </c>
      <c r="D1" s="53" t="s">
        <v>1</v>
      </c>
      <c r="E1" s="53" t="s">
        <v>2</v>
      </c>
      <c r="F1" s="55" t="s">
        <v>3</v>
      </c>
      <c r="G1" s="55" t="s">
        <v>4</v>
      </c>
      <c r="H1" s="56" t="s">
        <v>5</v>
      </c>
      <c r="I1" s="53" t="s">
        <v>6</v>
      </c>
      <c r="J1" s="53" t="s">
        <v>7</v>
      </c>
      <c r="K1" s="53" t="s">
        <v>8</v>
      </c>
      <c r="L1" s="53" t="s">
        <v>9</v>
      </c>
      <c r="M1" s="60" t="s">
        <v>10</v>
      </c>
      <c r="N1" s="61" t="s">
        <v>11</v>
      </c>
      <c r="O1" s="53" t="s">
        <v>12</v>
      </c>
      <c r="P1" s="53" t="s">
        <v>13</v>
      </c>
      <c r="Q1" s="53" t="s">
        <v>14</v>
      </c>
      <c r="R1" s="53" t="s">
        <v>15</v>
      </c>
      <c r="S1" s="62" t="s">
        <v>16</v>
      </c>
      <c r="T1" s="64" t="s">
        <v>118</v>
      </c>
      <c r="U1" s="64" t="s">
        <v>17</v>
      </c>
      <c r="V1" s="64" t="s">
        <v>18</v>
      </c>
      <c r="W1" s="64" t="s">
        <v>19</v>
      </c>
      <c r="X1" s="64" t="s">
        <v>20</v>
      </c>
      <c r="Y1" s="64" t="s">
        <v>21</v>
      </c>
      <c r="Z1" s="64" t="s">
        <v>22</v>
      </c>
      <c r="AA1" s="64" t="s">
        <v>23</v>
      </c>
      <c r="AB1" s="64" t="s">
        <v>24</v>
      </c>
      <c r="AC1" s="64" t="s">
        <v>25</v>
      </c>
      <c r="AD1" s="66" t="s">
        <v>26</v>
      </c>
      <c r="AE1" s="67" t="s">
        <v>27</v>
      </c>
      <c r="AF1" s="67" t="s">
        <v>28</v>
      </c>
      <c r="AG1" s="67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Info!B1:BJ5000""),2,FALSE),"""")"),"B01E44VDEO")</f>
        <v>B01E44VDEO</v>
      </c>
      <c r="B2" s="3" t="s">
        <v>95</v>
      </c>
      <c r="C2" s="52"/>
      <c r="D2" s="52"/>
      <c r="E2" s="54"/>
      <c r="F2" s="52"/>
      <c r="G2" s="52"/>
      <c r="H2" s="57"/>
      <c r="I2" s="52"/>
      <c r="J2" s="52"/>
      <c r="K2" s="57"/>
      <c r="L2" s="57"/>
      <c r="M2" s="57"/>
      <c r="N2" s="52"/>
      <c r="O2" s="52"/>
      <c r="P2" s="54"/>
      <c r="Q2" s="52"/>
      <c r="R2" s="52"/>
      <c r="S2" s="63"/>
      <c r="T2" s="50"/>
      <c r="U2" s="65"/>
      <c r="V2" s="65"/>
      <c r="W2" s="50"/>
      <c r="X2" s="50"/>
      <c r="Y2" s="50"/>
      <c r="Z2" s="50"/>
      <c r="AA2" s="65"/>
      <c r="AB2" s="65"/>
      <c r="AC2" s="65"/>
      <c r="AD2" s="65"/>
      <c r="AE2" s="50"/>
      <c r="AF2" s="50"/>
      <c r="AG2" s="50"/>
    </row>
    <row r="3" spans="1:33" ht="130.5" customHeight="1" x14ac:dyDescent="0.2">
      <c r="A3" s="58" t="s">
        <v>31</v>
      </c>
      <c r="B3" s="59"/>
      <c r="C3" s="4">
        <f>((AE32+AF32)/0.85)*-1</f>
        <v>11.945853629411765</v>
      </c>
      <c r="D3" s="5">
        <f>SUM(D4:D99768)</f>
        <v>252</v>
      </c>
      <c r="E3" s="5"/>
      <c r="F3" s="6">
        <f t="shared" ref="F3:G3" si="0">SUM(F4:F99768)</f>
        <v>4918.74</v>
      </c>
      <c r="G3" s="6">
        <f t="shared" si="0"/>
        <v>-62.19</v>
      </c>
      <c r="H3" s="7">
        <f t="shared" ref="H3:H32" si="1">G3/F3*-1</f>
        <v>1.2643481867307481E-2</v>
      </c>
      <c r="I3" s="8">
        <f t="shared" ref="I3:I32" si="2">J3/F3</f>
        <v>0.29496541853214614</v>
      </c>
      <c r="J3" s="6">
        <f>SUM(J4:J99768)</f>
        <v>1450.8582027508085</v>
      </c>
      <c r="K3" s="6">
        <f t="shared" ref="K3:K32" si="3">J3/D3</f>
        <v>5.7573738204397165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Sheet!a1:g5000""),2,FALSE),"""")"),"7 - March
9 - April
9 - May
11 - June
10 - July
8 - Aug
8 - Sept
4 - Oct
1 - Nov
1 - Dec
5 - Jan
5 - Feb")</f>
        <v>7 - March
9 - April
9 - May
11 - June
10 - July
8 - Aug
8 - Sept
4 - Oct
1 - Nov
1 - Dec
5 - Jan
5 -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SUM(W4:W99768)</f>
        <v>13</v>
      </c>
      <c r="X3" s="7">
        <f>W3/D3</f>
        <v>5.1587301587301584E-2</v>
      </c>
      <c r="Y3" s="6"/>
      <c r="Z3" s="5"/>
      <c r="AA3" s="5"/>
      <c r="AB3" s="5"/>
      <c r="AC3" s="5"/>
      <c r="AD3" s="6">
        <f>SUM(AD4:AD99768)</f>
        <v>-78.595523705858113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Info!B2:BZ3000""),37,FALSE)),"""")*-1"),-4.473975585)</f>
        <v>-4.4739755849999998</v>
      </c>
      <c r="AG3" s="6">
        <f>SUM(AG4:AG99768)</f>
        <v>-2.0499999999999998</v>
      </c>
    </row>
    <row r="4" spans="1:33" x14ac:dyDescent="0.2">
      <c r="A4" s="15" t="s">
        <v>32</v>
      </c>
      <c r="B4" s="15" t="s">
        <v>96</v>
      </c>
      <c r="C4" s="16">
        <f t="shared" ref="C4:C32" si="4">IFERROR(F4/D4," - ")</f>
        <v>23.75</v>
      </c>
      <c r="D4" s="17">
        <v>6</v>
      </c>
      <c r="E4" s="17">
        <v>0</v>
      </c>
      <c r="F4" s="18">
        <v>142.5</v>
      </c>
      <c r="G4" s="18">
        <v>0</v>
      </c>
      <c r="H4" s="19">
        <f t="shared" si="1"/>
        <v>0</v>
      </c>
      <c r="I4" s="19">
        <f t="shared" si="2"/>
        <v>0.4106114035087719</v>
      </c>
      <c r="J4" s="18">
        <f t="shared" ref="J4:J32" si="5">F4*0.85+G4+AF4*D4+D4*AE4+AG4+AD4</f>
        <v>58.512124999999997</v>
      </c>
      <c r="K4" s="18">
        <f t="shared" si="3"/>
        <v>9.7520208333333329</v>
      </c>
      <c r="L4" s="17">
        <v>2</v>
      </c>
      <c r="M4" s="20">
        <f t="shared" ref="M4:M32" si="6">IFERROR(D4/L4,"-")</f>
        <v>3</v>
      </c>
      <c r="N4" s="17">
        <v>150</v>
      </c>
      <c r="O4" s="21">
        <f t="shared" ref="O4:P4" si="7">D4/7</f>
        <v>0.8571428571428571</v>
      </c>
      <c r="P4" s="21">
        <f t="shared" si="7"/>
        <v>0</v>
      </c>
      <c r="Q4" s="17">
        <f t="shared" ref="Q4:Q32" si="8">ROUNDDOWN(N4/(O4+P4),0)</f>
        <v>175</v>
      </c>
      <c r="R4" s="17"/>
      <c r="S4" s="22">
        <v>0.44699140401146098</v>
      </c>
      <c r="T4" s="15">
        <v>866</v>
      </c>
      <c r="U4" s="23" t="s">
        <v>34</v>
      </c>
      <c r="V4" s="24" t="s">
        <v>34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35</v>
      </c>
      <c r="AB4" s="27">
        <f t="shared" ref="AB4:AB32" si="11">IF(OR(AA4="UsLargeStandardSize",AA4="UsSmallStandardSize"),-0.69,-0.48)</f>
        <v>-0.69</v>
      </c>
      <c r="AC4" s="28">
        <v>0.23604166666666671</v>
      </c>
      <c r="AD4" s="26">
        <f t="shared" ref="AD4:AD32" si="12">IFERROR(AB4*AC4*D4*2,0)</f>
        <v>-1.9544250000000001</v>
      </c>
      <c r="AE4" s="26">
        <v>-5.8</v>
      </c>
      <c r="AF4" s="26">
        <v>-4.3097416666666675</v>
      </c>
      <c r="AG4" s="26">
        <v>0</v>
      </c>
    </row>
    <row r="5" spans="1:33" ht="15.75" customHeight="1" x14ac:dyDescent="0.2">
      <c r="A5" s="29" t="s">
        <v>36</v>
      </c>
      <c r="B5" s="29"/>
      <c r="C5" s="16">
        <f t="shared" si="4"/>
        <v>21.48833333333333</v>
      </c>
      <c r="D5" s="30">
        <v>18</v>
      </c>
      <c r="E5" s="30">
        <v>0</v>
      </c>
      <c r="F5" s="31">
        <v>386.78999999999996</v>
      </c>
      <c r="G5" s="31">
        <v>0</v>
      </c>
      <c r="H5" s="32">
        <f t="shared" si="1"/>
        <v>0</v>
      </c>
      <c r="I5" s="32">
        <f t="shared" si="2"/>
        <v>0.36434778804670825</v>
      </c>
      <c r="J5" s="33">
        <f t="shared" si="5"/>
        <v>140.92608093858627</v>
      </c>
      <c r="K5" s="33">
        <f t="shared" si="3"/>
        <v>7.8292267188103484</v>
      </c>
      <c r="L5" s="30">
        <v>20</v>
      </c>
      <c r="M5" s="34">
        <f t="shared" si="6"/>
        <v>0.9</v>
      </c>
      <c r="N5" s="30">
        <v>132</v>
      </c>
      <c r="O5" s="35">
        <f t="shared" ref="O5:P5" si="13">D5/7</f>
        <v>2.5714285714285716</v>
      </c>
      <c r="P5" s="35">
        <f t="shared" si="13"/>
        <v>0</v>
      </c>
      <c r="Q5" s="30">
        <f t="shared" si="8"/>
        <v>51</v>
      </c>
      <c r="R5" s="30"/>
      <c r="S5" s="22">
        <v>0.69736842105263097</v>
      </c>
      <c r="T5" s="29">
        <v>866</v>
      </c>
      <c r="U5" s="36" t="s">
        <v>34</v>
      </c>
      <c r="V5" s="37" t="s">
        <v>34</v>
      </c>
      <c r="W5" s="29">
        <v>0</v>
      </c>
      <c r="X5" s="38">
        <f t="shared" si="9"/>
        <v>0</v>
      </c>
      <c r="Y5" s="39">
        <f t="shared" si="10"/>
        <v>0</v>
      </c>
      <c r="Z5" s="29">
        <v>0</v>
      </c>
      <c r="AA5" s="29" t="s">
        <v>35</v>
      </c>
      <c r="AB5" s="40">
        <f t="shared" si="11"/>
        <v>-0.69</v>
      </c>
      <c r="AC5" s="41">
        <v>0.23631517960602552</v>
      </c>
      <c r="AD5" s="39">
        <f t="shared" si="12"/>
        <v>-5.8700690614136732</v>
      </c>
      <c r="AE5" s="39">
        <v>-5.8</v>
      </c>
      <c r="AF5" s="39">
        <v>-4.3097416666666675</v>
      </c>
      <c r="AG5" s="39">
        <v>0</v>
      </c>
    </row>
    <row r="6" spans="1:33" ht="15.75" customHeight="1" x14ac:dyDescent="0.2">
      <c r="A6" s="29" t="s">
        <v>38</v>
      </c>
      <c r="B6" s="29" t="s">
        <v>97</v>
      </c>
      <c r="C6" s="16">
        <f t="shared" si="4"/>
        <v>20.77</v>
      </c>
      <c r="D6" s="30">
        <v>4</v>
      </c>
      <c r="E6" s="30">
        <v>0</v>
      </c>
      <c r="F6" s="31">
        <v>83.08</v>
      </c>
      <c r="G6" s="31">
        <v>-0.02</v>
      </c>
      <c r="H6" s="32">
        <f t="shared" si="1"/>
        <v>2.4073182474723161E-4</v>
      </c>
      <c r="I6" s="32">
        <f t="shared" si="2"/>
        <v>0.3473288797945755</v>
      </c>
      <c r="J6" s="33">
        <f t="shared" si="5"/>
        <v>28.856083333333331</v>
      </c>
      <c r="K6" s="33">
        <f t="shared" si="3"/>
        <v>7.2140208333333327</v>
      </c>
      <c r="L6" s="30">
        <v>13</v>
      </c>
      <c r="M6" s="34">
        <f t="shared" si="6"/>
        <v>0.30769230769230771</v>
      </c>
      <c r="N6" s="30">
        <v>125</v>
      </c>
      <c r="O6" s="35">
        <f t="shared" ref="O6:P6" si="14">D6/7</f>
        <v>0.5714285714285714</v>
      </c>
      <c r="P6" s="35">
        <f t="shared" si="14"/>
        <v>0</v>
      </c>
      <c r="Q6" s="30">
        <f t="shared" si="8"/>
        <v>218</v>
      </c>
      <c r="R6" s="30"/>
      <c r="S6" s="22">
        <v>0.89510489510489499</v>
      </c>
      <c r="T6" s="29">
        <v>866</v>
      </c>
      <c r="U6" s="36" t="s">
        <v>34</v>
      </c>
      <c r="V6" s="37" t="s">
        <v>40</v>
      </c>
      <c r="W6" s="29">
        <v>0</v>
      </c>
      <c r="X6" s="38">
        <f t="shared" si="9"/>
        <v>0</v>
      </c>
      <c r="Y6" s="39">
        <f t="shared" si="10"/>
        <v>0</v>
      </c>
      <c r="Z6" s="29">
        <v>0</v>
      </c>
      <c r="AA6" s="29" t="s">
        <v>35</v>
      </c>
      <c r="AB6" s="40">
        <f t="shared" si="11"/>
        <v>-0.69</v>
      </c>
      <c r="AC6" s="41">
        <v>0.23604166666666671</v>
      </c>
      <c r="AD6" s="39">
        <f t="shared" si="12"/>
        <v>-1.3029500000000001</v>
      </c>
      <c r="AE6" s="39">
        <v>-5.8</v>
      </c>
      <c r="AF6" s="39">
        <v>-4.3097416666666675</v>
      </c>
      <c r="AG6" s="39">
        <v>0</v>
      </c>
    </row>
    <row r="7" spans="1:33" ht="15.75" customHeight="1" x14ac:dyDescent="0.2">
      <c r="A7" s="29" t="s">
        <v>41</v>
      </c>
      <c r="B7" s="29" t="s">
        <v>98</v>
      </c>
      <c r="C7" s="16">
        <f t="shared" si="4"/>
        <v>17.981904761904762</v>
      </c>
      <c r="D7" s="30">
        <v>21</v>
      </c>
      <c r="E7" s="30">
        <v>0</v>
      </c>
      <c r="F7" s="31">
        <v>377.62</v>
      </c>
      <c r="G7" s="31">
        <v>0</v>
      </c>
      <c r="H7" s="32">
        <f t="shared" si="1"/>
        <v>0</v>
      </c>
      <c r="I7" s="32">
        <f t="shared" si="2"/>
        <v>0.2705359687869639</v>
      </c>
      <c r="J7" s="33">
        <f t="shared" si="5"/>
        <v>102.1597925333333</v>
      </c>
      <c r="K7" s="33">
        <f t="shared" si="3"/>
        <v>4.8647520253968235</v>
      </c>
      <c r="L7" s="30">
        <v>34</v>
      </c>
      <c r="M7" s="34">
        <f t="shared" si="6"/>
        <v>0.61764705882352944</v>
      </c>
      <c r="N7" s="30">
        <v>106</v>
      </c>
      <c r="O7" s="35">
        <f t="shared" ref="O7:P7" si="15">D7/7</f>
        <v>3</v>
      </c>
      <c r="P7" s="35">
        <f t="shared" si="15"/>
        <v>0</v>
      </c>
      <c r="Q7" s="30">
        <f t="shared" si="8"/>
        <v>35</v>
      </c>
      <c r="R7" s="30"/>
      <c r="S7" s="22">
        <v>0.65560165975103701</v>
      </c>
      <c r="T7" s="29">
        <v>866</v>
      </c>
      <c r="U7" s="36" t="s">
        <v>34</v>
      </c>
      <c r="V7" s="37" t="s">
        <v>40</v>
      </c>
      <c r="W7" s="29">
        <v>0</v>
      </c>
      <c r="X7" s="38">
        <f t="shared" si="9"/>
        <v>0</v>
      </c>
      <c r="Y7" s="39">
        <f t="shared" si="10"/>
        <v>0</v>
      </c>
      <c r="Z7" s="29">
        <v>0</v>
      </c>
      <c r="AA7" s="29" t="s">
        <v>35</v>
      </c>
      <c r="AB7" s="40">
        <f t="shared" si="11"/>
        <v>-0.69</v>
      </c>
      <c r="AC7" s="41">
        <v>0.22472851851851849</v>
      </c>
      <c r="AD7" s="39">
        <f t="shared" si="12"/>
        <v>-6.5126324666666653</v>
      </c>
      <c r="AE7" s="39">
        <v>-5.8</v>
      </c>
      <c r="AF7" s="39">
        <v>-4.3097416666666675</v>
      </c>
      <c r="AG7" s="39">
        <v>0</v>
      </c>
    </row>
    <row r="8" spans="1:33" ht="15.75" customHeight="1" x14ac:dyDescent="0.2">
      <c r="A8" s="29" t="s">
        <v>43</v>
      </c>
      <c r="B8" s="29" t="s">
        <v>99</v>
      </c>
      <c r="C8" s="16">
        <f t="shared" si="4"/>
        <v>16.489230769230769</v>
      </c>
      <c r="D8" s="30">
        <v>13</v>
      </c>
      <c r="E8" s="30">
        <v>1</v>
      </c>
      <c r="F8" s="31">
        <v>214.36</v>
      </c>
      <c r="G8" s="31">
        <v>-0.04</v>
      </c>
      <c r="H8" s="32">
        <f t="shared" si="1"/>
        <v>1.8660197798096658E-4</v>
      </c>
      <c r="I8" s="32">
        <f t="shared" si="2"/>
        <v>0.2178781973212251</v>
      </c>
      <c r="J8" s="33">
        <f t="shared" si="5"/>
        <v>46.704370377777813</v>
      </c>
      <c r="K8" s="33">
        <f t="shared" si="3"/>
        <v>3.5926438752136778</v>
      </c>
      <c r="L8" s="30">
        <v>12</v>
      </c>
      <c r="M8" s="34">
        <f t="shared" si="6"/>
        <v>1.0833333333333333</v>
      </c>
      <c r="N8" s="30">
        <v>91</v>
      </c>
      <c r="O8" s="35">
        <f t="shared" ref="O8:P8" si="16">D8/7</f>
        <v>1.8571428571428572</v>
      </c>
      <c r="P8" s="35">
        <f t="shared" si="16"/>
        <v>0.14285714285714285</v>
      </c>
      <c r="Q8" s="30">
        <f t="shared" si="8"/>
        <v>45</v>
      </c>
      <c r="R8" s="30"/>
      <c r="S8" s="22">
        <v>0.82511210762331799</v>
      </c>
      <c r="T8" s="29">
        <v>866</v>
      </c>
      <c r="U8" s="36" t="s">
        <v>34</v>
      </c>
      <c r="V8" s="37" t="s">
        <v>34</v>
      </c>
      <c r="W8" s="29">
        <v>0</v>
      </c>
      <c r="X8" s="38">
        <f t="shared" si="9"/>
        <v>0</v>
      </c>
      <c r="Y8" s="39">
        <f t="shared" si="10"/>
        <v>0</v>
      </c>
      <c r="Z8" s="29">
        <v>0</v>
      </c>
      <c r="AA8" s="29" t="s">
        <v>35</v>
      </c>
      <c r="AB8" s="40">
        <f t="shared" si="11"/>
        <v>-0.69</v>
      </c>
      <c r="AC8" s="41">
        <v>0.22472851851851849</v>
      </c>
      <c r="AD8" s="39">
        <f t="shared" si="12"/>
        <v>-4.031629622222221</v>
      </c>
      <c r="AE8" s="39">
        <v>-5.8</v>
      </c>
      <c r="AF8" s="39">
        <v>-4.3099999999999996</v>
      </c>
      <c r="AG8" s="39">
        <v>0</v>
      </c>
    </row>
    <row r="9" spans="1:33" ht="73.5" customHeight="1" x14ac:dyDescent="0.2">
      <c r="A9" s="29" t="s">
        <v>45</v>
      </c>
      <c r="B9" s="29" t="s">
        <v>100</v>
      </c>
      <c r="C9" s="16">
        <f t="shared" si="4"/>
        <v>15.99</v>
      </c>
      <c r="D9" s="30">
        <v>12</v>
      </c>
      <c r="E9" s="30">
        <v>0</v>
      </c>
      <c r="F9" s="31">
        <v>191.88</v>
      </c>
      <c r="G9" s="31">
        <v>0</v>
      </c>
      <c r="H9" s="32">
        <f t="shared" si="1"/>
        <v>0</v>
      </c>
      <c r="I9" s="32">
        <f t="shared" si="2"/>
        <v>0.18496349662983827</v>
      </c>
      <c r="J9" s="33">
        <f t="shared" si="5"/>
        <v>35.490795733333364</v>
      </c>
      <c r="K9" s="33">
        <f t="shared" si="3"/>
        <v>2.9575663111111137</v>
      </c>
      <c r="L9" s="30">
        <v>23</v>
      </c>
      <c r="M9" s="34">
        <f t="shared" si="6"/>
        <v>0.52173913043478259</v>
      </c>
      <c r="N9" s="30">
        <v>78</v>
      </c>
      <c r="O9" s="35">
        <f t="shared" ref="O9:P9" si="17">D9/7</f>
        <v>1.7142857142857142</v>
      </c>
      <c r="P9" s="35">
        <f t="shared" si="17"/>
        <v>0</v>
      </c>
      <c r="Q9" s="30">
        <f t="shared" si="8"/>
        <v>45</v>
      </c>
      <c r="R9" s="30"/>
      <c r="S9" s="22">
        <v>1.0843989769820901</v>
      </c>
      <c r="T9" s="29">
        <v>866</v>
      </c>
      <c r="U9" s="36" t="s">
        <v>34</v>
      </c>
      <c r="V9" s="37" t="s">
        <v>34</v>
      </c>
      <c r="W9" s="29">
        <v>0</v>
      </c>
      <c r="X9" s="38">
        <f t="shared" si="9"/>
        <v>0</v>
      </c>
      <c r="Y9" s="39">
        <f t="shared" si="10"/>
        <v>0</v>
      </c>
      <c r="Z9" s="29">
        <v>0</v>
      </c>
      <c r="AA9" s="29" t="s">
        <v>35</v>
      </c>
      <c r="AB9" s="40">
        <f t="shared" si="11"/>
        <v>-0.69</v>
      </c>
      <c r="AC9" s="41">
        <v>0.22472851851851849</v>
      </c>
      <c r="AD9" s="39">
        <f t="shared" si="12"/>
        <v>-3.721504266666666</v>
      </c>
      <c r="AE9" s="39">
        <v>-5.8</v>
      </c>
      <c r="AF9" s="39">
        <v>-4.5238083333333297</v>
      </c>
      <c r="AG9" s="39">
        <v>0</v>
      </c>
    </row>
    <row r="10" spans="1:33" ht="15.75" customHeight="1" x14ac:dyDescent="0.2">
      <c r="A10" s="29" t="s">
        <v>47</v>
      </c>
      <c r="B10" s="29" t="s">
        <v>101</v>
      </c>
      <c r="C10" s="16">
        <f t="shared" si="4"/>
        <v>16.239999999999998</v>
      </c>
      <c r="D10" s="30">
        <v>12</v>
      </c>
      <c r="E10" s="30">
        <v>9</v>
      </c>
      <c r="F10" s="31">
        <v>194.88</v>
      </c>
      <c r="G10" s="31">
        <v>0</v>
      </c>
      <c r="H10" s="32">
        <f t="shared" si="1"/>
        <v>0</v>
      </c>
      <c r="I10" s="32">
        <f t="shared" si="2"/>
        <v>0.19520112753147259</v>
      </c>
      <c r="J10" s="33">
        <f t="shared" si="5"/>
        <v>38.040795733333375</v>
      </c>
      <c r="K10" s="33">
        <f t="shared" si="3"/>
        <v>3.1700663111111145</v>
      </c>
      <c r="L10" s="30">
        <v>26</v>
      </c>
      <c r="M10" s="34">
        <f t="shared" si="6"/>
        <v>0.46153846153846156</v>
      </c>
      <c r="N10" s="30">
        <v>64</v>
      </c>
      <c r="O10" s="35">
        <f t="shared" ref="O10:P10" si="18">D10/7</f>
        <v>1.7142857142857142</v>
      </c>
      <c r="P10" s="35">
        <f t="shared" si="18"/>
        <v>1.2857142857142858</v>
      </c>
      <c r="Q10" s="30">
        <f t="shared" si="8"/>
        <v>21</v>
      </c>
      <c r="R10" s="30"/>
      <c r="S10" s="22">
        <v>1.4050991501416401</v>
      </c>
      <c r="T10" s="29">
        <v>866</v>
      </c>
      <c r="U10" s="36" t="s">
        <v>34</v>
      </c>
      <c r="V10" s="37" t="s">
        <v>34</v>
      </c>
      <c r="W10" s="29">
        <v>0</v>
      </c>
      <c r="X10" s="38">
        <f t="shared" si="9"/>
        <v>0</v>
      </c>
      <c r="Y10" s="39">
        <f t="shared" si="10"/>
        <v>0</v>
      </c>
      <c r="Z10" s="29">
        <v>0</v>
      </c>
      <c r="AA10" s="29" t="s">
        <v>35</v>
      </c>
      <c r="AB10" s="40">
        <f t="shared" si="11"/>
        <v>-0.69</v>
      </c>
      <c r="AC10" s="41">
        <v>0.22472851851851849</v>
      </c>
      <c r="AD10" s="39">
        <f t="shared" si="12"/>
        <v>-3.721504266666666</v>
      </c>
      <c r="AE10" s="39">
        <v>-5.8</v>
      </c>
      <c r="AF10" s="39">
        <v>-4.5238083333333297</v>
      </c>
      <c r="AG10" s="39">
        <v>0</v>
      </c>
    </row>
    <row r="11" spans="1:33" ht="15.75" customHeight="1" x14ac:dyDescent="0.2">
      <c r="A11" s="29" t="s">
        <v>49</v>
      </c>
      <c r="B11" s="29" t="s">
        <v>50</v>
      </c>
      <c r="C11" s="16">
        <f t="shared" si="4"/>
        <v>19.989999999999998</v>
      </c>
      <c r="D11" s="30">
        <v>2</v>
      </c>
      <c r="E11" s="30">
        <v>0</v>
      </c>
      <c r="F11" s="31">
        <v>39.979999999999997</v>
      </c>
      <c r="G11" s="31">
        <v>-0.1</v>
      </c>
      <c r="H11" s="32">
        <f t="shared" si="1"/>
        <v>2.5012506253126567E-3</v>
      </c>
      <c r="I11" s="32">
        <f t="shared" si="2"/>
        <v>0.3155360835973543</v>
      </c>
      <c r="J11" s="33">
        <f t="shared" si="5"/>
        <v>12.615132622222225</v>
      </c>
      <c r="K11" s="33">
        <f t="shared" si="3"/>
        <v>6.3075663111111124</v>
      </c>
      <c r="L11" s="30">
        <v>18</v>
      </c>
      <c r="M11" s="34">
        <f t="shared" si="6"/>
        <v>0.1111111111111111</v>
      </c>
      <c r="N11" s="30">
        <v>55</v>
      </c>
      <c r="O11" s="35">
        <f t="shared" ref="O11:P11" si="19">D11/7</f>
        <v>0.2857142857142857</v>
      </c>
      <c r="P11" s="35">
        <f t="shared" si="19"/>
        <v>0</v>
      </c>
      <c r="Q11" s="30">
        <f t="shared" si="8"/>
        <v>192</v>
      </c>
      <c r="R11" s="30"/>
      <c r="S11" s="22">
        <v>1.01515151515151</v>
      </c>
      <c r="T11" s="29">
        <v>866</v>
      </c>
      <c r="U11" s="36" t="s">
        <v>34</v>
      </c>
      <c r="V11" s="37" t="s">
        <v>34</v>
      </c>
      <c r="W11" s="29">
        <v>0</v>
      </c>
      <c r="X11" s="38">
        <f t="shared" si="9"/>
        <v>0</v>
      </c>
      <c r="Y11" s="39">
        <f t="shared" si="10"/>
        <v>0</v>
      </c>
      <c r="Z11" s="29">
        <v>0</v>
      </c>
      <c r="AA11" s="29" t="s">
        <v>35</v>
      </c>
      <c r="AB11" s="40">
        <f t="shared" si="11"/>
        <v>-0.69</v>
      </c>
      <c r="AC11" s="41">
        <v>0.22472851851851849</v>
      </c>
      <c r="AD11" s="39">
        <f t="shared" si="12"/>
        <v>-0.62025071111111096</v>
      </c>
      <c r="AE11" s="39">
        <v>-5.8</v>
      </c>
      <c r="AF11" s="39">
        <v>-4.5238083333333297</v>
      </c>
      <c r="AG11" s="39">
        <v>0</v>
      </c>
    </row>
    <row r="12" spans="1:33" ht="15.75" customHeight="1" x14ac:dyDescent="0.2">
      <c r="A12" s="29" t="s">
        <v>51</v>
      </c>
      <c r="B12" s="29" t="s">
        <v>102</v>
      </c>
      <c r="C12" s="16">
        <f t="shared" si="4"/>
        <v>19.990000000000002</v>
      </c>
      <c r="D12" s="30">
        <v>18</v>
      </c>
      <c r="E12" s="30">
        <v>2</v>
      </c>
      <c r="F12" s="31">
        <v>359.82000000000005</v>
      </c>
      <c r="G12" s="31">
        <v>-2.9899999999999998</v>
      </c>
      <c r="H12" s="32">
        <f t="shared" si="1"/>
        <v>8.3097104107609336E-3</v>
      </c>
      <c r="I12" s="32">
        <f t="shared" si="2"/>
        <v>0.30972762381190627</v>
      </c>
      <c r="J12" s="33">
        <f t="shared" si="5"/>
        <v>111.44619360000013</v>
      </c>
      <c r="K12" s="33">
        <f t="shared" si="3"/>
        <v>6.1914552000000072</v>
      </c>
      <c r="L12" s="30">
        <v>16</v>
      </c>
      <c r="M12" s="34">
        <f t="shared" si="6"/>
        <v>1.125</v>
      </c>
      <c r="N12" s="30">
        <v>41</v>
      </c>
      <c r="O12" s="35">
        <f t="shared" ref="O12:P12" si="20">D12/7</f>
        <v>2.5714285714285716</v>
      </c>
      <c r="P12" s="35">
        <f t="shared" si="20"/>
        <v>0.2857142857142857</v>
      </c>
      <c r="Q12" s="30">
        <f t="shared" si="8"/>
        <v>14</v>
      </c>
      <c r="R12" s="30"/>
      <c r="S12" s="22">
        <v>1.08366533864541</v>
      </c>
      <c r="T12" s="29">
        <v>866</v>
      </c>
      <c r="U12" s="36" t="s">
        <v>34</v>
      </c>
      <c r="V12" s="37" t="s">
        <v>34</v>
      </c>
      <c r="W12" s="29">
        <v>4</v>
      </c>
      <c r="X12" s="38">
        <f t="shared" si="9"/>
        <v>0.22222222222222221</v>
      </c>
      <c r="Y12" s="39">
        <f t="shared" si="10"/>
        <v>0.74749999999999994</v>
      </c>
      <c r="Z12" s="29">
        <v>0</v>
      </c>
      <c r="AA12" s="29" t="s">
        <v>35</v>
      </c>
      <c r="AB12" s="40">
        <f t="shared" si="11"/>
        <v>-0.69</v>
      </c>
      <c r="AC12" s="41">
        <v>0.22472851851851849</v>
      </c>
      <c r="AD12" s="39">
        <f t="shared" si="12"/>
        <v>-5.5822563999999986</v>
      </c>
      <c r="AE12" s="39">
        <v>-5.8</v>
      </c>
      <c r="AF12" s="39">
        <v>-4.5238083333333297</v>
      </c>
      <c r="AG12" s="39">
        <v>0</v>
      </c>
    </row>
    <row r="13" spans="1:33" ht="15.75" customHeight="1" x14ac:dyDescent="0.2">
      <c r="A13" s="29" t="s">
        <v>53</v>
      </c>
      <c r="B13" s="29" t="s">
        <v>103</v>
      </c>
      <c r="C13" s="16">
        <f t="shared" si="4"/>
        <v>22.802500000000002</v>
      </c>
      <c r="D13" s="30">
        <v>16</v>
      </c>
      <c r="E13" s="30">
        <v>0</v>
      </c>
      <c r="F13" s="33">
        <v>364.84000000000003</v>
      </c>
      <c r="G13" s="31">
        <v>-0.91</v>
      </c>
      <c r="H13" s="32">
        <f t="shared" si="1"/>
        <v>2.4942440521872602E-3</v>
      </c>
      <c r="I13" s="32">
        <f t="shared" si="2"/>
        <v>0.37621531167391481</v>
      </c>
      <c r="J13" s="33">
        <f t="shared" si="5"/>
        <v>137.25839431111109</v>
      </c>
      <c r="K13" s="33">
        <f t="shared" si="3"/>
        <v>8.5786496444444431</v>
      </c>
      <c r="L13" s="30">
        <v>12</v>
      </c>
      <c r="M13" s="34">
        <f t="shared" si="6"/>
        <v>1.3333333333333333</v>
      </c>
      <c r="N13" s="30">
        <v>20</v>
      </c>
      <c r="O13" s="35">
        <f t="shared" ref="O13:P13" si="21">D13/7</f>
        <v>2.2857142857142856</v>
      </c>
      <c r="P13" s="35">
        <f t="shared" si="21"/>
        <v>0</v>
      </c>
      <c r="Q13" s="30">
        <f t="shared" si="8"/>
        <v>8</v>
      </c>
      <c r="R13" s="30"/>
      <c r="S13" s="22">
        <v>1.1789473684210501</v>
      </c>
      <c r="T13" s="29">
        <v>866</v>
      </c>
      <c r="U13" s="36" t="s">
        <v>34</v>
      </c>
      <c r="V13" s="37" t="s">
        <v>34</v>
      </c>
      <c r="W13" s="29">
        <v>0</v>
      </c>
      <c r="X13" s="38">
        <f t="shared" si="9"/>
        <v>0</v>
      </c>
      <c r="Y13" s="39">
        <f t="shared" si="10"/>
        <v>0</v>
      </c>
      <c r="Z13" s="29">
        <v>0</v>
      </c>
      <c r="AA13" s="29" t="s">
        <v>35</v>
      </c>
      <c r="AB13" s="40">
        <f t="shared" si="11"/>
        <v>-0.69</v>
      </c>
      <c r="AC13" s="41">
        <v>0.22472851851851849</v>
      </c>
      <c r="AD13" s="39">
        <f t="shared" si="12"/>
        <v>-4.9620056888888877</v>
      </c>
      <c r="AE13" s="39">
        <v>-5.8</v>
      </c>
      <c r="AF13" s="39">
        <v>-4.6364749999999999</v>
      </c>
      <c r="AG13" s="39">
        <v>0</v>
      </c>
    </row>
    <row r="14" spans="1:33" ht="15.75" customHeight="1" x14ac:dyDescent="0.2">
      <c r="A14" s="29" t="s">
        <v>55</v>
      </c>
      <c r="B14" s="29" t="s">
        <v>104</v>
      </c>
      <c r="C14" s="16">
        <f t="shared" si="4"/>
        <v>25.240000000000002</v>
      </c>
      <c r="D14" s="30">
        <v>16</v>
      </c>
      <c r="E14" s="30">
        <v>0</v>
      </c>
      <c r="F14" s="33">
        <v>403.84000000000003</v>
      </c>
      <c r="G14" s="31">
        <v>0</v>
      </c>
      <c r="H14" s="32">
        <f t="shared" si="1"/>
        <v>0</v>
      </c>
      <c r="I14" s="32">
        <f t="shared" si="2"/>
        <v>0.42422344074661023</v>
      </c>
      <c r="J14" s="33">
        <f t="shared" si="5"/>
        <v>171.31839431111109</v>
      </c>
      <c r="K14" s="33">
        <f t="shared" si="3"/>
        <v>10.707399644444443</v>
      </c>
      <c r="L14" s="30">
        <v>20</v>
      </c>
      <c r="M14" s="34">
        <f t="shared" si="6"/>
        <v>0.8</v>
      </c>
      <c r="N14" s="30">
        <v>3</v>
      </c>
      <c r="O14" s="35">
        <f t="shared" ref="O14:P14" si="22">D14/7</f>
        <v>2.2857142857142856</v>
      </c>
      <c r="P14" s="35">
        <f t="shared" si="22"/>
        <v>0</v>
      </c>
      <c r="Q14" s="30">
        <f t="shared" si="8"/>
        <v>1</v>
      </c>
      <c r="R14" s="30"/>
      <c r="S14" s="22">
        <v>1.77173913043478</v>
      </c>
      <c r="T14" s="29">
        <v>866</v>
      </c>
      <c r="U14" s="36" t="s">
        <v>34</v>
      </c>
      <c r="V14" s="37" t="s">
        <v>34</v>
      </c>
      <c r="W14" s="29">
        <v>0</v>
      </c>
      <c r="X14" s="38">
        <f t="shared" si="9"/>
        <v>0</v>
      </c>
      <c r="Y14" s="39">
        <f t="shared" si="10"/>
        <v>0</v>
      </c>
      <c r="Z14" s="29">
        <v>0</v>
      </c>
      <c r="AA14" s="29" t="s">
        <v>35</v>
      </c>
      <c r="AB14" s="40">
        <f t="shared" si="11"/>
        <v>-0.69</v>
      </c>
      <c r="AC14" s="41">
        <v>0.22472851851851849</v>
      </c>
      <c r="AD14" s="39">
        <f t="shared" si="12"/>
        <v>-4.9620056888888877</v>
      </c>
      <c r="AE14" s="39">
        <v>-5.8</v>
      </c>
      <c r="AF14" s="39">
        <v>-4.6364749999999999</v>
      </c>
      <c r="AG14" s="39">
        <v>0</v>
      </c>
    </row>
    <row r="15" spans="1:33" ht="15.75" customHeight="1" x14ac:dyDescent="0.2">
      <c r="A15" s="29" t="s">
        <v>57</v>
      </c>
      <c r="B15" s="29" t="s">
        <v>104</v>
      </c>
      <c r="C15" s="16">
        <f t="shared" si="4"/>
        <v>24.99</v>
      </c>
      <c r="D15" s="30">
        <v>3</v>
      </c>
      <c r="E15" s="30">
        <v>0</v>
      </c>
      <c r="F15" s="33">
        <v>74.97</v>
      </c>
      <c r="G15" s="31">
        <v>0</v>
      </c>
      <c r="H15" s="32">
        <f t="shared" si="1"/>
        <v>0</v>
      </c>
      <c r="I15" s="32">
        <f t="shared" si="2"/>
        <v>0.4199639713663243</v>
      </c>
      <c r="J15" s="33">
        <f t="shared" si="5"/>
        <v>31.484698933333334</v>
      </c>
      <c r="K15" s="33">
        <f t="shared" si="3"/>
        <v>10.494899644444445</v>
      </c>
      <c r="L15" s="30">
        <v>7</v>
      </c>
      <c r="M15" s="34">
        <f t="shared" si="6"/>
        <v>0.42857142857142855</v>
      </c>
      <c r="N15" s="30">
        <v>1</v>
      </c>
      <c r="O15" s="35">
        <f t="shared" ref="O15:P15" si="23">D15/7</f>
        <v>0.42857142857142855</v>
      </c>
      <c r="P15" s="35">
        <f t="shared" si="23"/>
        <v>0</v>
      </c>
      <c r="Q15" s="30">
        <f t="shared" si="8"/>
        <v>2</v>
      </c>
      <c r="R15" s="30"/>
      <c r="S15" s="22">
        <v>1.7971014492753601</v>
      </c>
      <c r="T15" s="29">
        <v>866</v>
      </c>
      <c r="U15" s="36" t="s">
        <v>34</v>
      </c>
      <c r="V15" s="37" t="s">
        <v>34</v>
      </c>
      <c r="W15" s="29">
        <v>0</v>
      </c>
      <c r="X15" s="38">
        <f t="shared" si="9"/>
        <v>0</v>
      </c>
      <c r="Y15" s="39">
        <f t="shared" si="10"/>
        <v>0</v>
      </c>
      <c r="Z15" s="29">
        <v>0</v>
      </c>
      <c r="AA15" s="29" t="s">
        <v>35</v>
      </c>
      <c r="AB15" s="40">
        <f t="shared" si="11"/>
        <v>-0.69</v>
      </c>
      <c r="AC15" s="41">
        <v>0.22472851851851849</v>
      </c>
      <c r="AD15" s="39">
        <f t="shared" si="12"/>
        <v>-0.9303760666666665</v>
      </c>
      <c r="AE15" s="39">
        <v>-5.8</v>
      </c>
      <c r="AF15" s="39">
        <v>-4.6364749999999999</v>
      </c>
      <c r="AG15" s="39">
        <v>0</v>
      </c>
    </row>
    <row r="16" spans="1:33" ht="15.75" customHeight="1" x14ac:dyDescent="0.2">
      <c r="A16" s="29" t="s">
        <v>59</v>
      </c>
      <c r="B16" s="29"/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22" t="e">
        <v>#N/A</v>
      </c>
      <c r="T16" s="29">
        <v>1058</v>
      </c>
      <c r="U16" s="36" t="s">
        <v>34</v>
      </c>
      <c r="V16" s="37" t="s">
        <v>34</v>
      </c>
      <c r="W16" s="29">
        <v>0</v>
      </c>
      <c r="X16" s="38">
        <f t="shared" si="9"/>
        <v>0</v>
      </c>
      <c r="Y16" s="39">
        <f t="shared" si="10"/>
        <v>0</v>
      </c>
      <c r="Z16" s="29">
        <v>0</v>
      </c>
      <c r="AA16" s="29" t="s">
        <v>35</v>
      </c>
      <c r="AB16" s="40">
        <f t="shared" si="11"/>
        <v>-0.69</v>
      </c>
      <c r="AC16" s="41">
        <v>0.22472851851851849</v>
      </c>
      <c r="AD16" s="39">
        <f t="shared" si="12"/>
        <v>0</v>
      </c>
      <c r="AE16" s="39">
        <v>-5.8</v>
      </c>
      <c r="AF16" s="39">
        <v>-4.6364749999999999</v>
      </c>
      <c r="AG16" s="39">
        <v>0</v>
      </c>
    </row>
    <row r="17" spans="1:33" ht="15.75" customHeight="1" x14ac:dyDescent="0.2">
      <c r="A17" s="29" t="s">
        <v>61</v>
      </c>
      <c r="B17" s="29"/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0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22" t="e">
        <v>#N/A</v>
      </c>
      <c r="T17" s="29">
        <v>1058</v>
      </c>
      <c r="U17" s="36" t="s">
        <v>34</v>
      </c>
      <c r="V17" s="37" t="s">
        <v>34</v>
      </c>
      <c r="W17" s="29">
        <v>0</v>
      </c>
      <c r="X17" s="38">
        <f t="shared" si="9"/>
        <v>0</v>
      </c>
      <c r="Y17" s="39">
        <f t="shared" si="10"/>
        <v>0</v>
      </c>
      <c r="Z17" s="29">
        <v>0</v>
      </c>
      <c r="AA17" s="29" t="s">
        <v>35</v>
      </c>
      <c r="AB17" s="40">
        <f t="shared" si="11"/>
        <v>-0.69</v>
      </c>
      <c r="AC17" s="41">
        <v>0.22472851851851849</v>
      </c>
      <c r="AD17" s="39">
        <f t="shared" si="12"/>
        <v>0</v>
      </c>
      <c r="AE17" s="39">
        <v>-5.8</v>
      </c>
      <c r="AF17" s="39">
        <v>-4.6364749999999999</v>
      </c>
      <c r="AG17" s="39">
        <v>0</v>
      </c>
    </row>
    <row r="18" spans="1:33" ht="15.75" customHeight="1" x14ac:dyDescent="0.2">
      <c r="A18" s="29" t="s">
        <v>63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0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22" t="e">
        <v>#N/A</v>
      </c>
      <c r="T18" s="29">
        <v>1058</v>
      </c>
      <c r="U18" s="36" t="s">
        <v>34</v>
      </c>
      <c r="V18" s="37" t="s">
        <v>34</v>
      </c>
      <c r="W18" s="29">
        <v>0</v>
      </c>
      <c r="X18" s="38">
        <f t="shared" si="9"/>
        <v>0</v>
      </c>
      <c r="Y18" s="39">
        <f t="shared" si="10"/>
        <v>0</v>
      </c>
      <c r="Z18" s="29">
        <v>0</v>
      </c>
      <c r="AA18" s="29" t="s">
        <v>35</v>
      </c>
      <c r="AB18" s="40">
        <f t="shared" si="11"/>
        <v>-0.69</v>
      </c>
      <c r="AC18" s="41">
        <v>0.22472851851851849</v>
      </c>
      <c r="AD18" s="39">
        <f t="shared" si="12"/>
        <v>0</v>
      </c>
      <c r="AE18" s="39">
        <v>-5.8</v>
      </c>
      <c r="AF18" s="39">
        <v>-4.6364749999999999</v>
      </c>
      <c r="AG18" s="39">
        <v>0</v>
      </c>
    </row>
    <row r="19" spans="1:33" ht="15.75" customHeight="1" x14ac:dyDescent="0.2">
      <c r="A19" s="29" t="s">
        <v>64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22" t="e">
        <v>#N/A</v>
      </c>
      <c r="T19" s="29">
        <v>1058</v>
      </c>
      <c r="U19" s="36" t="s">
        <v>34</v>
      </c>
      <c r="V19" s="37" t="s">
        <v>34</v>
      </c>
      <c r="W19" s="29">
        <v>0</v>
      </c>
      <c r="X19" s="38">
        <f t="shared" si="9"/>
        <v>0</v>
      </c>
      <c r="Y19" s="39">
        <f t="shared" si="10"/>
        <v>0</v>
      </c>
      <c r="Z19" s="29">
        <v>0</v>
      </c>
      <c r="AA19" s="29" t="s">
        <v>35</v>
      </c>
      <c r="AB19" s="40">
        <f t="shared" si="11"/>
        <v>-0.69</v>
      </c>
      <c r="AC19" s="41">
        <v>0.22472851851851849</v>
      </c>
      <c r="AD19" s="39">
        <f t="shared" si="12"/>
        <v>0</v>
      </c>
      <c r="AE19" s="39">
        <v>-5.8</v>
      </c>
      <c r="AF19" s="39">
        <v>-4.6364750000000008</v>
      </c>
      <c r="AG19" s="39">
        <v>0</v>
      </c>
    </row>
    <row r="20" spans="1:33" ht="15.75" customHeight="1" x14ac:dyDescent="0.2">
      <c r="A20" s="29" t="s">
        <v>65</v>
      </c>
      <c r="B20" s="29" t="s">
        <v>105</v>
      </c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22" t="e">
        <v>#N/A</v>
      </c>
      <c r="T20" s="29">
        <v>2116</v>
      </c>
      <c r="U20" s="36">
        <v>1058</v>
      </c>
      <c r="V20" s="37" t="s">
        <v>106</v>
      </c>
      <c r="W20" s="29">
        <v>0</v>
      </c>
      <c r="X20" s="38">
        <f t="shared" si="9"/>
        <v>0</v>
      </c>
      <c r="Y20" s="39">
        <f t="shared" si="10"/>
        <v>0</v>
      </c>
      <c r="Z20" s="29">
        <v>0</v>
      </c>
      <c r="AA20" s="29" t="s">
        <v>35</v>
      </c>
      <c r="AB20" s="40">
        <f t="shared" si="11"/>
        <v>-0.69</v>
      </c>
      <c r="AC20" s="41">
        <v>0.22472851851851849</v>
      </c>
      <c r="AD20" s="39">
        <f t="shared" si="12"/>
        <v>0</v>
      </c>
      <c r="AE20" s="39">
        <v>-5.8</v>
      </c>
      <c r="AF20" s="39">
        <v>-4.6364750000000008</v>
      </c>
      <c r="AG20" s="39">
        <v>0</v>
      </c>
    </row>
    <row r="21" spans="1:33" ht="15.75" customHeight="1" x14ac:dyDescent="0.2">
      <c r="A21" s="29" t="s">
        <v>68</v>
      </c>
      <c r="B21" s="29" t="s">
        <v>107</v>
      </c>
      <c r="C21" s="16" t="str">
        <f t="shared" si="4"/>
        <v xml:space="preserve"> - </v>
      </c>
      <c r="D21" s="30">
        <v>0</v>
      </c>
      <c r="E21" s="30">
        <v>0</v>
      </c>
      <c r="F21" s="33">
        <v>0</v>
      </c>
      <c r="G21" s="31">
        <v>0</v>
      </c>
      <c r="H21" s="32" t="e">
        <f t="shared" si="1"/>
        <v>#DIV/0!</v>
      </c>
      <c r="I21" s="32" t="e">
        <f t="shared" si="2"/>
        <v>#DIV/0!</v>
      </c>
      <c r="J21" s="33">
        <f t="shared" si="5"/>
        <v>0</v>
      </c>
      <c r="K21" s="33" t="e">
        <f t="shared" si="3"/>
        <v>#DIV/0!</v>
      </c>
      <c r="L21" s="30">
        <v>0</v>
      </c>
      <c r="M21" s="34" t="str">
        <f t="shared" si="6"/>
        <v>-</v>
      </c>
      <c r="N21" s="30">
        <v>0</v>
      </c>
      <c r="O21" s="35">
        <f t="shared" ref="O21:P21" si="29">D21/7</f>
        <v>0</v>
      </c>
      <c r="P21" s="35">
        <f t="shared" si="29"/>
        <v>0</v>
      </c>
      <c r="Q21" s="30" t="e">
        <f t="shared" si="8"/>
        <v>#DIV/0!</v>
      </c>
      <c r="R21" s="30"/>
      <c r="S21" s="22" t="e">
        <v>#N/A</v>
      </c>
      <c r="T21" s="29">
        <v>2116</v>
      </c>
      <c r="U21" s="36">
        <v>1058</v>
      </c>
      <c r="V21" s="37" t="s">
        <v>108</v>
      </c>
      <c r="W21" s="29">
        <v>0</v>
      </c>
      <c r="X21" s="38">
        <f t="shared" si="9"/>
        <v>0</v>
      </c>
      <c r="Y21" s="39">
        <f t="shared" si="10"/>
        <v>0</v>
      </c>
      <c r="Z21" s="29">
        <v>0</v>
      </c>
      <c r="AA21" s="29" t="s">
        <v>35</v>
      </c>
      <c r="AB21" s="40">
        <f t="shared" si="11"/>
        <v>-0.69</v>
      </c>
      <c r="AC21" s="41">
        <v>0.22472851851851849</v>
      </c>
      <c r="AD21" s="39">
        <f t="shared" si="12"/>
        <v>0</v>
      </c>
      <c r="AE21" s="39">
        <v>-5.8</v>
      </c>
      <c r="AF21" s="39">
        <v>-4.6364750000000008</v>
      </c>
      <c r="AG21" s="39">
        <v>0</v>
      </c>
    </row>
    <row r="22" spans="1:33" ht="15.75" customHeight="1" x14ac:dyDescent="0.2">
      <c r="A22" s="29" t="s">
        <v>71</v>
      </c>
      <c r="B22" s="29"/>
      <c r="C22" s="16" t="str">
        <f t="shared" si="4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1"/>
        <v>#DIV/0!</v>
      </c>
      <c r="I22" s="32" t="e">
        <f t="shared" si="2"/>
        <v>#DIV/0!</v>
      </c>
      <c r="J22" s="33">
        <f t="shared" si="5"/>
        <v>0</v>
      </c>
      <c r="K22" s="33" t="e">
        <f t="shared" si="3"/>
        <v>#DIV/0!</v>
      </c>
      <c r="L22" s="30">
        <v>0</v>
      </c>
      <c r="M22" s="34" t="str">
        <f t="shared" si="6"/>
        <v>-</v>
      </c>
      <c r="N22" s="30">
        <v>0</v>
      </c>
      <c r="O22" s="35">
        <f t="shared" ref="O22:P22" si="30">D22/7</f>
        <v>0</v>
      </c>
      <c r="P22" s="35">
        <f t="shared" si="30"/>
        <v>0</v>
      </c>
      <c r="Q22" s="30" t="e">
        <f t="shared" si="8"/>
        <v>#DIV/0!</v>
      </c>
      <c r="R22" s="30"/>
      <c r="S22" s="22" t="e">
        <v>#N/A</v>
      </c>
      <c r="T22" s="29">
        <v>1562</v>
      </c>
      <c r="U22" s="36">
        <v>504</v>
      </c>
      <c r="V22" s="37" t="s">
        <v>109</v>
      </c>
      <c r="W22" s="29">
        <v>0</v>
      </c>
      <c r="X22" s="38">
        <f t="shared" si="9"/>
        <v>0</v>
      </c>
      <c r="Y22" s="39">
        <f t="shared" si="10"/>
        <v>0</v>
      </c>
      <c r="Z22" s="29">
        <v>0</v>
      </c>
      <c r="AA22" s="29" t="s">
        <v>35</v>
      </c>
      <c r="AB22" s="40">
        <f t="shared" si="11"/>
        <v>-0.69</v>
      </c>
      <c r="AC22" s="41">
        <v>0.22472851851851849</v>
      </c>
      <c r="AD22" s="39">
        <f t="shared" si="12"/>
        <v>0</v>
      </c>
      <c r="AE22" s="39">
        <v>-5.8</v>
      </c>
      <c r="AF22" s="39">
        <v>-4.6364750000000008</v>
      </c>
      <c r="AG22" s="39">
        <v>0</v>
      </c>
    </row>
    <row r="23" spans="1:33" ht="15.75" customHeight="1" x14ac:dyDescent="0.2">
      <c r="A23" s="29" t="s">
        <v>74</v>
      </c>
      <c r="B23" s="29" t="s">
        <v>110</v>
      </c>
      <c r="C23" s="16" t="str">
        <f t="shared" si="4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31">D23/7</f>
        <v>0</v>
      </c>
      <c r="P23" s="35">
        <f t="shared" si="31"/>
        <v>0</v>
      </c>
      <c r="Q23" s="30" t="e">
        <f t="shared" si="8"/>
        <v>#DIV/0!</v>
      </c>
      <c r="R23" s="30"/>
      <c r="S23" s="22" t="e">
        <v>#N/A</v>
      </c>
      <c r="T23" s="29">
        <v>1562</v>
      </c>
      <c r="U23" s="36">
        <v>504</v>
      </c>
      <c r="V23" s="37" t="s">
        <v>111</v>
      </c>
      <c r="W23" s="29">
        <v>0</v>
      </c>
      <c r="X23" s="38">
        <f t="shared" si="9"/>
        <v>0</v>
      </c>
      <c r="Y23" s="39">
        <f t="shared" si="10"/>
        <v>0</v>
      </c>
      <c r="Z23" s="29">
        <v>0</v>
      </c>
      <c r="AA23" s="29" t="s">
        <v>35</v>
      </c>
      <c r="AB23" s="40">
        <f t="shared" si="11"/>
        <v>-0.69</v>
      </c>
      <c r="AC23" s="41">
        <v>0.22472851851851849</v>
      </c>
      <c r="AD23" s="39">
        <f t="shared" si="12"/>
        <v>0</v>
      </c>
      <c r="AE23" s="39">
        <v>-5.8</v>
      </c>
      <c r="AF23" s="39">
        <v>-4.6364750000000008</v>
      </c>
      <c r="AG23" s="39">
        <v>0</v>
      </c>
    </row>
    <row r="24" spans="1:33" ht="15.75" customHeight="1" x14ac:dyDescent="0.2">
      <c r="A24" s="29" t="s">
        <v>77</v>
      </c>
      <c r="B24" s="29" t="s">
        <v>78</v>
      </c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22" t="e">
        <v>#N/A</v>
      </c>
      <c r="T24" s="29">
        <v>1562</v>
      </c>
      <c r="U24" s="36">
        <v>504</v>
      </c>
      <c r="V24" s="37" t="s">
        <v>112</v>
      </c>
      <c r="W24" s="29">
        <v>0</v>
      </c>
      <c r="X24" s="38">
        <f t="shared" si="9"/>
        <v>0</v>
      </c>
      <c r="Y24" s="39">
        <f t="shared" si="10"/>
        <v>0</v>
      </c>
      <c r="Z24" s="29">
        <v>0</v>
      </c>
      <c r="AA24" s="29" t="s">
        <v>35</v>
      </c>
      <c r="AB24" s="40">
        <f t="shared" si="11"/>
        <v>-0.69</v>
      </c>
      <c r="AC24" s="41">
        <v>0.22472851851851849</v>
      </c>
      <c r="AD24" s="39">
        <f t="shared" si="12"/>
        <v>0</v>
      </c>
      <c r="AE24" s="39">
        <v>-5.8</v>
      </c>
      <c r="AF24" s="39">
        <v>-4.6364750000000008</v>
      </c>
      <c r="AG24" s="39">
        <v>0</v>
      </c>
    </row>
    <row r="25" spans="1:33" ht="15.75" customHeight="1" x14ac:dyDescent="0.2">
      <c r="A25" s="29" t="s">
        <v>80</v>
      </c>
      <c r="B25" s="29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22">
        <v>0</v>
      </c>
      <c r="T25" s="29">
        <v>1562</v>
      </c>
      <c r="U25" s="36">
        <v>504</v>
      </c>
      <c r="V25" s="37" t="s">
        <v>112</v>
      </c>
      <c r="W25" s="15">
        <v>0</v>
      </c>
      <c r="X25" s="38">
        <f t="shared" si="9"/>
        <v>0</v>
      </c>
      <c r="Y25" s="39">
        <f t="shared" si="10"/>
        <v>0</v>
      </c>
      <c r="Z25" s="15">
        <v>0</v>
      </c>
      <c r="AA25" s="29" t="s">
        <v>35</v>
      </c>
      <c r="AB25" s="40">
        <f t="shared" si="11"/>
        <v>-0.69</v>
      </c>
      <c r="AC25" s="41">
        <v>0.22472851851851849</v>
      </c>
      <c r="AD25" s="39">
        <f t="shared" si="12"/>
        <v>0</v>
      </c>
      <c r="AE25" s="39">
        <v>-5.8</v>
      </c>
      <c r="AF25" s="39">
        <v>-4.6399999999999899</v>
      </c>
      <c r="AG25" s="39">
        <v>0</v>
      </c>
    </row>
    <row r="26" spans="1:33" ht="15.75" customHeight="1" x14ac:dyDescent="0.2">
      <c r="A26" s="15" t="s">
        <v>81</v>
      </c>
      <c r="B26" s="15"/>
      <c r="C26" s="16" t="str">
        <f t="shared" si="4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1"/>
        <v>#DIV/0!</v>
      </c>
      <c r="I26" s="32" t="e">
        <f t="shared" si="2"/>
        <v>#DIV/0!</v>
      </c>
      <c r="J26" s="33">
        <f t="shared" si="5"/>
        <v>0</v>
      </c>
      <c r="K26" s="33" t="e">
        <f t="shared" si="3"/>
        <v>#DIV/0!</v>
      </c>
      <c r="L26" s="17">
        <v>0</v>
      </c>
      <c r="M26" s="34" t="str">
        <f t="shared" si="6"/>
        <v>-</v>
      </c>
      <c r="N26" s="17">
        <v>0</v>
      </c>
      <c r="O26" s="35">
        <f t="shared" ref="O26:P26" si="34">D26/7</f>
        <v>0</v>
      </c>
      <c r="P26" s="35">
        <f t="shared" si="34"/>
        <v>0</v>
      </c>
      <c r="Q26" s="30" t="e">
        <f t="shared" si="8"/>
        <v>#DIV/0!</v>
      </c>
      <c r="R26" s="30"/>
      <c r="S26" s="42">
        <v>0</v>
      </c>
      <c r="T26" s="29">
        <v>1058</v>
      </c>
      <c r="U26" s="36" t="s">
        <v>34</v>
      </c>
      <c r="V26" s="37" t="s">
        <v>34</v>
      </c>
      <c r="W26" s="15">
        <v>0</v>
      </c>
      <c r="X26" s="38">
        <f t="shared" si="9"/>
        <v>0</v>
      </c>
      <c r="Y26" s="39">
        <f t="shared" si="10"/>
        <v>0</v>
      </c>
      <c r="Z26" s="15">
        <v>0</v>
      </c>
      <c r="AA26" s="29" t="s">
        <v>35</v>
      </c>
      <c r="AB26" s="40">
        <f t="shared" si="11"/>
        <v>-0.69</v>
      </c>
      <c r="AC26" s="41">
        <v>0.22472851851851849</v>
      </c>
      <c r="AD26" s="39">
        <f t="shared" si="12"/>
        <v>0</v>
      </c>
      <c r="AE26" s="26">
        <v>-5.8</v>
      </c>
      <c r="AF26" s="26">
        <v>-4.6364749999999999</v>
      </c>
      <c r="AG26" s="26">
        <v>0</v>
      </c>
    </row>
    <row r="27" spans="1:33" ht="15.75" customHeight="1" x14ac:dyDescent="0.2">
      <c r="A27" s="15" t="s">
        <v>83</v>
      </c>
      <c r="B27" s="15" t="s">
        <v>113</v>
      </c>
      <c r="C27" s="16">
        <f t="shared" si="4"/>
        <v>19.193000000000001</v>
      </c>
      <c r="D27" s="17">
        <v>10</v>
      </c>
      <c r="E27" s="17">
        <v>0</v>
      </c>
      <c r="F27" s="18">
        <v>191.93</v>
      </c>
      <c r="G27" s="18">
        <v>0</v>
      </c>
      <c r="H27" s="32">
        <f t="shared" si="1"/>
        <v>0</v>
      </c>
      <c r="I27" s="32">
        <f t="shared" si="2"/>
        <v>0.29632937239850182</v>
      </c>
      <c r="J27" s="33">
        <f t="shared" si="5"/>
        <v>56.874496444444453</v>
      </c>
      <c r="K27" s="33">
        <f t="shared" si="3"/>
        <v>5.6874496444444453</v>
      </c>
      <c r="L27" s="17">
        <v>7</v>
      </c>
      <c r="M27" s="34">
        <f t="shared" si="6"/>
        <v>1.4285714285714286</v>
      </c>
      <c r="N27" s="17">
        <v>496</v>
      </c>
      <c r="O27" s="35">
        <f t="shared" ref="O27:P27" si="35">D27/7</f>
        <v>1.4285714285714286</v>
      </c>
      <c r="P27" s="35">
        <f t="shared" si="35"/>
        <v>0</v>
      </c>
      <c r="Q27" s="30">
        <f t="shared" si="8"/>
        <v>347</v>
      </c>
      <c r="R27" s="30"/>
      <c r="S27" s="42">
        <v>9.5049504950495051E-2</v>
      </c>
      <c r="T27" s="29">
        <v>1058</v>
      </c>
      <c r="U27" s="36" t="s">
        <v>34</v>
      </c>
      <c r="V27" s="37" t="s">
        <v>34</v>
      </c>
      <c r="W27" s="15">
        <v>0</v>
      </c>
      <c r="X27" s="38">
        <f t="shared" si="9"/>
        <v>0</v>
      </c>
      <c r="Y27" s="39">
        <f t="shared" si="10"/>
        <v>0</v>
      </c>
      <c r="Z27" s="15">
        <v>0</v>
      </c>
      <c r="AA27" s="29" t="s">
        <v>35</v>
      </c>
      <c r="AB27" s="40">
        <f t="shared" si="11"/>
        <v>-0.69</v>
      </c>
      <c r="AC27" s="41">
        <v>0.22472851851851849</v>
      </c>
      <c r="AD27" s="39">
        <f t="shared" si="12"/>
        <v>-3.1012535555555547</v>
      </c>
      <c r="AE27" s="26">
        <v>-5.68</v>
      </c>
      <c r="AF27" s="26">
        <v>-4.6364749999999999</v>
      </c>
      <c r="AG27" s="26">
        <v>0</v>
      </c>
    </row>
    <row r="28" spans="1:33" ht="15.75" customHeight="1" x14ac:dyDescent="0.2">
      <c r="A28" s="15" t="s">
        <v>85</v>
      </c>
      <c r="B28" s="15" t="s">
        <v>114</v>
      </c>
      <c r="C28" s="16">
        <f t="shared" si="4"/>
        <v>18.098358208955222</v>
      </c>
      <c r="D28" s="17">
        <v>67</v>
      </c>
      <c r="E28" s="17">
        <v>0</v>
      </c>
      <c r="F28" s="18">
        <v>1212.5899999999999</v>
      </c>
      <c r="G28" s="18">
        <v>-24.29</v>
      </c>
      <c r="H28" s="32">
        <f t="shared" si="1"/>
        <v>2.0031502816285802E-2</v>
      </c>
      <c r="I28" s="32">
        <f t="shared" si="2"/>
        <v>0.24281024598403228</v>
      </c>
      <c r="J28" s="33">
        <f t="shared" si="5"/>
        <v>294.42927617777769</v>
      </c>
      <c r="K28" s="33">
        <f t="shared" si="3"/>
        <v>4.3944668086235481</v>
      </c>
      <c r="L28" s="17">
        <v>27</v>
      </c>
      <c r="M28" s="34">
        <f t="shared" si="6"/>
        <v>2.4814814814814814</v>
      </c>
      <c r="N28" s="17">
        <v>428</v>
      </c>
      <c r="O28" s="35">
        <f t="shared" ref="O28:P28" si="36">D28/7</f>
        <v>9.5714285714285712</v>
      </c>
      <c r="P28" s="35">
        <f t="shared" si="36"/>
        <v>0</v>
      </c>
      <c r="Q28" s="30">
        <f t="shared" si="8"/>
        <v>44</v>
      </c>
      <c r="R28" s="30"/>
      <c r="S28" s="42">
        <v>0.17959183673469389</v>
      </c>
      <c r="T28" s="29">
        <f ca="1">IFERROR(__xludf.DUMMYFUNCTION("IFERROR(VLOOKUP($B$2,IMPORTRANGE(""https://docs.google.com/spreadsheets/d/1iVgg6Mw12RULLujzHmfOFIY8Q_KaAD8anoZzgtVAQ74/edit#gid=1503384807"",""Ubiquitty - Summary!A1:AD5000""),9,FALSE),"""")"),1058)</f>
        <v>1058</v>
      </c>
      <c r="U28" s="36" t="str">
        <f ca="1">IFERROR(__xludf.DUMMYFUNCTION("IFERROR(VLOOKUP($B$2,IMPORTRANGE(""https://docs.google.com/spreadsheets/d/1iVgg6Mw12RULLujzHmfOFIY8Q_KaAD8anoZzgtVAQ74/edit#gid=1503384807"",""Ubiquitty - Summary!A1:AD5000""),28,FALSE),"""")"),"")</f>
        <v/>
      </c>
      <c r="V28" s="37" t="str">
        <f ca="1">IFERROR(__xludf.DUMMYFUNCTION("IFERROR(VLOOKUP($B$2,IMPORTRANGE(""https://docs.google.com/spreadsheets/d/1iVgg6Mw12RULLujzHmfOFIY8Q_KaAD8anoZzgtVAQ74/edit#gid=1503384807"",""Ubiquitty - Summary!A1:Ae5000""),31,FALSE),"""")"),"")</f>
        <v/>
      </c>
      <c r="W28" s="15">
        <v>5</v>
      </c>
      <c r="X28" s="38">
        <f t="shared" si="9"/>
        <v>7.4626865671641784E-2</v>
      </c>
      <c r="Y28" s="39">
        <f t="shared" si="10"/>
        <v>4.8579999999999997</v>
      </c>
      <c r="Z28" s="29">
        <v>0</v>
      </c>
      <c r="AA28" s="29" t="s">
        <v>35</v>
      </c>
      <c r="AB28" s="40">
        <f t="shared" si="11"/>
        <v>-0.69</v>
      </c>
      <c r="AC28" s="41">
        <v>0.22472851851851849</v>
      </c>
      <c r="AD28" s="39">
        <f t="shared" si="12"/>
        <v>-20.778398822222218</v>
      </c>
      <c r="AE28" s="26">
        <v>-5.68</v>
      </c>
      <c r="AF28" s="26">
        <v>-4.6364749999999999</v>
      </c>
      <c r="AG28" s="26">
        <v>0</v>
      </c>
    </row>
    <row r="29" spans="1:33" ht="15.75" customHeight="1" x14ac:dyDescent="0.2">
      <c r="A29" s="29" t="s">
        <v>87</v>
      </c>
      <c r="B29" s="29" t="s">
        <v>115</v>
      </c>
      <c r="C29" s="16">
        <f t="shared" si="4"/>
        <v>20.99</v>
      </c>
      <c r="D29" s="30">
        <v>8</v>
      </c>
      <c r="E29" s="30">
        <v>0</v>
      </c>
      <c r="F29" s="33">
        <v>167.92</v>
      </c>
      <c r="G29" s="33">
        <v>-1</v>
      </c>
      <c r="H29" s="32">
        <f t="shared" si="1"/>
        <v>5.9552167698904241E-3</v>
      </c>
      <c r="I29" s="32">
        <f t="shared" si="2"/>
        <v>0.33777511407548566</v>
      </c>
      <c r="J29" s="33">
        <f t="shared" si="5"/>
        <v>56.719197155555548</v>
      </c>
      <c r="K29" s="33">
        <f t="shared" si="3"/>
        <v>7.0898996444444435</v>
      </c>
      <c r="L29" s="30">
        <v>16</v>
      </c>
      <c r="M29" s="34">
        <f t="shared" si="6"/>
        <v>0.5</v>
      </c>
      <c r="N29" s="17">
        <v>384</v>
      </c>
      <c r="O29" s="35">
        <f t="shared" ref="O29:P29" si="37">D29/7</f>
        <v>1.1428571428571428</v>
      </c>
      <c r="P29" s="35">
        <f t="shared" si="37"/>
        <v>0</v>
      </c>
      <c r="Q29" s="30">
        <f t="shared" si="8"/>
        <v>336</v>
      </c>
      <c r="R29" s="30"/>
      <c r="S29" s="42">
        <v>0.85128205128205126</v>
      </c>
      <c r="T29" s="29">
        <v>1058</v>
      </c>
      <c r="U29" s="36" t="s">
        <v>34</v>
      </c>
      <c r="V29" s="37" t="s">
        <v>34</v>
      </c>
      <c r="W29" s="29">
        <v>0</v>
      </c>
      <c r="X29" s="38">
        <f t="shared" si="9"/>
        <v>0</v>
      </c>
      <c r="Y29" s="39">
        <f t="shared" si="10"/>
        <v>0</v>
      </c>
      <c r="Z29" s="29">
        <v>0</v>
      </c>
      <c r="AA29" s="29" t="s">
        <v>35</v>
      </c>
      <c r="AB29" s="40">
        <f t="shared" si="11"/>
        <v>-0.69</v>
      </c>
      <c r="AC29" s="41">
        <v>0.22472851851851849</v>
      </c>
      <c r="AD29" s="39">
        <f t="shared" si="12"/>
        <v>-2.4810028444444439</v>
      </c>
      <c r="AE29" s="39">
        <v>-5.68</v>
      </c>
      <c r="AF29" s="26">
        <v>-4.6364749999999999</v>
      </c>
      <c r="AG29" s="39">
        <v>0</v>
      </c>
    </row>
    <row r="30" spans="1:33" ht="15.75" customHeight="1" x14ac:dyDescent="0.2">
      <c r="A30" s="15" t="s">
        <v>88</v>
      </c>
      <c r="B30" s="15" t="s">
        <v>89</v>
      </c>
      <c r="C30" s="16">
        <f t="shared" si="4"/>
        <v>20.073333333333334</v>
      </c>
      <c r="D30" s="17">
        <v>12</v>
      </c>
      <c r="E30" s="17">
        <v>0</v>
      </c>
      <c r="F30" s="18">
        <v>240.88000000000002</v>
      </c>
      <c r="G30" s="18">
        <v>-15.23</v>
      </c>
      <c r="H30" s="32">
        <f t="shared" si="1"/>
        <v>6.3226502822982394E-2</v>
      </c>
      <c r="I30" s="32">
        <f t="shared" si="2"/>
        <v>0.26112084321377182</v>
      </c>
      <c r="J30" s="33">
        <f t="shared" si="5"/>
        <v>62.898788713333367</v>
      </c>
      <c r="K30" s="33">
        <f t="shared" si="3"/>
        <v>5.2415657261111139</v>
      </c>
      <c r="L30" s="17">
        <v>38</v>
      </c>
      <c r="M30" s="34">
        <f t="shared" si="6"/>
        <v>0.31578947368421051</v>
      </c>
      <c r="N30" s="17">
        <v>408</v>
      </c>
      <c r="O30" s="35">
        <f t="shared" ref="O30:P30" si="38">D30/7</f>
        <v>1.7142857142857142</v>
      </c>
      <c r="P30" s="35">
        <f t="shared" si="38"/>
        <v>0</v>
      </c>
      <c r="Q30" s="30">
        <f t="shared" si="8"/>
        <v>238</v>
      </c>
      <c r="R30" s="30"/>
      <c r="S30" s="42">
        <v>0.81132075471698117</v>
      </c>
      <c r="T30" s="29">
        <v>1058</v>
      </c>
      <c r="U30" s="36" t="s">
        <v>34</v>
      </c>
      <c r="V30" s="37" t="s">
        <v>34</v>
      </c>
      <c r="W30" s="15">
        <v>2</v>
      </c>
      <c r="X30" s="38">
        <f t="shared" si="9"/>
        <v>0.16666666666666666</v>
      </c>
      <c r="Y30" s="39">
        <f t="shared" si="10"/>
        <v>7.6150000000000002</v>
      </c>
      <c r="Z30" s="15">
        <v>0</v>
      </c>
      <c r="AA30" s="29" t="s">
        <v>35</v>
      </c>
      <c r="AB30" s="40">
        <f t="shared" si="11"/>
        <v>-0.69</v>
      </c>
      <c r="AC30" s="41">
        <v>0.22472851851851849</v>
      </c>
      <c r="AD30" s="39">
        <f t="shared" si="12"/>
        <v>-3.721504266666666</v>
      </c>
      <c r="AE30" s="26">
        <v>-5.68</v>
      </c>
      <c r="AF30" s="26">
        <v>-4.4739755849999998</v>
      </c>
      <c r="AG30" s="26">
        <v>-1.05</v>
      </c>
    </row>
    <row r="31" spans="1:33" ht="15.75" customHeight="1" x14ac:dyDescent="0.2">
      <c r="A31" s="15" t="s">
        <v>90</v>
      </c>
      <c r="B31" s="15" t="s">
        <v>116</v>
      </c>
      <c r="C31" s="16">
        <f t="shared" si="4"/>
        <v>19.989999999999998</v>
      </c>
      <c r="D31" s="17">
        <v>6</v>
      </c>
      <c r="E31" s="17">
        <v>0</v>
      </c>
      <c r="F31" s="18">
        <v>119.93999999999998</v>
      </c>
      <c r="G31" s="43">
        <v>-6.72</v>
      </c>
      <c r="H31" s="32">
        <f t="shared" si="1"/>
        <v>5.602801400700351E-2</v>
      </c>
      <c r="I31" s="32">
        <f t="shared" si="2"/>
        <v>0.27050520557500962</v>
      </c>
      <c r="J31" s="33">
        <f t="shared" si="5"/>
        <v>32.444394356666649</v>
      </c>
      <c r="K31" s="33">
        <f t="shared" si="3"/>
        <v>5.4073990594444412</v>
      </c>
      <c r="L31" s="17">
        <v>23</v>
      </c>
      <c r="M31" s="34">
        <f t="shared" si="6"/>
        <v>0.2608695652173913</v>
      </c>
      <c r="N31" s="17">
        <v>401</v>
      </c>
      <c r="O31" s="35">
        <f t="shared" ref="O31:P31" si="39">D31/7</f>
        <v>0.8571428571428571</v>
      </c>
      <c r="P31" s="35">
        <f t="shared" si="39"/>
        <v>0</v>
      </c>
      <c r="Q31" s="30">
        <f t="shared" si="8"/>
        <v>467</v>
      </c>
      <c r="R31" s="30"/>
      <c r="S31" s="42">
        <v>0.44298245614034998</v>
      </c>
      <c r="T31" s="15">
        <v>554</v>
      </c>
      <c r="U31" s="23" t="s">
        <v>34</v>
      </c>
      <c r="V31" s="1" t="s">
        <v>117</v>
      </c>
      <c r="W31" s="15">
        <v>2</v>
      </c>
      <c r="X31" s="38">
        <f t="shared" si="9"/>
        <v>0.33333333333333331</v>
      </c>
      <c r="Y31" s="39">
        <f t="shared" si="10"/>
        <v>3.36</v>
      </c>
      <c r="Z31" s="15">
        <v>0</v>
      </c>
      <c r="AA31" s="15" t="s">
        <v>35</v>
      </c>
      <c r="AB31" s="40">
        <f t="shared" si="11"/>
        <v>-0.69</v>
      </c>
      <c r="AC31" s="28">
        <v>0.22472851851851849</v>
      </c>
      <c r="AD31" s="39">
        <f t="shared" si="12"/>
        <v>-1.860752133333333</v>
      </c>
      <c r="AE31" s="44">
        <v>-5.68</v>
      </c>
      <c r="AF31" s="44">
        <v>-4.4739755850000007</v>
      </c>
      <c r="AG31" s="26">
        <v>0</v>
      </c>
    </row>
    <row r="32" spans="1:33" ht="15.75" customHeight="1" x14ac:dyDescent="0.2">
      <c r="A32" s="15" t="s">
        <v>93</v>
      </c>
      <c r="B32" s="48" t="s">
        <v>94</v>
      </c>
      <c r="C32" s="16">
        <f t="shared" si="4"/>
        <v>18.864999999999998</v>
      </c>
      <c r="D32" s="17">
        <v>8</v>
      </c>
      <c r="E32" s="17">
        <v>1</v>
      </c>
      <c r="F32" s="18">
        <v>150.91999999999999</v>
      </c>
      <c r="G32" s="18">
        <v>-10.89</v>
      </c>
      <c r="H32" s="32">
        <f t="shared" si="1"/>
        <v>7.2157434402332368E-2</v>
      </c>
      <c r="I32" s="32">
        <f t="shared" si="2"/>
        <v>0.21653321279853924</v>
      </c>
      <c r="J32" s="33">
        <f t="shared" si="5"/>
        <v>32.679192475555539</v>
      </c>
      <c r="K32" s="33">
        <f t="shared" si="3"/>
        <v>4.0848990594444423</v>
      </c>
      <c r="L32" s="17">
        <v>26</v>
      </c>
      <c r="M32" s="34">
        <f t="shared" si="6"/>
        <v>0.30769230769230771</v>
      </c>
      <c r="N32" s="17">
        <v>393</v>
      </c>
      <c r="O32" s="35">
        <f t="shared" ref="O32:P32" si="40">D32/7</f>
        <v>1.1428571428571428</v>
      </c>
      <c r="P32" s="35">
        <f t="shared" si="40"/>
        <v>0.14285714285714285</v>
      </c>
      <c r="Q32" s="30">
        <f t="shared" si="8"/>
        <v>305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42">
        <v>0.49773755656108598</v>
      </c>
      <c r="T32" s="15">
        <f ca="1">IFERROR(__xludf.DUMMYFUNCTION("IFERROR(VLOOKUP($B$2,IMPORTRANGE(""https://docs.google.com/spreadsheets/d/1KiWZV1ko8G7lnRucBRBd29jj3Be6ltMfljMDqzOkQmI/edit#gid=1381463014"",""Lookup!A:D""),4,FALSE),"""")"),554)</f>
        <v>554</v>
      </c>
      <c r="U32" s="23">
        <f ca="1">IFERROR(__xludf.DUMMYFUNCTION("IFERROR(VLOOKUP($B$2,IMPORTRANGE(""https://docs.google.com/spreadsheets/d/1KiWZV1ko8G7lnRucBRBd29jj3Be6ltMfljMDqzOkQmI/edit#gid=1381463014"",""Lookup!A:D""),3,FALSE),"""")"),504)</f>
        <v>504</v>
      </c>
      <c r="V32" s="1" t="str">
        <f ca="1">IFERROR(__xludf.DUMMYFUNCTION("IFERROR(VLOOKUP($B$2,IMPORTRANGE(""https://docs.google.com/spreadsheets/d/1KiWZV1ko8G7lnRucBRBd29jj3Be6ltMfljMDqzOkQmI/edit#gid=1381463014"",""Lookup!A:D""),2,FALSE),"""")"),"| AGL203  - 504 units 06/07")</f>
        <v>| AGL203  - 504 units 06/07</v>
      </c>
      <c r="W32" s="15">
        <v>0</v>
      </c>
      <c r="X32" s="38">
        <f t="shared" si="9"/>
        <v>0</v>
      </c>
      <c r="Y32" s="39">
        <f t="shared" si="10"/>
        <v>0</v>
      </c>
      <c r="Z32" s="15">
        <v>0</v>
      </c>
      <c r="AA32" s="15" t="s">
        <v>35</v>
      </c>
      <c r="AB32" s="40">
        <f t="shared" si="11"/>
        <v>-0.69</v>
      </c>
      <c r="AC32" s="28">
        <v>0.22472851851851849</v>
      </c>
      <c r="AD32" s="39">
        <f t="shared" si="12"/>
        <v>-2.4810028444444439</v>
      </c>
      <c r="AE32" s="26">
        <v>-5.68</v>
      </c>
      <c r="AF32" s="26">
        <v>-4.4739755849999998</v>
      </c>
      <c r="AG32" s="26">
        <v>-1</v>
      </c>
    </row>
    <row r="33" spans="1:33" ht="15.75" customHeight="1" x14ac:dyDescent="0.2">
      <c r="A33" s="15"/>
      <c r="B33" s="15"/>
      <c r="C33" s="46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30"/>
      <c r="S33" s="4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6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4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6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4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6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4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6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4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6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4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6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4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6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4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6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4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6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4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6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4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6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4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6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4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6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4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6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4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6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4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6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4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6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4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6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4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6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4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6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4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6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4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6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4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6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4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6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4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6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4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6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4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6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4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6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4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6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4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6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4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6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4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6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4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6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4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6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4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6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4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6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4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6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4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6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4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6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4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6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4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6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4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6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4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6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4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6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4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6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4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6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4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6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4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6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4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6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4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6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4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6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4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6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4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6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4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6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4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6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4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6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4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6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4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6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4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6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4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6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4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6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4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6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4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46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42"/>
      <c r="T96" s="15"/>
      <c r="U96" s="23"/>
      <c r="V96" s="1"/>
      <c r="W96" s="15"/>
      <c r="X96" s="15"/>
      <c r="Y96" s="15"/>
      <c r="Z96" s="15"/>
      <c r="AA96" s="2"/>
      <c r="AB96" s="15"/>
      <c r="AC96" s="15"/>
      <c r="AD96" s="15"/>
      <c r="AE96" s="26"/>
      <c r="AF96" s="26"/>
      <c r="AG96" s="26"/>
    </row>
    <row r="97" spans="1:33" ht="15.75" customHeight="1" x14ac:dyDescent="0.2">
      <c r="A97" s="15"/>
      <c r="B97" s="15"/>
      <c r="C97" s="46"/>
      <c r="D97" s="17"/>
      <c r="E97" s="17"/>
      <c r="F97" s="18"/>
      <c r="G97" s="18"/>
      <c r="H97" s="18"/>
      <c r="I97" s="17"/>
      <c r="J97" s="17"/>
      <c r="K97" s="17"/>
      <c r="L97" s="17"/>
      <c r="M97" s="20"/>
      <c r="N97" s="17"/>
      <c r="O97" s="17"/>
      <c r="P97" s="17"/>
      <c r="Q97" s="17"/>
      <c r="R97" s="17"/>
      <c r="S97" s="42"/>
      <c r="T97" s="15"/>
      <c r="U97" s="23"/>
      <c r="V97" s="1"/>
      <c r="W97" s="15"/>
      <c r="X97" s="15"/>
      <c r="Y97" s="15"/>
      <c r="Z97" s="15"/>
      <c r="AA97" s="2"/>
      <c r="AB97" s="15"/>
      <c r="AC97" s="15"/>
      <c r="AD97" s="15"/>
      <c r="AE97" s="26"/>
      <c r="AF97" s="26"/>
      <c r="AG97" s="26"/>
    </row>
    <row r="98" spans="1:33" ht="15.75" customHeight="1" x14ac:dyDescent="0.2">
      <c r="A98" s="15"/>
      <c r="B98" s="15"/>
      <c r="C98" s="46"/>
      <c r="D98" s="17"/>
      <c r="E98" s="17"/>
      <c r="F98" s="18"/>
      <c r="G98" s="18"/>
      <c r="H98" s="18"/>
      <c r="I98" s="17"/>
      <c r="J98" s="17"/>
      <c r="K98" s="17"/>
      <c r="L98" s="17"/>
      <c r="M98" s="20"/>
      <c r="N98" s="17"/>
      <c r="O98" s="17"/>
      <c r="P98" s="17"/>
      <c r="Q98" s="17"/>
      <c r="R98" s="17"/>
      <c r="S98" s="42"/>
      <c r="T98" s="15"/>
      <c r="U98" s="23"/>
      <c r="V98" s="1"/>
      <c r="W98" s="15"/>
      <c r="X98" s="15"/>
      <c r="Y98" s="15"/>
      <c r="Z98" s="15"/>
      <c r="AA98" s="2"/>
      <c r="AB98" s="15"/>
      <c r="AC98" s="15"/>
      <c r="AD98" s="15"/>
      <c r="AE98" s="26"/>
      <c r="AF98" s="26"/>
      <c r="AG98" s="26"/>
    </row>
    <row r="99" spans="1:33" ht="15.75" customHeight="1" x14ac:dyDescent="0.2">
      <c r="A99" s="15"/>
      <c r="B99" s="15"/>
      <c r="C99" s="46"/>
      <c r="D99" s="17"/>
      <c r="E99" s="17"/>
      <c r="F99" s="18"/>
      <c r="G99" s="18"/>
      <c r="H99" s="18"/>
      <c r="I99" s="17"/>
      <c r="J99" s="17"/>
      <c r="K99" s="17"/>
      <c r="L99" s="17"/>
      <c r="M99" s="20"/>
      <c r="N99" s="17"/>
      <c r="O99" s="17"/>
      <c r="P99" s="17"/>
      <c r="Q99" s="17"/>
      <c r="R99" s="17"/>
      <c r="S99" s="42"/>
      <c r="T99" s="15"/>
      <c r="U99" s="23"/>
      <c r="V99" s="1"/>
      <c r="W99" s="15"/>
      <c r="X99" s="15"/>
      <c r="Y99" s="15"/>
      <c r="Z99" s="15"/>
      <c r="AA99" s="2"/>
      <c r="AB99" s="15"/>
      <c r="AC99" s="15"/>
      <c r="AD99" s="15"/>
      <c r="AE99" s="26"/>
      <c r="AF99" s="26"/>
      <c r="AG99" s="26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7"/>
      <c r="R100" s="47"/>
      <c r="S100" s="4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7"/>
      <c r="R101" s="47"/>
      <c r="S101" s="4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7"/>
      <c r="R102" s="47"/>
      <c r="S102" s="4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7"/>
      <c r="R103" s="47"/>
      <c r="S103" s="4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7"/>
      <c r="R104" s="47"/>
      <c r="S104" s="4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7"/>
      <c r="R105" s="47"/>
      <c r="S105" s="4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7"/>
      <c r="R106" s="47"/>
      <c r="S106" s="4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7"/>
      <c r="R107" s="47"/>
      <c r="S107" s="4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7"/>
      <c r="R108" s="47"/>
      <c r="S108" s="4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7"/>
      <c r="R109" s="47"/>
      <c r="S109" s="4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7"/>
      <c r="R110" s="47"/>
      <c r="S110" s="4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7"/>
      <c r="R111" s="47"/>
      <c r="S111" s="4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7"/>
      <c r="R112" s="47"/>
      <c r="S112" s="4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7"/>
      <c r="R113" s="47"/>
      <c r="S113" s="4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7"/>
      <c r="R114" s="47"/>
      <c r="S114" s="42"/>
      <c r="T114" s="15"/>
      <c r="U114" s="15"/>
      <c r="V114" s="15"/>
      <c r="W114" s="15"/>
      <c r="X114" s="15"/>
      <c r="Y114" s="15"/>
      <c r="Z114" s="15"/>
      <c r="AA114" s="2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47"/>
      <c r="R115" s="47"/>
      <c r="S115" s="42"/>
      <c r="T115" s="15"/>
      <c r="U115" s="15"/>
      <c r="V115" s="15"/>
      <c r="W115" s="15"/>
      <c r="X115" s="15"/>
      <c r="Y115" s="15"/>
      <c r="Z115" s="15"/>
      <c r="AA115" s="2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47"/>
      <c r="R116" s="47"/>
      <c r="S116" s="42"/>
      <c r="T116" s="15"/>
      <c r="U116" s="15"/>
      <c r="V116" s="15"/>
      <c r="W116" s="15"/>
      <c r="X116" s="15"/>
      <c r="Y116" s="15"/>
      <c r="Z116" s="15"/>
      <c r="AA116" s="2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47"/>
      <c r="R117" s="47"/>
      <c r="S117" s="42"/>
      <c r="T117" s="15"/>
      <c r="U117" s="15"/>
      <c r="V117" s="15"/>
      <c r="W117" s="15"/>
      <c r="X117" s="15"/>
      <c r="Y117" s="15"/>
      <c r="Z117" s="15"/>
      <c r="AA117" s="2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2"/>
    </row>
    <row r="124" spans="1:33" ht="15.75" customHeight="1" x14ac:dyDescent="0.2"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2"/>
    </row>
    <row r="125" spans="1:33" ht="15.75" customHeight="1" x14ac:dyDescent="0.2"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2"/>
    </row>
    <row r="126" spans="1:33" ht="15.75" customHeight="1" x14ac:dyDescent="0.2"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2"/>
    </row>
    <row r="127" spans="1:33" ht="15.75" customHeight="1" x14ac:dyDescent="0.2"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2"/>
    </row>
    <row r="128" spans="1:33" ht="15.75" customHeight="1" x14ac:dyDescent="0.2"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2"/>
    </row>
    <row r="129" spans="3:19" ht="15.75" customHeight="1" x14ac:dyDescent="0.2"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2"/>
    </row>
    <row r="130" spans="3:19" ht="15.75" customHeight="1" x14ac:dyDescent="0.2"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2"/>
    </row>
    <row r="131" spans="3:19" ht="15.75" customHeight="1" x14ac:dyDescent="0.2"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2"/>
    </row>
    <row r="132" spans="3:19" ht="15.75" customHeight="1" x14ac:dyDescent="0.2"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2"/>
    </row>
    <row r="133" spans="3:19" ht="15.75" customHeight="1" x14ac:dyDescent="0.2"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2"/>
    </row>
    <row r="134" spans="3:19" ht="15.75" customHeight="1" x14ac:dyDescent="0.2"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2"/>
    </row>
    <row r="135" spans="3:19" ht="15.75" customHeight="1" x14ac:dyDescent="0.2"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2"/>
    </row>
    <row r="136" spans="3:19" ht="15.75" customHeight="1" x14ac:dyDescent="0.2"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2"/>
    </row>
    <row r="137" spans="3:19" ht="15.75" customHeight="1" x14ac:dyDescent="0.2"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2"/>
    </row>
    <row r="138" spans="3:19" ht="15.75" customHeight="1" x14ac:dyDescent="0.2"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2"/>
    </row>
    <row r="139" spans="3:19" ht="15.75" customHeight="1" x14ac:dyDescent="0.2"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2"/>
    </row>
    <row r="140" spans="3:19" ht="15.75" customHeight="1" x14ac:dyDescent="0.2"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2"/>
    </row>
    <row r="141" spans="3:19" ht="15.75" customHeight="1" x14ac:dyDescent="0.2"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2"/>
    </row>
    <row r="142" spans="3:19" ht="15.75" customHeight="1" x14ac:dyDescent="0.2"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2"/>
    </row>
    <row r="143" spans="3:19" ht="15.75" customHeight="1" x14ac:dyDescent="0.2"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2"/>
    </row>
    <row r="144" spans="3:19" ht="15.75" customHeight="1" x14ac:dyDescent="0.2"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2"/>
    </row>
    <row r="145" spans="3:19" ht="15.75" customHeight="1" x14ac:dyDescent="0.2"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2"/>
    </row>
    <row r="146" spans="3:19" ht="15.75" customHeight="1" x14ac:dyDescent="0.2"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2"/>
    </row>
    <row r="147" spans="3:19" ht="15.75" customHeight="1" x14ac:dyDescent="0.2"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2"/>
    </row>
    <row r="148" spans="3:19" ht="15.75" customHeight="1" x14ac:dyDescent="0.2"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2"/>
    </row>
    <row r="149" spans="3:19" ht="15.75" customHeight="1" x14ac:dyDescent="0.2"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2"/>
    </row>
    <row r="150" spans="3:19" ht="15.75" customHeight="1" x14ac:dyDescent="0.2"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2"/>
    </row>
    <row r="151" spans="3:19" ht="15.75" customHeight="1" x14ac:dyDescent="0.2"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2"/>
    </row>
    <row r="152" spans="3:19" ht="15.75" customHeight="1" x14ac:dyDescent="0.2"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2"/>
    </row>
    <row r="153" spans="3:19" ht="15.75" customHeight="1" x14ac:dyDescent="0.2"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2"/>
    </row>
    <row r="154" spans="3:19" ht="15.75" customHeight="1" x14ac:dyDescent="0.2"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2"/>
    </row>
    <row r="155" spans="3:19" ht="15.75" customHeight="1" x14ac:dyDescent="0.2"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2"/>
    </row>
    <row r="156" spans="3:19" ht="15.75" customHeight="1" x14ac:dyDescent="0.2"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2"/>
    </row>
    <row r="157" spans="3:19" ht="15.75" customHeight="1" x14ac:dyDescent="0.2"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2"/>
    </row>
    <row r="158" spans="3:19" ht="15.75" customHeight="1" x14ac:dyDescent="0.2"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2"/>
    </row>
    <row r="159" spans="3:19" ht="15.75" customHeight="1" x14ac:dyDescent="0.2"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2"/>
    </row>
    <row r="160" spans="3:19" ht="15.75" customHeight="1" x14ac:dyDescent="0.2"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2"/>
    </row>
    <row r="161" spans="3:19" ht="15.75" customHeight="1" x14ac:dyDescent="0.2"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2"/>
    </row>
    <row r="162" spans="3:19" ht="15.75" customHeight="1" x14ac:dyDescent="0.2"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2"/>
    </row>
    <row r="163" spans="3:19" ht="15.75" customHeight="1" x14ac:dyDescent="0.2"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2"/>
    </row>
    <row r="164" spans="3:19" ht="15.75" customHeight="1" x14ac:dyDescent="0.2"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2"/>
    </row>
    <row r="165" spans="3:19" ht="15.75" customHeight="1" x14ac:dyDescent="0.2"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2"/>
    </row>
    <row r="166" spans="3:19" ht="15.75" customHeight="1" x14ac:dyDescent="0.2"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2"/>
    </row>
    <row r="167" spans="3:19" ht="15.75" customHeight="1" x14ac:dyDescent="0.2"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2"/>
    </row>
    <row r="168" spans="3:19" ht="15.75" customHeight="1" x14ac:dyDescent="0.2"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2"/>
    </row>
    <row r="169" spans="3:19" ht="15.75" customHeight="1" x14ac:dyDescent="0.2"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2"/>
    </row>
    <row r="170" spans="3:19" ht="15.75" customHeight="1" x14ac:dyDescent="0.2"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2"/>
    </row>
    <row r="171" spans="3:19" ht="15.75" customHeight="1" x14ac:dyDescent="0.2"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2"/>
    </row>
    <row r="172" spans="3:19" ht="15.75" customHeight="1" x14ac:dyDescent="0.2"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2"/>
    </row>
    <row r="173" spans="3:19" ht="15.75" customHeight="1" x14ac:dyDescent="0.2"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2"/>
    </row>
    <row r="174" spans="3:19" ht="15.75" customHeight="1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2"/>
    </row>
    <row r="175" spans="3:19" ht="15.75" customHeight="1" x14ac:dyDescent="0.2"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2"/>
    </row>
    <row r="176" spans="3:19" ht="15.75" customHeight="1" x14ac:dyDescent="0.2"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2"/>
    </row>
    <row r="177" spans="3:19" ht="15.75" customHeight="1" x14ac:dyDescent="0.2"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2"/>
    </row>
    <row r="178" spans="3:19" ht="15.75" customHeight="1" x14ac:dyDescent="0.2"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2"/>
    </row>
    <row r="179" spans="3:19" ht="15.75" customHeight="1" x14ac:dyDescent="0.2"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2"/>
    </row>
    <row r="180" spans="3:19" ht="15.75" customHeight="1" x14ac:dyDescent="0.2"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2"/>
    </row>
    <row r="181" spans="3:19" ht="15.75" customHeight="1" x14ac:dyDescent="0.2"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2"/>
    </row>
    <row r="182" spans="3:19" ht="15.75" customHeight="1" x14ac:dyDescent="0.2"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2"/>
    </row>
    <row r="183" spans="3:19" ht="15.75" customHeight="1" x14ac:dyDescent="0.2"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2"/>
    </row>
    <row r="184" spans="3:19" ht="15.75" customHeight="1" x14ac:dyDescent="0.2"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2"/>
    </row>
    <row r="185" spans="3:19" ht="15.75" customHeight="1" x14ac:dyDescent="0.2"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2"/>
    </row>
    <row r="186" spans="3:19" ht="15.75" customHeight="1" x14ac:dyDescent="0.2"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2"/>
    </row>
    <row r="187" spans="3:19" ht="15.75" customHeight="1" x14ac:dyDescent="0.2"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2"/>
    </row>
    <row r="188" spans="3:19" ht="15.75" customHeight="1" x14ac:dyDescent="0.2"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2"/>
    </row>
    <row r="189" spans="3:19" ht="15.75" customHeight="1" x14ac:dyDescent="0.2"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2"/>
    </row>
    <row r="190" spans="3:19" ht="15.75" customHeight="1" x14ac:dyDescent="0.2"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2"/>
    </row>
    <row r="191" spans="3:19" ht="15.75" customHeight="1" x14ac:dyDescent="0.2"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2"/>
    </row>
    <row r="192" spans="3:19" ht="15.75" customHeight="1" x14ac:dyDescent="0.2"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2"/>
    </row>
    <row r="193" spans="3:19" ht="15.75" customHeight="1" x14ac:dyDescent="0.2"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2"/>
    </row>
    <row r="194" spans="3:19" ht="15.75" customHeight="1" x14ac:dyDescent="0.2"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2"/>
    </row>
    <row r="195" spans="3:19" ht="15.75" customHeight="1" x14ac:dyDescent="0.2"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2"/>
    </row>
    <row r="196" spans="3:19" ht="15.75" customHeight="1" x14ac:dyDescent="0.2"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2"/>
    </row>
    <row r="197" spans="3:19" ht="15.75" customHeight="1" x14ac:dyDescent="0.2"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2"/>
    </row>
    <row r="198" spans="3:19" ht="15.75" customHeight="1" x14ac:dyDescent="0.2"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2"/>
    </row>
    <row r="199" spans="3:19" ht="15.75" customHeight="1" x14ac:dyDescent="0.2"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2"/>
    </row>
    <row r="200" spans="3:19" ht="15.75" customHeight="1" x14ac:dyDescent="0.2"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2"/>
    </row>
    <row r="201" spans="3:19" ht="15.75" customHeight="1" x14ac:dyDescent="0.2"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2"/>
    </row>
    <row r="202" spans="3:19" ht="15.75" customHeight="1" x14ac:dyDescent="0.2"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2"/>
    </row>
    <row r="203" spans="3:19" ht="15.75" customHeight="1" x14ac:dyDescent="0.2"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2"/>
    </row>
    <row r="204" spans="3:19" ht="15.75" customHeight="1" x14ac:dyDescent="0.2"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2"/>
    </row>
    <row r="205" spans="3:19" ht="15.75" customHeight="1" x14ac:dyDescent="0.2"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2"/>
    </row>
    <row r="206" spans="3:19" ht="15.75" customHeight="1" x14ac:dyDescent="0.2"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2"/>
    </row>
    <row r="207" spans="3:19" ht="15.75" customHeight="1" x14ac:dyDescent="0.2"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2"/>
    </row>
    <row r="208" spans="3:19" ht="15.75" customHeight="1" x14ac:dyDescent="0.2"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2"/>
    </row>
    <row r="209" spans="3:19" ht="15.75" customHeight="1" x14ac:dyDescent="0.2"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2"/>
    </row>
    <row r="210" spans="3:19" ht="15.75" customHeight="1" x14ac:dyDescent="0.2"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2"/>
    </row>
    <row r="211" spans="3:19" ht="15.75" customHeight="1" x14ac:dyDescent="0.2"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2"/>
    </row>
    <row r="212" spans="3:19" ht="15.75" customHeight="1" x14ac:dyDescent="0.2"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2"/>
    </row>
    <row r="213" spans="3:19" ht="15.75" customHeight="1" x14ac:dyDescent="0.2"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2"/>
    </row>
    <row r="214" spans="3:19" ht="15.75" customHeight="1" x14ac:dyDescent="0.2"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2"/>
    </row>
    <row r="215" spans="3:19" ht="15.75" customHeight="1" x14ac:dyDescent="0.2"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2"/>
    </row>
    <row r="216" spans="3:19" ht="15.75" customHeight="1" x14ac:dyDescent="0.2"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2"/>
    </row>
    <row r="217" spans="3:19" ht="15.75" customHeight="1" x14ac:dyDescent="0.2"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2"/>
    </row>
    <row r="218" spans="3:19" ht="15.75" customHeight="1" x14ac:dyDescent="0.2"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2"/>
    </row>
    <row r="219" spans="3:19" ht="15.75" customHeight="1" x14ac:dyDescent="0.2"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2"/>
    </row>
    <row r="220" spans="3:19" ht="15.75" customHeight="1" x14ac:dyDescent="0.2"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2"/>
    </row>
    <row r="221" spans="3:19" ht="15.75" customHeight="1" x14ac:dyDescent="0.2">
      <c r="R221" s="15"/>
      <c r="S221" s="42"/>
    </row>
    <row r="222" spans="3:19" ht="15.75" customHeight="1" x14ac:dyDescent="0.2">
      <c r="R222" s="15"/>
      <c r="S222" s="42"/>
    </row>
    <row r="223" spans="3:19" ht="15.75" customHeight="1" x14ac:dyDescent="0.2">
      <c r="R223" s="15"/>
      <c r="S223" s="42"/>
    </row>
    <row r="224" spans="3:19" ht="15.75" customHeight="1" x14ac:dyDescent="0.2">
      <c r="R224" s="15"/>
      <c r="S224" s="4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PL-FL-G40-B25</vt:lpstr>
      <vt:lpstr>PL-FL-S14-B25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2021-07-19T20:17:42Z</dcterms:modified>
</cp:coreProperties>
</file>