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Yi/Downloads/"/>
    </mc:Choice>
  </mc:AlternateContent>
  <xr:revisionPtr revIDLastSave="0" documentId="13_ncr:1_{6F8231AF-7400-3442-A60B-AB5A7D18F524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PL-IL-KCHB12X16-BR" sheetId="1" r:id="rId1"/>
    <sheet name="PL-IL-KCHB12X16-WH" sheetId="2" r:id="rId2"/>
    <sheet name="PL-IL-KCHB12X16-WHW" sheetId="3" r:id="rId3"/>
    <sheet name="PL-IL-KCHB18X22-BR" sheetId="4" r:id="rId4"/>
    <sheet name="PL-IL-KCHB18X22-GR" sheetId="5" r:id="rId5"/>
    <sheet name="PL-IL-KCHB18X22-WH" sheetId="6" r:id="rId6"/>
    <sheet name="PL-IL-KCHB20X30-BR" sheetId="7" r:id="rId7"/>
    <sheet name="PL-IL-KCHB20X30-GR" sheetId="8" r:id="rId8"/>
    <sheet name="PL-IL-KCHB20X30-WH" sheetId="9" r:id="rId9"/>
    <sheet name="PL-IL-MB21X30-BK-FN" sheetId="10" r:id="rId10"/>
    <sheet name="PL-IL-MB21X30-CHR-FN" sheetId="11" r:id="rId11"/>
    <sheet name="PL-IL-MB21X30-OAK-FN" sheetId="12" r:id="rId12"/>
    <sheet name="PL-IL-MB21X30-WH-FN" sheetId="13" r:id="rId13"/>
    <sheet name="PL-IL-MB21X30-WHT-FN" sheetId="14" r:id="rId14"/>
    <sheet name="PL-IL-MB-BK" sheetId="15" r:id="rId15"/>
    <sheet name="PL-IL-MB-CHR" sheetId="16" r:id="rId16"/>
    <sheet name="PL-IL-MB-DIY" sheetId="17" r:id="rId17"/>
    <sheet name="PL-IL-MB-OAK" sheetId="18" r:id="rId18"/>
    <sheet name="PL-IL-MB-SGE" sheetId="19" r:id="rId19"/>
    <sheet name="PL-IL-MB-TUQ" sheetId="20" r:id="rId20"/>
    <sheet name="PL-IL-MB-WH" sheetId="21" r:id="rId21"/>
    <sheet name="PL-IL-MB-WHT" sheetId="22" r:id="rId22"/>
    <sheet name="PL-IL-MCHB5X6-8PK-BRN" sheetId="23" r:id="rId23"/>
    <sheet name="PL-IL-MCHB5X6-8PK-WHT" sheetId="24" r:id="rId24"/>
    <sheet name="PL-IL-ATS5X6-4PK-BRN" sheetId="25" r:id="rId25"/>
    <sheet name="PL-IL-ATS5X6-4PK-WHT" sheetId="26" r:id="rId26"/>
    <sheet name="PL-IL-ATS5X6-8PK-BRN" sheetId="27" r:id="rId27"/>
    <sheet name="PL-IL-ATS5X6-8PK-NAT" sheetId="28" r:id="rId28"/>
    <sheet name="PL-IL-ATS5X6-8PK-WHT" sheetId="29" r:id="rId29"/>
    <sheet name="PL-IL-ATS8X10-4PK-BRN" sheetId="30" r:id="rId30"/>
    <sheet name="PL-IL-ATS8X10-4PK-NAT" sheetId="31" r:id="rId31"/>
    <sheet name="PL-IL-ATS8X10-4PK-WHT" sheetId="32" r:id="rId32"/>
    <sheet name="PL-IL-TTMB-WHT" sheetId="33" r:id="rId33"/>
  </sheets>
  <calcPr calcId="191029"/>
</workbook>
</file>

<file path=xl/calcChain.xml><?xml version="1.0" encoding="utf-8"?>
<calcChain xmlns="http://schemas.openxmlformats.org/spreadsheetml/2006/main">
  <c r="R32" i="2" l="1"/>
  <c r="R32" i="3"/>
  <c r="R32" i="4"/>
  <c r="R32" i="5"/>
  <c r="R32" i="6"/>
  <c r="R32" i="7"/>
  <c r="R32" i="8"/>
  <c r="R32" i="9"/>
  <c r="R32" i="10"/>
  <c r="R32" i="11"/>
  <c r="R32" i="12"/>
  <c r="R32" i="13"/>
  <c r="R32" i="14"/>
  <c r="R32" i="15"/>
  <c r="R32" i="16"/>
  <c r="R32" i="17"/>
  <c r="R32" i="18"/>
  <c r="R32" i="19"/>
  <c r="R32" i="20"/>
  <c r="R32" i="21"/>
  <c r="R32" i="22"/>
  <c r="R32" i="23"/>
  <c r="R32" i="24"/>
  <c r="R32" i="25"/>
  <c r="R32" i="26"/>
  <c r="R32" i="27"/>
  <c r="R32" i="28"/>
  <c r="R32" i="29"/>
  <c r="R32" i="30"/>
  <c r="R32" i="31"/>
  <c r="R32" i="32"/>
  <c r="R32" i="33"/>
  <c r="R32" i="1"/>
  <c r="AB32" i="33"/>
  <c r="AD32" i="33" s="1"/>
  <c r="J32" i="33" s="1"/>
  <c r="Y32" i="33"/>
  <c r="X32" i="33"/>
  <c r="V32" i="33"/>
  <c r="U32" i="33"/>
  <c r="T32" i="33"/>
  <c r="P32" i="33"/>
  <c r="O32" i="33"/>
  <c r="Q32" i="33" s="1"/>
  <c r="M32" i="33"/>
  <c r="H32" i="33"/>
  <c r="C32" i="33"/>
  <c r="AD31" i="33"/>
  <c r="J31" i="33" s="1"/>
  <c r="AB31" i="33"/>
  <c r="Y31" i="33"/>
  <c r="X31" i="33"/>
  <c r="P31" i="33"/>
  <c r="O31" i="33"/>
  <c r="Q31" i="33" s="1"/>
  <c r="M31" i="33"/>
  <c r="H31" i="33"/>
  <c r="C31" i="33"/>
  <c r="AB30" i="33"/>
  <c r="AD30" i="33" s="1"/>
  <c r="J30" i="33" s="1"/>
  <c r="Y30" i="33"/>
  <c r="X30" i="33"/>
  <c r="Q30" i="33"/>
  <c r="P30" i="33"/>
  <c r="O30" i="33"/>
  <c r="M30" i="33"/>
  <c r="H30" i="33"/>
  <c r="C30" i="33"/>
  <c r="AB29" i="33"/>
  <c r="AD29" i="33" s="1"/>
  <c r="J29" i="33" s="1"/>
  <c r="Y29" i="33"/>
  <c r="X29" i="33"/>
  <c r="Q29" i="33"/>
  <c r="P29" i="33"/>
  <c r="O29" i="33"/>
  <c r="M29" i="33"/>
  <c r="H29" i="33"/>
  <c r="C29" i="33"/>
  <c r="AB28" i="33"/>
  <c r="AD28" i="33" s="1"/>
  <c r="J28" i="33" s="1"/>
  <c r="Y28" i="33"/>
  <c r="X28" i="33"/>
  <c r="P28" i="33"/>
  <c r="O28" i="33"/>
  <c r="Q28" i="33" s="1"/>
  <c r="M28" i="33"/>
  <c r="H28" i="33"/>
  <c r="C28" i="33"/>
  <c r="AB27" i="33"/>
  <c r="AD27" i="33" s="1"/>
  <c r="J27" i="33" s="1"/>
  <c r="K27" i="33" s="1"/>
  <c r="Y27" i="33"/>
  <c r="X27" i="33"/>
  <c r="Q27" i="33"/>
  <c r="P27" i="33"/>
  <c r="O27" i="33"/>
  <c r="M27" i="33"/>
  <c r="I27" i="33"/>
  <c r="H27" i="33"/>
  <c r="C27" i="33"/>
  <c r="AD26" i="33"/>
  <c r="J26" i="33" s="1"/>
  <c r="AB26" i="33"/>
  <c r="Y26" i="33"/>
  <c r="X26" i="33"/>
  <c r="P26" i="33"/>
  <c r="Q26" i="33" s="1"/>
  <c r="O26" i="33"/>
  <c r="M26" i="33"/>
  <c r="H26" i="33"/>
  <c r="C26" i="33"/>
  <c r="AD25" i="33"/>
  <c r="J25" i="33" s="1"/>
  <c r="AB25" i="33"/>
  <c r="Y25" i="33"/>
  <c r="X25" i="33"/>
  <c r="P25" i="33"/>
  <c r="O25" i="33"/>
  <c r="Q25" i="33" s="1"/>
  <c r="M25" i="33"/>
  <c r="H25" i="33"/>
  <c r="C25" i="33"/>
  <c r="AB24" i="33"/>
  <c r="AD24" i="33" s="1"/>
  <c r="J24" i="33" s="1"/>
  <c r="I24" i="33" s="1"/>
  <c r="Y24" i="33"/>
  <c r="X24" i="33"/>
  <c r="V24" i="33"/>
  <c r="U24" i="33"/>
  <c r="T24" i="33"/>
  <c r="P24" i="33"/>
  <c r="O24" i="33"/>
  <c r="Q24" i="33" s="1"/>
  <c r="M24" i="33"/>
  <c r="H24" i="33"/>
  <c r="C24" i="33"/>
  <c r="AB23" i="33"/>
  <c r="AD23" i="33" s="1"/>
  <c r="J23" i="33" s="1"/>
  <c r="Y23" i="33"/>
  <c r="X23" i="33"/>
  <c r="P23" i="33"/>
  <c r="O23" i="33"/>
  <c r="Q23" i="33" s="1"/>
  <c r="M23" i="33"/>
  <c r="H23" i="33"/>
  <c r="C23" i="33"/>
  <c r="AD22" i="33"/>
  <c r="J22" i="33" s="1"/>
  <c r="AB22" i="33"/>
  <c r="Y22" i="33"/>
  <c r="X22" i="33"/>
  <c r="P22" i="33"/>
  <c r="O22" i="33"/>
  <c r="Q22" i="33" s="1"/>
  <c r="M22" i="33"/>
  <c r="H22" i="33"/>
  <c r="C22" i="33"/>
  <c r="AB21" i="33"/>
  <c r="AD21" i="33" s="1"/>
  <c r="J21" i="33" s="1"/>
  <c r="Y21" i="33"/>
  <c r="X21" i="33"/>
  <c r="Q21" i="33"/>
  <c r="P21" i="33"/>
  <c r="O21" i="33"/>
  <c r="M21" i="33"/>
  <c r="H21" i="33"/>
  <c r="C21" i="33"/>
  <c r="AB20" i="33"/>
  <c r="AD20" i="33" s="1"/>
  <c r="J20" i="33" s="1"/>
  <c r="Y20" i="33"/>
  <c r="X20" i="33"/>
  <c r="Q20" i="33"/>
  <c r="P20" i="33"/>
  <c r="O20" i="33"/>
  <c r="M20" i="33"/>
  <c r="H20" i="33"/>
  <c r="C20" i="33"/>
  <c r="AB19" i="33"/>
  <c r="AD19" i="33" s="1"/>
  <c r="J19" i="33" s="1"/>
  <c r="Y19" i="33"/>
  <c r="X19" i="33"/>
  <c r="P19" i="33"/>
  <c r="O19" i="33"/>
  <c r="Q19" i="33" s="1"/>
  <c r="M19" i="33"/>
  <c r="H19" i="33"/>
  <c r="C19" i="33"/>
  <c r="AB18" i="33"/>
  <c r="AD18" i="33" s="1"/>
  <c r="J18" i="33" s="1"/>
  <c r="K18" i="33" s="1"/>
  <c r="Y18" i="33"/>
  <c r="X18" i="33"/>
  <c r="Q18" i="33"/>
  <c r="P18" i="33"/>
  <c r="O18" i="33"/>
  <c r="M18" i="33"/>
  <c r="H18" i="33"/>
  <c r="C18" i="33"/>
  <c r="AD17" i="33"/>
  <c r="J17" i="33" s="1"/>
  <c r="AB17" i="33"/>
  <c r="Y17" i="33"/>
  <c r="X17" i="33"/>
  <c r="P17" i="33"/>
  <c r="Q17" i="33" s="1"/>
  <c r="O17" i="33"/>
  <c r="M17" i="33"/>
  <c r="H17" i="33"/>
  <c r="C17" i="33"/>
  <c r="AD16" i="33"/>
  <c r="J16" i="33" s="1"/>
  <c r="I16" i="33" s="1"/>
  <c r="AB16" i="33"/>
  <c r="Y16" i="33"/>
  <c r="X16" i="33"/>
  <c r="P16" i="33"/>
  <c r="O16" i="33"/>
  <c r="Q16" i="33" s="1"/>
  <c r="M16" i="33"/>
  <c r="K16" i="33"/>
  <c r="H16" i="33"/>
  <c r="C16" i="33"/>
  <c r="AB15" i="33"/>
  <c r="AD15" i="33" s="1"/>
  <c r="J15" i="33" s="1"/>
  <c r="Y15" i="33"/>
  <c r="X15" i="33"/>
  <c r="P15" i="33"/>
  <c r="O15" i="33"/>
  <c r="Q15" i="33" s="1"/>
  <c r="M15" i="33"/>
  <c r="H15" i="33"/>
  <c r="C15" i="33"/>
  <c r="AD14" i="33"/>
  <c r="J14" i="33" s="1"/>
  <c r="AB14" i="33"/>
  <c r="Y14" i="33"/>
  <c r="X14" i="33"/>
  <c r="P14" i="33"/>
  <c r="O14" i="33"/>
  <c r="Q14" i="33" s="1"/>
  <c r="M14" i="33"/>
  <c r="H14" i="33"/>
  <c r="C14" i="33"/>
  <c r="AB13" i="33"/>
  <c r="AD13" i="33" s="1"/>
  <c r="J13" i="33" s="1"/>
  <c r="Y13" i="33"/>
  <c r="X13" i="33"/>
  <c r="Q13" i="33"/>
  <c r="P13" i="33"/>
  <c r="O13" i="33"/>
  <c r="M13" i="33"/>
  <c r="H13" i="33"/>
  <c r="C13" i="33"/>
  <c r="AB12" i="33"/>
  <c r="AD12" i="33" s="1"/>
  <c r="J12" i="33" s="1"/>
  <c r="Y12" i="33"/>
  <c r="X12" i="33"/>
  <c r="Q12" i="33"/>
  <c r="P12" i="33"/>
  <c r="O12" i="33"/>
  <c r="M12" i="33"/>
  <c r="H12" i="33"/>
  <c r="C12" i="33"/>
  <c r="AB11" i="33"/>
  <c r="AD11" i="33" s="1"/>
  <c r="J11" i="33" s="1"/>
  <c r="Y11" i="33"/>
  <c r="X11" i="33"/>
  <c r="P11" i="33"/>
  <c r="O11" i="33"/>
  <c r="Q11" i="33" s="1"/>
  <c r="M11" i="33"/>
  <c r="H11" i="33"/>
  <c r="C11" i="33"/>
  <c r="AB10" i="33"/>
  <c r="AD10" i="33" s="1"/>
  <c r="J10" i="33" s="1"/>
  <c r="K10" i="33" s="1"/>
  <c r="Y10" i="33"/>
  <c r="X10" i="33"/>
  <c r="Q10" i="33"/>
  <c r="P10" i="33"/>
  <c r="O10" i="33"/>
  <c r="M10" i="33"/>
  <c r="I10" i="33"/>
  <c r="H10" i="33"/>
  <c r="C10" i="33"/>
  <c r="AD9" i="33"/>
  <c r="J9" i="33" s="1"/>
  <c r="AB9" i="33"/>
  <c r="Y9" i="33"/>
  <c r="X9" i="33"/>
  <c r="P9" i="33"/>
  <c r="Q9" i="33" s="1"/>
  <c r="O9" i="33"/>
  <c r="M9" i="33"/>
  <c r="H9" i="33"/>
  <c r="C9" i="33"/>
  <c r="AD8" i="33"/>
  <c r="J8" i="33" s="1"/>
  <c r="I8" i="33" s="1"/>
  <c r="AB8" i="33"/>
  <c r="Y8" i="33"/>
  <c r="X8" i="33"/>
  <c r="P8" i="33"/>
  <c r="O8" i="33"/>
  <c r="Q8" i="33" s="1"/>
  <c r="M8" i="33"/>
  <c r="K8" i="33"/>
  <c r="H8" i="33"/>
  <c r="C8" i="33"/>
  <c r="AB7" i="33"/>
  <c r="AD7" i="33" s="1"/>
  <c r="J7" i="33" s="1"/>
  <c r="Y7" i="33"/>
  <c r="X7" i="33"/>
  <c r="P7" i="33"/>
  <c r="O7" i="33"/>
  <c r="Q7" i="33" s="1"/>
  <c r="M7" i="33"/>
  <c r="H7" i="33"/>
  <c r="C7" i="33"/>
  <c r="AD6" i="33"/>
  <c r="J6" i="33" s="1"/>
  <c r="AB6" i="33"/>
  <c r="Y6" i="33"/>
  <c r="X6" i="33"/>
  <c r="P6" i="33"/>
  <c r="O6" i="33"/>
  <c r="Q6" i="33" s="1"/>
  <c r="M6" i="33"/>
  <c r="H6" i="33"/>
  <c r="C6" i="33"/>
  <c r="AB5" i="33"/>
  <c r="AD5" i="33" s="1"/>
  <c r="Y5" i="33"/>
  <c r="X5" i="33"/>
  <c r="Q5" i="33"/>
  <c r="P5" i="33"/>
  <c r="O5" i="33"/>
  <c r="M5" i="33"/>
  <c r="J5" i="33"/>
  <c r="H5" i="33"/>
  <c r="C5" i="33"/>
  <c r="AB4" i="33"/>
  <c r="AD4" i="33" s="1"/>
  <c r="Y4" i="33"/>
  <c r="X4" i="33"/>
  <c r="Q4" i="33"/>
  <c r="P4" i="33"/>
  <c r="O4" i="33"/>
  <c r="M4" i="33"/>
  <c r="H4" i="33"/>
  <c r="C4" i="33"/>
  <c r="AG3" i="33"/>
  <c r="AF3" i="33"/>
  <c r="W3" i="33"/>
  <c r="V3" i="33"/>
  <c r="U3" i="33"/>
  <c r="T3" i="33"/>
  <c r="O3" i="33"/>
  <c r="G3" i="33"/>
  <c r="H3" i="33" s="1"/>
  <c r="F3" i="33"/>
  <c r="D3" i="33"/>
  <c r="C3" i="33"/>
  <c r="A2" i="33"/>
  <c r="A1" i="33"/>
  <c r="AB32" i="32"/>
  <c r="AD32" i="32" s="1"/>
  <c r="J32" i="32" s="1"/>
  <c r="I32" i="32" s="1"/>
  <c r="Y32" i="32"/>
  <c r="X32" i="32"/>
  <c r="V32" i="32"/>
  <c r="U32" i="32"/>
  <c r="T32" i="32"/>
  <c r="P32" i="32"/>
  <c r="O32" i="32"/>
  <c r="Q32" i="32" s="1"/>
  <c r="M32" i="32"/>
  <c r="H32" i="32"/>
  <c r="C32" i="32"/>
  <c r="AB31" i="32"/>
  <c r="AD31" i="32" s="1"/>
  <c r="J31" i="32" s="1"/>
  <c r="Y31" i="32"/>
  <c r="X31" i="32"/>
  <c r="P31" i="32"/>
  <c r="O31" i="32"/>
  <c r="Q31" i="32" s="1"/>
  <c r="M31" i="32"/>
  <c r="H31" i="32"/>
  <c r="C31" i="32"/>
  <c r="AD30" i="32"/>
  <c r="J30" i="32" s="1"/>
  <c r="AB30" i="32"/>
  <c r="Y30" i="32"/>
  <c r="X30" i="32"/>
  <c r="P30" i="32"/>
  <c r="O30" i="32"/>
  <c r="Q30" i="32" s="1"/>
  <c r="M30" i="32"/>
  <c r="H30" i="32"/>
  <c r="C30" i="32"/>
  <c r="AB29" i="32"/>
  <c r="AD29" i="32" s="1"/>
  <c r="J29" i="32" s="1"/>
  <c r="Y29" i="32"/>
  <c r="X29" i="32"/>
  <c r="Q29" i="32"/>
  <c r="P29" i="32"/>
  <c r="O29" i="32"/>
  <c r="M29" i="32"/>
  <c r="H29" i="32"/>
  <c r="C29" i="32"/>
  <c r="AB28" i="32"/>
  <c r="AD28" i="32" s="1"/>
  <c r="J28" i="32" s="1"/>
  <c r="Y28" i="32"/>
  <c r="X28" i="32"/>
  <c r="Q28" i="32"/>
  <c r="P28" i="32"/>
  <c r="O28" i="32"/>
  <c r="M28" i="32"/>
  <c r="H28" i="32"/>
  <c r="C28" i="32"/>
  <c r="AB27" i="32"/>
  <c r="AD27" i="32" s="1"/>
  <c r="J27" i="32" s="1"/>
  <c r="Y27" i="32"/>
  <c r="X27" i="32"/>
  <c r="P27" i="32"/>
  <c r="O27" i="32"/>
  <c r="Q27" i="32" s="1"/>
  <c r="M27" i="32"/>
  <c r="H27" i="32"/>
  <c r="C27" i="32"/>
  <c r="AB26" i="32"/>
  <c r="AD26" i="32" s="1"/>
  <c r="J26" i="32" s="1"/>
  <c r="K26" i="32" s="1"/>
  <c r="Y26" i="32"/>
  <c r="X26" i="32"/>
  <c r="Q26" i="32"/>
  <c r="P26" i="32"/>
  <c r="O26" i="32"/>
  <c r="M26" i="32"/>
  <c r="I26" i="32"/>
  <c r="H26" i="32"/>
  <c r="C26" i="32"/>
  <c r="AD25" i="32"/>
  <c r="J25" i="32" s="1"/>
  <c r="AB25" i="32"/>
  <c r="Y25" i="32"/>
  <c r="X25" i="32"/>
  <c r="P25" i="32"/>
  <c r="Q25" i="32" s="1"/>
  <c r="O25" i="32"/>
  <c r="M25" i="32"/>
  <c r="H25" i="32"/>
  <c r="C25" i="32"/>
  <c r="AD24" i="32"/>
  <c r="J24" i="32" s="1"/>
  <c r="AB24" i="32"/>
  <c r="Y24" i="32"/>
  <c r="X24" i="32"/>
  <c r="V24" i="32"/>
  <c r="U24" i="32"/>
  <c r="T24" i="32"/>
  <c r="P24" i="32"/>
  <c r="Q24" i="32" s="1"/>
  <c r="O24" i="32"/>
  <c r="M24" i="32"/>
  <c r="H24" i="32"/>
  <c r="C24" i="32"/>
  <c r="AD23" i="32"/>
  <c r="J23" i="32" s="1"/>
  <c r="I23" i="32" s="1"/>
  <c r="AB23" i="32"/>
  <c r="Y23" i="32"/>
  <c r="X23" i="32"/>
  <c r="P23" i="32"/>
  <c r="O23" i="32"/>
  <c r="Q23" i="32" s="1"/>
  <c r="M23" i="32"/>
  <c r="K23" i="32"/>
  <c r="H23" i="32"/>
  <c r="C23" i="32"/>
  <c r="AB22" i="32"/>
  <c r="AD22" i="32" s="1"/>
  <c r="J22" i="32" s="1"/>
  <c r="Y22" i="32"/>
  <c r="X22" i="32"/>
  <c r="P22" i="32"/>
  <c r="O22" i="32"/>
  <c r="Q22" i="32" s="1"/>
  <c r="M22" i="32"/>
  <c r="H22" i="32"/>
  <c r="C22" i="32"/>
  <c r="AD21" i="32"/>
  <c r="J21" i="32" s="1"/>
  <c r="AB21" i="32"/>
  <c r="Y21" i="32"/>
  <c r="X21" i="32"/>
  <c r="P21" i="32"/>
  <c r="O21" i="32"/>
  <c r="Q21" i="32" s="1"/>
  <c r="M21" i="32"/>
  <c r="H21" i="32"/>
  <c r="C21" i="32"/>
  <c r="AB20" i="32"/>
  <c r="AD20" i="32" s="1"/>
  <c r="J20" i="32" s="1"/>
  <c r="Y20" i="32"/>
  <c r="X20" i="32"/>
  <c r="Q20" i="32"/>
  <c r="P20" i="32"/>
  <c r="O20" i="32"/>
  <c r="M20" i="32"/>
  <c r="H20" i="32"/>
  <c r="C20" i="32"/>
  <c r="AB19" i="32"/>
  <c r="AD19" i="32" s="1"/>
  <c r="J19" i="32" s="1"/>
  <c r="Y19" i="32"/>
  <c r="X19" i="32"/>
  <c r="Q19" i="32"/>
  <c r="P19" i="32"/>
  <c r="O19" i="32"/>
  <c r="M19" i="32"/>
  <c r="H19" i="32"/>
  <c r="C19" i="32"/>
  <c r="AB18" i="32"/>
  <c r="AD18" i="32" s="1"/>
  <c r="J18" i="32" s="1"/>
  <c r="Y18" i="32"/>
  <c r="X18" i="32"/>
  <c r="P18" i="32"/>
  <c r="O18" i="32"/>
  <c r="Q18" i="32" s="1"/>
  <c r="M18" i="32"/>
  <c r="H18" i="32"/>
  <c r="C18" i="32"/>
  <c r="AB17" i="32"/>
  <c r="AD17" i="32" s="1"/>
  <c r="J17" i="32" s="1"/>
  <c r="K17" i="32" s="1"/>
  <c r="Y17" i="32"/>
  <c r="X17" i="32"/>
  <c r="Q17" i="32"/>
  <c r="P17" i="32"/>
  <c r="O17" i="32"/>
  <c r="M17" i="32"/>
  <c r="H17" i="32"/>
  <c r="C17" i="32"/>
  <c r="AD16" i="32"/>
  <c r="J16" i="32" s="1"/>
  <c r="AB16" i="32"/>
  <c r="Y16" i="32"/>
  <c r="X16" i="32"/>
  <c r="P16" i="32"/>
  <c r="Q16" i="32" s="1"/>
  <c r="O16" i="32"/>
  <c r="M16" i="32"/>
  <c r="H16" i="32"/>
  <c r="C16" i="32"/>
  <c r="AD15" i="32"/>
  <c r="J15" i="32" s="1"/>
  <c r="I15" i="32" s="1"/>
  <c r="AB15" i="32"/>
  <c r="Y15" i="32"/>
  <c r="X15" i="32"/>
  <c r="P15" i="32"/>
  <c r="O15" i="32"/>
  <c r="Q15" i="32" s="1"/>
  <c r="M15" i="32"/>
  <c r="K15" i="32"/>
  <c r="H15" i="32"/>
  <c r="C15" i="32"/>
  <c r="AB14" i="32"/>
  <c r="AD14" i="32" s="1"/>
  <c r="J14" i="32" s="1"/>
  <c r="Y14" i="32"/>
  <c r="X14" i="32"/>
  <c r="P14" i="32"/>
  <c r="O14" i="32"/>
  <c r="Q14" i="32" s="1"/>
  <c r="M14" i="32"/>
  <c r="H14" i="32"/>
  <c r="C14" i="32"/>
  <c r="AD13" i="32"/>
  <c r="J13" i="32" s="1"/>
  <c r="AB13" i="32"/>
  <c r="Y13" i="32"/>
  <c r="X13" i="32"/>
  <c r="P13" i="32"/>
  <c r="O13" i="32"/>
  <c r="Q13" i="32" s="1"/>
  <c r="M13" i="32"/>
  <c r="H13" i="32"/>
  <c r="C13" i="32"/>
  <c r="AB12" i="32"/>
  <c r="AD12" i="32" s="1"/>
  <c r="Y12" i="32"/>
  <c r="X12" i="32"/>
  <c r="Q12" i="32"/>
  <c r="P12" i="32"/>
  <c r="O12" i="32"/>
  <c r="M12" i="32"/>
  <c r="J12" i="32"/>
  <c r="H12" i="32"/>
  <c r="C12" i="32"/>
  <c r="AB11" i="32"/>
  <c r="AD11" i="32" s="1"/>
  <c r="J11" i="32" s="1"/>
  <c r="Y11" i="32"/>
  <c r="X11" i="32"/>
  <c r="Q11" i="32"/>
  <c r="P11" i="32"/>
  <c r="O11" i="32"/>
  <c r="M11" i="32"/>
  <c r="H11" i="32"/>
  <c r="C11" i="32"/>
  <c r="AB10" i="32"/>
  <c r="AD10" i="32" s="1"/>
  <c r="J10" i="32" s="1"/>
  <c r="Y10" i="32"/>
  <c r="X10" i="32"/>
  <c r="P10" i="32"/>
  <c r="O10" i="32"/>
  <c r="Q10" i="32" s="1"/>
  <c r="M10" i="32"/>
  <c r="H10" i="32"/>
  <c r="C10" i="32"/>
  <c r="AB9" i="32"/>
  <c r="AD9" i="32" s="1"/>
  <c r="J9" i="32" s="1"/>
  <c r="Y9" i="32"/>
  <c r="X9" i="32"/>
  <c r="Q9" i="32"/>
  <c r="P9" i="32"/>
  <c r="O9" i="32"/>
  <c r="M9" i="32"/>
  <c r="H9" i="32"/>
  <c r="C9" i="32"/>
  <c r="AD8" i="32"/>
  <c r="J8" i="32" s="1"/>
  <c r="AB8" i="32"/>
  <c r="Y8" i="32"/>
  <c r="X8" i="32"/>
  <c r="P8" i="32"/>
  <c r="Q8" i="32" s="1"/>
  <c r="O8" i="32"/>
  <c r="M8" i="32"/>
  <c r="H8" i="32"/>
  <c r="C8" i="32"/>
  <c r="AD7" i="32"/>
  <c r="J7" i="32" s="1"/>
  <c r="I7" i="32" s="1"/>
  <c r="AB7" i="32"/>
  <c r="Y7" i="32"/>
  <c r="X7" i="32"/>
  <c r="P7" i="32"/>
  <c r="O7" i="32"/>
  <c r="Q7" i="32" s="1"/>
  <c r="M7" i="32"/>
  <c r="H7" i="32"/>
  <c r="C7" i="32"/>
  <c r="AB6" i="32"/>
  <c r="AD6" i="32" s="1"/>
  <c r="J6" i="32" s="1"/>
  <c r="Y6" i="32"/>
  <c r="X6" i="32"/>
  <c r="P6" i="32"/>
  <c r="O6" i="32"/>
  <c r="Q6" i="32" s="1"/>
  <c r="M6" i="32"/>
  <c r="H6" i="32"/>
  <c r="C6" i="32"/>
  <c r="AD5" i="32"/>
  <c r="J5" i="32" s="1"/>
  <c r="AB5" i="32"/>
  <c r="Y5" i="32"/>
  <c r="X5" i="32"/>
  <c r="P5" i="32"/>
  <c r="O5" i="32"/>
  <c r="Q5" i="32" s="1"/>
  <c r="M5" i="32"/>
  <c r="H5" i="32"/>
  <c r="C5" i="32"/>
  <c r="AB4" i="32"/>
  <c r="AD4" i="32" s="1"/>
  <c r="Y4" i="32"/>
  <c r="X4" i="32"/>
  <c r="Q4" i="32"/>
  <c r="P4" i="32"/>
  <c r="O4" i="32"/>
  <c r="M4" i="32"/>
  <c r="J4" i="32"/>
  <c r="H4" i="32"/>
  <c r="C4" i="32"/>
  <c r="AG3" i="32"/>
  <c r="AF3" i="32"/>
  <c r="W3" i="32"/>
  <c r="X3" i="32" s="1"/>
  <c r="V3" i="32"/>
  <c r="U3" i="32"/>
  <c r="T3" i="32"/>
  <c r="O3" i="32"/>
  <c r="H3" i="32"/>
  <c r="G3" i="32"/>
  <c r="F3" i="32"/>
  <c r="D3" i="32"/>
  <c r="C3" i="32"/>
  <c r="A2" i="32"/>
  <c r="A1" i="32"/>
  <c r="AB32" i="31"/>
  <c r="AD32" i="31" s="1"/>
  <c r="J32" i="31" s="1"/>
  <c r="Y32" i="31"/>
  <c r="X32" i="31"/>
  <c r="V32" i="31"/>
  <c r="U32" i="31"/>
  <c r="T32" i="31"/>
  <c r="P32" i="31"/>
  <c r="Q32" i="31" s="1"/>
  <c r="O32" i="31"/>
  <c r="M32" i="31"/>
  <c r="H32" i="31"/>
  <c r="C32" i="31"/>
  <c r="AD31" i="31"/>
  <c r="J31" i="31" s="1"/>
  <c r="I31" i="31" s="1"/>
  <c r="AB31" i="31"/>
  <c r="Y31" i="31"/>
  <c r="X31" i="31"/>
  <c r="P31" i="31"/>
  <c r="O31" i="31"/>
  <c r="Q31" i="31" s="1"/>
  <c r="M31" i="31"/>
  <c r="H31" i="31"/>
  <c r="C31" i="31"/>
  <c r="AB30" i="31"/>
  <c r="AD30" i="31" s="1"/>
  <c r="J30" i="31" s="1"/>
  <c r="Y30" i="31"/>
  <c r="X30" i="31"/>
  <c r="P30" i="31"/>
  <c r="O30" i="31"/>
  <c r="Q30" i="31" s="1"/>
  <c r="M30" i="31"/>
  <c r="H30" i="31"/>
  <c r="C30" i="31"/>
  <c r="AD29" i="31"/>
  <c r="J29" i="31" s="1"/>
  <c r="AB29" i="31"/>
  <c r="Y29" i="31"/>
  <c r="X29" i="31"/>
  <c r="P29" i="31"/>
  <c r="O29" i="31"/>
  <c r="Q29" i="31" s="1"/>
  <c r="M29" i="31"/>
  <c r="H29" i="31"/>
  <c r="C29" i="31"/>
  <c r="AB28" i="31"/>
  <c r="AD28" i="31" s="1"/>
  <c r="Y28" i="31"/>
  <c r="X28" i="31"/>
  <c r="Q28" i="31"/>
  <c r="P28" i="31"/>
  <c r="O28" i="31"/>
  <c r="M28" i="31"/>
  <c r="J28" i="31"/>
  <c r="H28" i="31"/>
  <c r="C28" i="31"/>
  <c r="AD27" i="31"/>
  <c r="J27" i="31" s="1"/>
  <c r="AB27" i="31"/>
  <c r="Y27" i="31"/>
  <c r="X27" i="31"/>
  <c r="Q27" i="31"/>
  <c r="P27" i="31"/>
  <c r="O27" i="31"/>
  <c r="M27" i="31"/>
  <c r="H27" i="31"/>
  <c r="C27" i="31"/>
  <c r="AB26" i="31"/>
  <c r="AD26" i="31" s="1"/>
  <c r="J26" i="31" s="1"/>
  <c r="Y26" i="31"/>
  <c r="X26" i="31"/>
  <c r="P26" i="31"/>
  <c r="O26" i="31"/>
  <c r="Q26" i="31" s="1"/>
  <c r="M26" i="31"/>
  <c r="H26" i="31"/>
  <c r="C26" i="31"/>
  <c r="AD25" i="31"/>
  <c r="J25" i="31" s="1"/>
  <c r="K25" i="31" s="1"/>
  <c r="AB25" i="31"/>
  <c r="Y25" i="31"/>
  <c r="X25" i="31"/>
  <c r="Q25" i="31"/>
  <c r="P25" i="31"/>
  <c r="O25" i="31"/>
  <c r="M25" i="31"/>
  <c r="I25" i="31"/>
  <c r="H25" i="31"/>
  <c r="C25" i="31"/>
  <c r="AD24" i="31"/>
  <c r="AB24" i="31"/>
  <c r="Y24" i="31"/>
  <c r="X24" i="31"/>
  <c r="V24" i="31"/>
  <c r="U24" i="31"/>
  <c r="T24" i="31"/>
  <c r="Q24" i="31"/>
  <c r="P24" i="31"/>
  <c r="O24" i="31"/>
  <c r="M24" i="31"/>
  <c r="K24" i="31"/>
  <c r="J24" i="31"/>
  <c r="I24" i="31"/>
  <c r="H24" i="31"/>
  <c r="C24" i="31"/>
  <c r="AD23" i="31"/>
  <c r="J23" i="31" s="1"/>
  <c r="AB23" i="31"/>
  <c r="Y23" i="31"/>
  <c r="X23" i="31"/>
  <c r="P23" i="31"/>
  <c r="Q23" i="31" s="1"/>
  <c r="O23" i="31"/>
  <c r="M23" i="31"/>
  <c r="H23" i="31"/>
  <c r="C23" i="31"/>
  <c r="AD22" i="31"/>
  <c r="J22" i="31" s="1"/>
  <c r="I22" i="31" s="1"/>
  <c r="AB22" i="31"/>
  <c r="Y22" i="31"/>
  <c r="X22" i="31"/>
  <c r="P22" i="31"/>
  <c r="O22" i="31"/>
  <c r="Q22" i="31" s="1"/>
  <c r="M22" i="31"/>
  <c r="K22" i="31"/>
  <c r="H22" i="31"/>
  <c r="C22" i="31"/>
  <c r="AB21" i="31"/>
  <c r="AD21" i="31" s="1"/>
  <c r="J21" i="31" s="1"/>
  <c r="Y21" i="31"/>
  <c r="X21" i="31"/>
  <c r="P21" i="31"/>
  <c r="O21" i="31"/>
  <c r="Q21" i="31" s="1"/>
  <c r="M21" i="31"/>
  <c r="H21" i="31"/>
  <c r="C21" i="31"/>
  <c r="AD20" i="31"/>
  <c r="J20" i="31" s="1"/>
  <c r="AB20" i="31"/>
  <c r="Y20" i="31"/>
  <c r="X20" i="31"/>
  <c r="P20" i="31"/>
  <c r="O20" i="31"/>
  <c r="Q20" i="31" s="1"/>
  <c r="M20" i="31"/>
  <c r="H20" i="31"/>
  <c r="C20" i="31"/>
  <c r="AB19" i="31"/>
  <c r="AD19" i="31" s="1"/>
  <c r="J19" i="31" s="1"/>
  <c r="Y19" i="31"/>
  <c r="X19" i="31"/>
  <c r="Q19" i="31"/>
  <c r="P19" i="31"/>
  <c r="O19" i="31"/>
  <c r="M19" i="31"/>
  <c r="H19" i="31"/>
  <c r="C19" i="31"/>
  <c r="AD18" i="31"/>
  <c r="J18" i="31" s="1"/>
  <c r="AB18" i="31"/>
  <c r="Y18" i="31"/>
  <c r="X18" i="31"/>
  <c r="Q18" i="31"/>
  <c r="P18" i="31"/>
  <c r="O18" i="31"/>
  <c r="M18" i="31"/>
  <c r="H18" i="31"/>
  <c r="C18" i="31"/>
  <c r="AB17" i="31"/>
  <c r="AD17" i="31" s="1"/>
  <c r="J17" i="31" s="1"/>
  <c r="Y17" i="31"/>
  <c r="X17" i="31"/>
  <c r="P17" i="31"/>
  <c r="O17" i="31"/>
  <c r="Q17" i="31" s="1"/>
  <c r="M17" i="31"/>
  <c r="H17" i="31"/>
  <c r="C17" i="31"/>
  <c r="AD16" i="31"/>
  <c r="J16" i="31" s="1"/>
  <c r="K16" i="31" s="1"/>
  <c r="AB16" i="31"/>
  <c r="Y16" i="31"/>
  <c r="X16" i="31"/>
  <c r="Q16" i="31"/>
  <c r="P16" i="31"/>
  <c r="O16" i="31"/>
  <c r="M16" i="31"/>
  <c r="I16" i="31"/>
  <c r="H16" i="31"/>
  <c r="C16" i="31"/>
  <c r="AD15" i="31"/>
  <c r="J15" i="31" s="1"/>
  <c r="AB15" i="31"/>
  <c r="Y15" i="31"/>
  <c r="X15" i="31"/>
  <c r="P15" i="31"/>
  <c r="Q15" i="31" s="1"/>
  <c r="O15" i="31"/>
  <c r="M15" i="31"/>
  <c r="H15" i="31"/>
  <c r="C15" i="31"/>
  <c r="AD14" i="31"/>
  <c r="J14" i="31" s="1"/>
  <c r="AB14" i="31"/>
  <c r="Y14" i="31"/>
  <c r="X14" i="31"/>
  <c r="P14" i="31"/>
  <c r="O14" i="31"/>
  <c r="Q14" i="31" s="1"/>
  <c r="M14" i="31"/>
  <c r="H14" i="31"/>
  <c r="C14" i="31"/>
  <c r="AB13" i="31"/>
  <c r="AD13" i="31" s="1"/>
  <c r="J13" i="31" s="1"/>
  <c r="Y13" i="31"/>
  <c r="X13" i="31"/>
  <c r="P13" i="31"/>
  <c r="O13" i="31"/>
  <c r="Q13" i="31" s="1"/>
  <c r="M13" i="31"/>
  <c r="H13" i="31"/>
  <c r="C13" i="31"/>
  <c r="AD12" i="31"/>
  <c r="J12" i="31" s="1"/>
  <c r="AB12" i="31"/>
  <c r="Y12" i="31"/>
  <c r="X12" i="31"/>
  <c r="P12" i="31"/>
  <c r="O12" i="31"/>
  <c r="Q12" i="31" s="1"/>
  <c r="M12" i="31"/>
  <c r="H12" i="31"/>
  <c r="C12" i="31"/>
  <c r="AB11" i="31"/>
  <c r="AD11" i="31" s="1"/>
  <c r="Y11" i="31"/>
  <c r="X11" i="31"/>
  <c r="Q11" i="31"/>
  <c r="P11" i="31"/>
  <c r="O11" i="31"/>
  <c r="M11" i="31"/>
  <c r="J11" i="31"/>
  <c r="H11" i="31"/>
  <c r="C11" i="31"/>
  <c r="AB10" i="31"/>
  <c r="AD10" i="31" s="1"/>
  <c r="J10" i="31" s="1"/>
  <c r="Y10" i="31"/>
  <c r="X10" i="31"/>
  <c r="Q10" i="31"/>
  <c r="P10" i="31"/>
  <c r="O10" i="31"/>
  <c r="M10" i="31"/>
  <c r="H10" i="31"/>
  <c r="C10" i="31"/>
  <c r="AB9" i="31"/>
  <c r="AD9" i="31" s="1"/>
  <c r="J9" i="31" s="1"/>
  <c r="Y9" i="31"/>
  <c r="X9" i="31"/>
  <c r="P9" i="31"/>
  <c r="O9" i="31"/>
  <c r="Q9" i="31" s="1"/>
  <c r="M9" i="31"/>
  <c r="H9" i="31"/>
  <c r="C9" i="31"/>
  <c r="AD8" i="31"/>
  <c r="J8" i="31" s="1"/>
  <c r="K8" i="31" s="1"/>
  <c r="AB8" i="31"/>
  <c r="Y8" i="31"/>
  <c r="X8" i="31"/>
  <c r="Q8" i="31"/>
  <c r="P8" i="31"/>
  <c r="O8" i="31"/>
  <c r="M8" i="31"/>
  <c r="I8" i="31"/>
  <c r="H8" i="31"/>
  <c r="C8" i="31"/>
  <c r="AD7" i="31"/>
  <c r="J7" i="31" s="1"/>
  <c r="AB7" i="31"/>
  <c r="Y7" i="31"/>
  <c r="X7" i="31"/>
  <c r="P7" i="31"/>
  <c r="Q7" i="31" s="1"/>
  <c r="O7" i="31"/>
  <c r="M7" i="31"/>
  <c r="H7" i="31"/>
  <c r="C7" i="31"/>
  <c r="AD6" i="31"/>
  <c r="J6" i="31" s="1"/>
  <c r="I6" i="31" s="1"/>
  <c r="AB6" i="31"/>
  <c r="Y6" i="31"/>
  <c r="X6" i="31"/>
  <c r="P6" i="31"/>
  <c r="O6" i="31"/>
  <c r="Q6" i="31" s="1"/>
  <c r="M6" i="31"/>
  <c r="H6" i="31"/>
  <c r="C6" i="31"/>
  <c r="AB5" i="31"/>
  <c r="AD5" i="31" s="1"/>
  <c r="J5" i="31" s="1"/>
  <c r="Y5" i="31"/>
  <c r="X5" i="31"/>
  <c r="P5" i="31"/>
  <c r="O5" i="31"/>
  <c r="Q5" i="31" s="1"/>
  <c r="M5" i="31"/>
  <c r="H5" i="31"/>
  <c r="C5" i="31"/>
  <c r="AD4" i="31"/>
  <c r="AB4" i="31"/>
  <c r="Y4" i="31"/>
  <c r="X4" i="31"/>
  <c r="P4" i="31"/>
  <c r="O4" i="31"/>
  <c r="Q4" i="31" s="1"/>
  <c r="M4" i="31"/>
  <c r="H4" i="31"/>
  <c r="C4" i="31"/>
  <c r="AG3" i="31"/>
  <c r="AF3" i="31"/>
  <c r="W3" i="31"/>
  <c r="V3" i="31"/>
  <c r="U3" i="31"/>
  <c r="T3" i="31"/>
  <c r="O3" i="31"/>
  <c r="H3" i="31"/>
  <c r="G3" i="31"/>
  <c r="F3" i="31"/>
  <c r="D3" i="31"/>
  <c r="X3" i="31" s="1"/>
  <c r="C3" i="31"/>
  <c r="A2" i="31"/>
  <c r="A1" i="31"/>
  <c r="AD32" i="30"/>
  <c r="J32" i="30" s="1"/>
  <c r="AB32" i="30"/>
  <c r="Y32" i="30"/>
  <c r="X32" i="30"/>
  <c r="V32" i="30"/>
  <c r="U32" i="30"/>
  <c r="T32" i="30"/>
  <c r="Q32" i="30"/>
  <c r="P32" i="30"/>
  <c r="O32" i="30"/>
  <c r="M32" i="30"/>
  <c r="H32" i="30"/>
  <c r="C32" i="30"/>
  <c r="AB31" i="30"/>
  <c r="AD31" i="30" s="1"/>
  <c r="J31" i="30" s="1"/>
  <c r="Y31" i="30"/>
  <c r="X31" i="30"/>
  <c r="P31" i="30"/>
  <c r="Q31" i="30" s="1"/>
  <c r="O31" i="30"/>
  <c r="M31" i="30"/>
  <c r="H31" i="30"/>
  <c r="C31" i="30"/>
  <c r="AD30" i="30"/>
  <c r="J30" i="30" s="1"/>
  <c r="I30" i="30" s="1"/>
  <c r="AB30" i="30"/>
  <c r="Y30" i="30"/>
  <c r="X30" i="30"/>
  <c r="P30" i="30"/>
  <c r="O30" i="30"/>
  <c r="Q30" i="30" s="1"/>
  <c r="M30" i="30"/>
  <c r="K30" i="30"/>
  <c r="H30" i="30"/>
  <c r="C30" i="30"/>
  <c r="AB29" i="30"/>
  <c r="AD29" i="30" s="1"/>
  <c r="J29" i="30" s="1"/>
  <c r="Y29" i="30"/>
  <c r="X29" i="30"/>
  <c r="P29" i="30"/>
  <c r="O29" i="30"/>
  <c r="Q29" i="30" s="1"/>
  <c r="M29" i="30"/>
  <c r="H29" i="30"/>
  <c r="C29" i="30"/>
  <c r="AD28" i="30"/>
  <c r="J28" i="30" s="1"/>
  <c r="AB28" i="30"/>
  <c r="Y28" i="30"/>
  <c r="X28" i="30"/>
  <c r="P28" i="30"/>
  <c r="O28" i="30"/>
  <c r="Q28" i="30" s="1"/>
  <c r="M28" i="30"/>
  <c r="H28" i="30"/>
  <c r="C28" i="30"/>
  <c r="AB27" i="30"/>
  <c r="AD27" i="30" s="1"/>
  <c r="Y27" i="30"/>
  <c r="X27" i="30"/>
  <c r="Q27" i="30"/>
  <c r="P27" i="30"/>
  <c r="O27" i="30"/>
  <c r="M27" i="30"/>
  <c r="J27" i="30"/>
  <c r="H27" i="30"/>
  <c r="C27" i="30"/>
  <c r="AD26" i="30"/>
  <c r="J26" i="30" s="1"/>
  <c r="AB26" i="30"/>
  <c r="Y26" i="30"/>
  <c r="X26" i="30"/>
  <c r="Q26" i="30"/>
  <c r="P26" i="30"/>
  <c r="O26" i="30"/>
  <c r="M26" i="30"/>
  <c r="H26" i="30"/>
  <c r="C26" i="30"/>
  <c r="AB25" i="30"/>
  <c r="AD25" i="30" s="1"/>
  <c r="J25" i="30" s="1"/>
  <c r="Y25" i="30"/>
  <c r="X25" i="30"/>
  <c r="P25" i="30"/>
  <c r="O25" i="30"/>
  <c r="Q25" i="30" s="1"/>
  <c r="M25" i="30"/>
  <c r="H25" i="30"/>
  <c r="C25" i="30"/>
  <c r="AD24" i="30"/>
  <c r="J24" i="30" s="1"/>
  <c r="AB24" i="30"/>
  <c r="Y24" i="30"/>
  <c r="X24" i="30"/>
  <c r="V24" i="30"/>
  <c r="U24" i="30"/>
  <c r="T24" i="30"/>
  <c r="P24" i="30"/>
  <c r="O24" i="30"/>
  <c r="Q24" i="30" s="1"/>
  <c r="M24" i="30"/>
  <c r="H24" i="30"/>
  <c r="C24" i="30"/>
  <c r="AD23" i="30"/>
  <c r="J23" i="30" s="1"/>
  <c r="K23" i="30" s="1"/>
  <c r="AB23" i="30"/>
  <c r="Y23" i="30"/>
  <c r="X23" i="30"/>
  <c r="Q23" i="30"/>
  <c r="P23" i="30"/>
  <c r="O23" i="30"/>
  <c r="M23" i="30"/>
  <c r="I23" i="30"/>
  <c r="H23" i="30"/>
  <c r="C23" i="30"/>
  <c r="AD22" i="30"/>
  <c r="J22" i="30" s="1"/>
  <c r="AB22" i="30"/>
  <c r="Y22" i="30"/>
  <c r="X22" i="30"/>
  <c r="P22" i="30"/>
  <c r="Q22" i="30" s="1"/>
  <c r="O22" i="30"/>
  <c r="M22" i="30"/>
  <c r="H22" i="30"/>
  <c r="C22" i="30"/>
  <c r="AD21" i="30"/>
  <c r="J21" i="30" s="1"/>
  <c r="I21" i="30" s="1"/>
  <c r="AB21" i="30"/>
  <c r="Y21" i="30"/>
  <c r="X21" i="30"/>
  <c r="P21" i="30"/>
  <c r="O21" i="30"/>
  <c r="Q21" i="30" s="1"/>
  <c r="M21" i="30"/>
  <c r="H21" i="30"/>
  <c r="C21" i="30"/>
  <c r="AB20" i="30"/>
  <c r="AD20" i="30" s="1"/>
  <c r="J20" i="30" s="1"/>
  <c r="Y20" i="30"/>
  <c r="X20" i="30"/>
  <c r="P20" i="30"/>
  <c r="O20" i="30"/>
  <c r="Q20" i="30" s="1"/>
  <c r="M20" i="30"/>
  <c r="H20" i="30"/>
  <c r="C20" i="30"/>
  <c r="AD19" i="30"/>
  <c r="J19" i="30" s="1"/>
  <c r="AB19" i="30"/>
  <c r="Y19" i="30"/>
  <c r="X19" i="30"/>
  <c r="P19" i="30"/>
  <c r="O19" i="30"/>
  <c r="Q19" i="30" s="1"/>
  <c r="M19" i="30"/>
  <c r="H19" i="30"/>
  <c r="C19" i="30"/>
  <c r="AB18" i="30"/>
  <c r="AD18" i="30" s="1"/>
  <c r="Y18" i="30"/>
  <c r="X18" i="30"/>
  <c r="Q18" i="30"/>
  <c r="P18" i="30"/>
  <c r="O18" i="30"/>
  <c r="M18" i="30"/>
  <c r="J18" i="30"/>
  <c r="H18" i="30"/>
  <c r="C18" i="30"/>
  <c r="AD17" i="30"/>
  <c r="J17" i="30" s="1"/>
  <c r="AB17" i="30"/>
  <c r="Y17" i="30"/>
  <c r="X17" i="30"/>
  <c r="Q17" i="30"/>
  <c r="P17" i="30"/>
  <c r="O17" i="30"/>
  <c r="M17" i="30"/>
  <c r="H17" i="30"/>
  <c r="C17" i="30"/>
  <c r="AB16" i="30"/>
  <c r="AD16" i="30" s="1"/>
  <c r="J16" i="30" s="1"/>
  <c r="Y16" i="30"/>
  <c r="X16" i="30"/>
  <c r="P16" i="30"/>
  <c r="O16" i="30"/>
  <c r="Q16" i="30" s="1"/>
  <c r="M16" i="30"/>
  <c r="H16" i="30"/>
  <c r="C16" i="30"/>
  <c r="AD15" i="30"/>
  <c r="J15" i="30" s="1"/>
  <c r="K15" i="30" s="1"/>
  <c r="AB15" i="30"/>
  <c r="Y15" i="30"/>
  <c r="X15" i="30"/>
  <c r="Q15" i="30"/>
  <c r="P15" i="30"/>
  <c r="O15" i="30"/>
  <c r="M15" i="30"/>
  <c r="I15" i="30"/>
  <c r="H15" i="30"/>
  <c r="C15" i="30"/>
  <c r="AD14" i="30"/>
  <c r="J14" i="30" s="1"/>
  <c r="AB14" i="30"/>
  <c r="Y14" i="30"/>
  <c r="X14" i="30"/>
  <c r="P14" i="30"/>
  <c r="Q14" i="30" s="1"/>
  <c r="O14" i="30"/>
  <c r="M14" i="30"/>
  <c r="H14" i="30"/>
  <c r="C14" i="30"/>
  <c r="AD13" i="30"/>
  <c r="J13" i="30" s="1"/>
  <c r="I13" i="30" s="1"/>
  <c r="AB13" i="30"/>
  <c r="Y13" i="30"/>
  <c r="X13" i="30"/>
  <c r="P13" i="30"/>
  <c r="O13" i="30"/>
  <c r="Q13" i="30" s="1"/>
  <c r="M13" i="30"/>
  <c r="K13" i="30"/>
  <c r="H13" i="30"/>
  <c r="C13" i="30"/>
  <c r="AB12" i="30"/>
  <c r="AD12" i="30" s="1"/>
  <c r="Y12" i="30"/>
  <c r="X12" i="30"/>
  <c r="P12" i="30"/>
  <c r="O12" i="30"/>
  <c r="Q12" i="30" s="1"/>
  <c r="M12" i="30"/>
  <c r="J12" i="30"/>
  <c r="H12" i="30"/>
  <c r="C12" i="30"/>
  <c r="AD11" i="30"/>
  <c r="J11" i="30" s="1"/>
  <c r="AB11" i="30"/>
  <c r="Y11" i="30"/>
  <c r="X11" i="30"/>
  <c r="Q11" i="30"/>
  <c r="P11" i="30"/>
  <c r="O11" i="30"/>
  <c r="M11" i="30"/>
  <c r="H11" i="30"/>
  <c r="C11" i="30"/>
  <c r="AB10" i="30"/>
  <c r="AD10" i="30" s="1"/>
  <c r="J10" i="30" s="1"/>
  <c r="Y10" i="30"/>
  <c r="X10" i="30"/>
  <c r="Q10" i="30"/>
  <c r="P10" i="30"/>
  <c r="O10" i="30"/>
  <c r="M10" i="30"/>
  <c r="H10" i="30"/>
  <c r="C10" i="30"/>
  <c r="AD9" i="30"/>
  <c r="J9" i="30" s="1"/>
  <c r="K9" i="30" s="1"/>
  <c r="AB9" i="30"/>
  <c r="Y9" i="30"/>
  <c r="X9" i="30"/>
  <c r="Q9" i="30"/>
  <c r="P9" i="30"/>
  <c r="O9" i="30"/>
  <c r="M9" i="30"/>
  <c r="I9" i="30"/>
  <c r="H9" i="30"/>
  <c r="C9" i="30"/>
  <c r="AB8" i="30"/>
  <c r="AD8" i="30" s="1"/>
  <c r="J8" i="30" s="1"/>
  <c r="Y8" i="30"/>
  <c r="X8" i="30"/>
  <c r="P8" i="30"/>
  <c r="O8" i="30"/>
  <c r="M8" i="30"/>
  <c r="H8" i="30"/>
  <c r="C8" i="30"/>
  <c r="AD7" i="30"/>
  <c r="J7" i="30" s="1"/>
  <c r="AB7" i="30"/>
  <c r="Y7" i="30"/>
  <c r="X7" i="30"/>
  <c r="Q7" i="30"/>
  <c r="P7" i="30"/>
  <c r="O7" i="30"/>
  <c r="M7" i="30"/>
  <c r="K7" i="30"/>
  <c r="I7" i="30"/>
  <c r="H7" i="30"/>
  <c r="C7" i="30"/>
  <c r="AD6" i="30"/>
  <c r="J6" i="30" s="1"/>
  <c r="AB6" i="30"/>
  <c r="Y6" i="30"/>
  <c r="X6" i="30"/>
  <c r="P6" i="30"/>
  <c r="Q6" i="30" s="1"/>
  <c r="O6" i="30"/>
  <c r="M6" i="30"/>
  <c r="H6" i="30"/>
  <c r="C6" i="30"/>
  <c r="AD5" i="30"/>
  <c r="J5" i="30" s="1"/>
  <c r="AB5" i="30"/>
  <c r="Y5" i="30"/>
  <c r="X5" i="30"/>
  <c r="P5" i="30"/>
  <c r="O5" i="30"/>
  <c r="Q5" i="30" s="1"/>
  <c r="M5" i="30"/>
  <c r="H5" i="30"/>
  <c r="C5" i="30"/>
  <c r="AB4" i="30"/>
  <c r="AD4" i="30" s="1"/>
  <c r="Y4" i="30"/>
  <c r="X4" i="30"/>
  <c r="P4" i="30"/>
  <c r="O4" i="30"/>
  <c r="Q4" i="30" s="1"/>
  <c r="M4" i="30"/>
  <c r="J4" i="30"/>
  <c r="H4" i="30"/>
  <c r="C4" i="30"/>
  <c r="AG3" i="30"/>
  <c r="AF3" i="30"/>
  <c r="W3" i="30"/>
  <c r="X3" i="30" s="1"/>
  <c r="V3" i="30"/>
  <c r="U3" i="30"/>
  <c r="T3" i="30"/>
  <c r="O3" i="30"/>
  <c r="G3" i="30"/>
  <c r="F3" i="30"/>
  <c r="H3" i="30" s="1"/>
  <c r="D3" i="30"/>
  <c r="C3" i="30"/>
  <c r="A2" i="30"/>
  <c r="A1" i="30"/>
  <c r="AB32" i="29"/>
  <c r="AD32" i="29" s="1"/>
  <c r="J32" i="29" s="1"/>
  <c r="Y32" i="29"/>
  <c r="X32" i="29"/>
  <c r="V32" i="29"/>
  <c r="U32" i="29"/>
  <c r="T32" i="29"/>
  <c r="P32" i="29"/>
  <c r="O32" i="29"/>
  <c r="M32" i="29"/>
  <c r="H32" i="29"/>
  <c r="C32" i="29"/>
  <c r="AD31" i="29"/>
  <c r="J31" i="29" s="1"/>
  <c r="K31" i="29" s="1"/>
  <c r="AB31" i="29"/>
  <c r="Y31" i="29"/>
  <c r="X31" i="29"/>
  <c r="Q31" i="29"/>
  <c r="P31" i="29"/>
  <c r="O31" i="29"/>
  <c r="M31" i="29"/>
  <c r="I31" i="29"/>
  <c r="H31" i="29"/>
  <c r="C31" i="29"/>
  <c r="AD30" i="29"/>
  <c r="J30" i="29" s="1"/>
  <c r="AB30" i="29"/>
  <c r="Y30" i="29"/>
  <c r="X30" i="29"/>
  <c r="P30" i="29"/>
  <c r="Q30" i="29" s="1"/>
  <c r="O30" i="29"/>
  <c r="M30" i="29"/>
  <c r="H30" i="29"/>
  <c r="C30" i="29"/>
  <c r="AD29" i="29"/>
  <c r="J29" i="29" s="1"/>
  <c r="AB29" i="29"/>
  <c r="Y29" i="29"/>
  <c r="X29" i="29"/>
  <c r="P29" i="29"/>
  <c r="O29" i="29"/>
  <c r="Q29" i="29" s="1"/>
  <c r="M29" i="29"/>
  <c r="K29" i="29"/>
  <c r="I29" i="29"/>
  <c r="H29" i="29"/>
  <c r="C29" i="29"/>
  <c r="AB28" i="29"/>
  <c r="AD28" i="29" s="1"/>
  <c r="J28" i="29" s="1"/>
  <c r="Y28" i="29"/>
  <c r="X28" i="29"/>
  <c r="P28" i="29"/>
  <c r="O28" i="29"/>
  <c r="Q28" i="29" s="1"/>
  <c r="M28" i="29"/>
  <c r="H28" i="29"/>
  <c r="C28" i="29"/>
  <c r="AD27" i="29"/>
  <c r="J27" i="29" s="1"/>
  <c r="I27" i="29" s="1"/>
  <c r="AB27" i="29"/>
  <c r="Y27" i="29"/>
  <c r="X27" i="29"/>
  <c r="P27" i="29"/>
  <c r="O27" i="29"/>
  <c r="Q27" i="29" s="1"/>
  <c r="M27" i="29"/>
  <c r="K27" i="29"/>
  <c r="H27" i="29"/>
  <c r="C27" i="29"/>
  <c r="AB26" i="29"/>
  <c r="AD26" i="29" s="1"/>
  <c r="J26" i="29" s="1"/>
  <c r="Y26" i="29"/>
  <c r="X26" i="29"/>
  <c r="Q26" i="29"/>
  <c r="P26" i="29"/>
  <c r="O26" i="29"/>
  <c r="M26" i="29"/>
  <c r="H26" i="29"/>
  <c r="C26" i="29"/>
  <c r="AD25" i="29"/>
  <c r="J25" i="29" s="1"/>
  <c r="K25" i="29" s="1"/>
  <c r="AB25" i="29"/>
  <c r="Y25" i="29"/>
  <c r="X25" i="29"/>
  <c r="Q25" i="29"/>
  <c r="P25" i="29"/>
  <c r="O25" i="29"/>
  <c r="M25" i="29"/>
  <c r="I25" i="29"/>
  <c r="H25" i="29"/>
  <c r="C25" i="29"/>
  <c r="AB24" i="29"/>
  <c r="AD24" i="29" s="1"/>
  <c r="J24" i="29" s="1"/>
  <c r="Y24" i="29"/>
  <c r="X24" i="29"/>
  <c r="V24" i="29"/>
  <c r="U24" i="29"/>
  <c r="T24" i="29"/>
  <c r="P24" i="29"/>
  <c r="O24" i="29"/>
  <c r="Q24" i="29" s="1"/>
  <c r="M24" i="29"/>
  <c r="H24" i="29"/>
  <c r="C24" i="29"/>
  <c r="AB23" i="29"/>
  <c r="AD23" i="29" s="1"/>
  <c r="J23" i="29" s="1"/>
  <c r="K23" i="29" s="1"/>
  <c r="Y23" i="29"/>
  <c r="X23" i="29"/>
  <c r="P23" i="29"/>
  <c r="O23" i="29"/>
  <c r="M23" i="29"/>
  <c r="I23" i="29"/>
  <c r="H23" i="29"/>
  <c r="C23" i="29"/>
  <c r="AB22" i="29"/>
  <c r="AD22" i="29" s="1"/>
  <c r="Y22" i="29"/>
  <c r="X22" i="29"/>
  <c r="P22" i="29"/>
  <c r="O22" i="29"/>
  <c r="Q22" i="29" s="1"/>
  <c r="M22" i="29"/>
  <c r="J22" i="29"/>
  <c r="H22" i="29"/>
  <c r="C22" i="29"/>
  <c r="AD21" i="29"/>
  <c r="J21" i="29" s="1"/>
  <c r="I21" i="29" s="1"/>
  <c r="AB21" i="29"/>
  <c r="Y21" i="29"/>
  <c r="X21" i="29"/>
  <c r="Q21" i="29"/>
  <c r="P21" i="29"/>
  <c r="O21" i="29"/>
  <c r="M21" i="29"/>
  <c r="K21" i="29"/>
  <c r="H21" i="29"/>
  <c r="C21" i="29"/>
  <c r="AB20" i="29"/>
  <c r="AD20" i="29" s="1"/>
  <c r="J20" i="29" s="1"/>
  <c r="Y20" i="29"/>
  <c r="X20" i="29"/>
  <c r="Q20" i="29"/>
  <c r="P20" i="29"/>
  <c r="O20" i="29"/>
  <c r="M20" i="29"/>
  <c r="H20" i="29"/>
  <c r="C20" i="29"/>
  <c r="AD19" i="29"/>
  <c r="J19" i="29" s="1"/>
  <c r="AB19" i="29"/>
  <c r="Y19" i="29"/>
  <c r="X19" i="29"/>
  <c r="P19" i="29"/>
  <c r="O19" i="29"/>
  <c r="Q19" i="29" s="1"/>
  <c r="M19" i="29"/>
  <c r="H19" i="29"/>
  <c r="C19" i="29"/>
  <c r="AB18" i="29"/>
  <c r="AD18" i="29" s="1"/>
  <c r="Y18" i="29"/>
  <c r="X18" i="29"/>
  <c r="P18" i="29"/>
  <c r="O18" i="29"/>
  <c r="M18" i="29"/>
  <c r="J18" i="29"/>
  <c r="H18" i="29"/>
  <c r="C18" i="29"/>
  <c r="AD17" i="29"/>
  <c r="J17" i="29" s="1"/>
  <c r="I17" i="29" s="1"/>
  <c r="AB17" i="29"/>
  <c r="Y17" i="29"/>
  <c r="X17" i="29"/>
  <c r="Q17" i="29"/>
  <c r="P17" i="29"/>
  <c r="O17" i="29"/>
  <c r="M17" i="29"/>
  <c r="K17" i="29"/>
  <c r="H17" i="29"/>
  <c r="C17" i="29"/>
  <c r="AD16" i="29"/>
  <c r="J16" i="29" s="1"/>
  <c r="AB16" i="29"/>
  <c r="Y16" i="29"/>
  <c r="X16" i="29"/>
  <c r="P16" i="29"/>
  <c r="Q16" i="29" s="1"/>
  <c r="O16" i="29"/>
  <c r="M16" i="29"/>
  <c r="H16" i="29"/>
  <c r="C16" i="29"/>
  <c r="AD15" i="29"/>
  <c r="J15" i="29" s="1"/>
  <c r="K15" i="29" s="1"/>
  <c r="AB15" i="29"/>
  <c r="Y15" i="29"/>
  <c r="X15" i="29"/>
  <c r="P15" i="29"/>
  <c r="O15" i="29"/>
  <c r="Q15" i="29" s="1"/>
  <c r="M15" i="29"/>
  <c r="H15" i="29"/>
  <c r="C15" i="29"/>
  <c r="AB14" i="29"/>
  <c r="AD14" i="29" s="1"/>
  <c r="J14" i="29" s="1"/>
  <c r="Y14" i="29"/>
  <c r="X14" i="29"/>
  <c r="P14" i="29"/>
  <c r="O14" i="29"/>
  <c r="M14" i="29"/>
  <c r="H14" i="29"/>
  <c r="C14" i="29"/>
  <c r="AD13" i="29"/>
  <c r="J13" i="29" s="1"/>
  <c r="I13" i="29" s="1"/>
  <c r="AB13" i="29"/>
  <c r="Y13" i="29"/>
  <c r="X13" i="29"/>
  <c r="Q13" i="29"/>
  <c r="P13" i="29"/>
  <c r="O13" i="29"/>
  <c r="M13" i="29"/>
  <c r="K13" i="29"/>
  <c r="H13" i="29"/>
  <c r="C13" i="29"/>
  <c r="AB12" i="29"/>
  <c r="AD12" i="29" s="1"/>
  <c r="J12" i="29" s="1"/>
  <c r="Y12" i="29"/>
  <c r="X12" i="29"/>
  <c r="Q12" i="29"/>
  <c r="P12" i="29"/>
  <c r="O12" i="29"/>
  <c r="M12" i="29"/>
  <c r="H12" i="29"/>
  <c r="C12" i="29"/>
  <c r="AD11" i="29"/>
  <c r="J11" i="29" s="1"/>
  <c r="K11" i="29" s="1"/>
  <c r="AB11" i="29"/>
  <c r="Y11" i="29"/>
  <c r="X11" i="29"/>
  <c r="P11" i="29"/>
  <c r="O11" i="29"/>
  <c r="Q11" i="29" s="1"/>
  <c r="M11" i="29"/>
  <c r="I11" i="29"/>
  <c r="H11" i="29"/>
  <c r="C11" i="29"/>
  <c r="AB10" i="29"/>
  <c r="AD10" i="29" s="1"/>
  <c r="J10" i="29" s="1"/>
  <c r="Y10" i="29"/>
  <c r="X10" i="29"/>
  <c r="P10" i="29"/>
  <c r="O10" i="29"/>
  <c r="Q10" i="29" s="1"/>
  <c r="M10" i="29"/>
  <c r="H10" i="29"/>
  <c r="C10" i="29"/>
  <c r="AD9" i="29"/>
  <c r="J9" i="29" s="1"/>
  <c r="I9" i="29" s="1"/>
  <c r="AB9" i="29"/>
  <c r="Y9" i="29"/>
  <c r="X9" i="29"/>
  <c r="Q9" i="29"/>
  <c r="P9" i="29"/>
  <c r="O9" i="29"/>
  <c r="M9" i="29"/>
  <c r="K9" i="29"/>
  <c r="H9" i="29"/>
  <c r="C9" i="29"/>
  <c r="AD8" i="29"/>
  <c r="J8" i="29" s="1"/>
  <c r="AB8" i="29"/>
  <c r="Y8" i="29"/>
  <c r="X8" i="29"/>
  <c r="P8" i="29"/>
  <c r="Q8" i="29" s="1"/>
  <c r="O8" i="29"/>
  <c r="M8" i="29"/>
  <c r="H8" i="29"/>
  <c r="C8" i="29"/>
  <c r="AD7" i="29"/>
  <c r="J7" i="29" s="1"/>
  <c r="K7" i="29" s="1"/>
  <c r="AB7" i="29"/>
  <c r="Y7" i="29"/>
  <c r="X7" i="29"/>
  <c r="P7" i="29"/>
  <c r="O7" i="29"/>
  <c r="Q7" i="29" s="1"/>
  <c r="M7" i="29"/>
  <c r="I7" i="29"/>
  <c r="H7" i="29"/>
  <c r="C7" i="29"/>
  <c r="AB6" i="29"/>
  <c r="AD6" i="29" s="1"/>
  <c r="J6" i="29" s="1"/>
  <c r="Y6" i="29"/>
  <c r="X6" i="29"/>
  <c r="P6" i="29"/>
  <c r="O6" i="29"/>
  <c r="Q6" i="29" s="1"/>
  <c r="M6" i="29"/>
  <c r="H6" i="29"/>
  <c r="C6" i="29"/>
  <c r="AD5" i="29"/>
  <c r="J5" i="29" s="1"/>
  <c r="AB5" i="29"/>
  <c r="Y5" i="29"/>
  <c r="X5" i="29"/>
  <c r="Q5" i="29"/>
  <c r="P5" i="29"/>
  <c r="O5" i="29"/>
  <c r="M5" i="29"/>
  <c r="K5" i="29"/>
  <c r="H5" i="29"/>
  <c r="C5" i="29"/>
  <c r="AB4" i="29"/>
  <c r="AD4" i="29" s="1"/>
  <c r="J4" i="29" s="1"/>
  <c r="Y4" i="29"/>
  <c r="X4" i="29"/>
  <c r="Q4" i="29"/>
  <c r="P4" i="29"/>
  <c r="O4" i="29"/>
  <c r="M4" i="29"/>
  <c r="H4" i="29"/>
  <c r="C4" i="29"/>
  <c r="AG3" i="29"/>
  <c r="AF3" i="29"/>
  <c r="W3" i="29"/>
  <c r="X3" i="29" s="1"/>
  <c r="V3" i="29"/>
  <c r="U3" i="29"/>
  <c r="T3" i="29"/>
  <c r="O3" i="29"/>
  <c r="G3" i="29"/>
  <c r="F3" i="29"/>
  <c r="H3" i="29" s="1"/>
  <c r="D3" i="29"/>
  <c r="C3" i="29"/>
  <c r="A2" i="29"/>
  <c r="A1" i="29"/>
  <c r="AB32" i="28"/>
  <c r="AD32" i="28" s="1"/>
  <c r="J32" i="28" s="1"/>
  <c r="Y32" i="28"/>
  <c r="X32" i="28"/>
  <c r="V32" i="28"/>
  <c r="U32" i="28"/>
  <c r="T32" i="28"/>
  <c r="P32" i="28"/>
  <c r="O32" i="28"/>
  <c r="Q32" i="28" s="1"/>
  <c r="M32" i="28"/>
  <c r="H32" i="28"/>
  <c r="C32" i="28"/>
  <c r="AD31" i="28"/>
  <c r="J31" i="28" s="1"/>
  <c r="K31" i="28" s="1"/>
  <c r="AB31" i="28"/>
  <c r="Y31" i="28"/>
  <c r="X31" i="28"/>
  <c r="P31" i="28"/>
  <c r="O31" i="28"/>
  <c r="Q31" i="28" s="1"/>
  <c r="M31" i="28"/>
  <c r="H31" i="28"/>
  <c r="C31" i="28"/>
  <c r="AB30" i="28"/>
  <c r="AD30" i="28" s="1"/>
  <c r="J30" i="28" s="1"/>
  <c r="Y30" i="28"/>
  <c r="X30" i="28"/>
  <c r="P30" i="28"/>
  <c r="O30" i="28"/>
  <c r="M30" i="28"/>
  <c r="H30" i="28"/>
  <c r="C30" i="28"/>
  <c r="AD29" i="28"/>
  <c r="J29" i="28" s="1"/>
  <c r="I29" i="28" s="1"/>
  <c r="AB29" i="28"/>
  <c r="Y29" i="28"/>
  <c r="X29" i="28"/>
  <c r="Q29" i="28"/>
  <c r="P29" i="28"/>
  <c r="O29" i="28"/>
  <c r="M29" i="28"/>
  <c r="K29" i="28"/>
  <c r="H29" i="28"/>
  <c r="C29" i="28"/>
  <c r="AB28" i="28"/>
  <c r="AD28" i="28" s="1"/>
  <c r="J28" i="28" s="1"/>
  <c r="Y28" i="28"/>
  <c r="X28" i="28"/>
  <c r="Q28" i="28"/>
  <c r="P28" i="28"/>
  <c r="O28" i="28"/>
  <c r="M28" i="28"/>
  <c r="H28" i="28"/>
  <c r="C28" i="28"/>
  <c r="AD27" i="28"/>
  <c r="J27" i="28" s="1"/>
  <c r="K27" i="28" s="1"/>
  <c r="AB27" i="28"/>
  <c r="Y27" i="28"/>
  <c r="X27" i="28"/>
  <c r="P27" i="28"/>
  <c r="O27" i="28"/>
  <c r="Q27" i="28" s="1"/>
  <c r="M27" i="28"/>
  <c r="I27" i="28"/>
  <c r="H27" i="28"/>
  <c r="C27" i="28"/>
  <c r="AB26" i="28"/>
  <c r="AD26" i="28" s="1"/>
  <c r="J26" i="28" s="1"/>
  <c r="Y26" i="28"/>
  <c r="X26" i="28"/>
  <c r="P26" i="28"/>
  <c r="O26" i="28"/>
  <c r="Q26" i="28" s="1"/>
  <c r="M26" i="28"/>
  <c r="H26" i="28"/>
  <c r="C26" i="28"/>
  <c r="AD25" i="28"/>
  <c r="J25" i="28" s="1"/>
  <c r="I25" i="28" s="1"/>
  <c r="AB25" i="28"/>
  <c r="Y25" i="28"/>
  <c r="X25" i="28"/>
  <c r="Q25" i="28"/>
  <c r="P25" i="28"/>
  <c r="O25" i="28"/>
  <c r="M25" i="28"/>
  <c r="K25" i="28"/>
  <c r="H25" i="28"/>
  <c r="C25" i="28"/>
  <c r="AD24" i="28"/>
  <c r="J24" i="28" s="1"/>
  <c r="I24" i="28" s="1"/>
  <c r="AB24" i="28"/>
  <c r="Y24" i="28"/>
  <c r="X24" i="28"/>
  <c r="V24" i="28"/>
  <c r="U24" i="28"/>
  <c r="T24" i="28"/>
  <c r="Q24" i="28"/>
  <c r="P24" i="28"/>
  <c r="O24" i="28"/>
  <c r="M24" i="28"/>
  <c r="H24" i="28"/>
  <c r="C24" i="28"/>
  <c r="AD23" i="28"/>
  <c r="J23" i="28" s="1"/>
  <c r="AB23" i="28"/>
  <c r="Y23" i="28"/>
  <c r="X23" i="28"/>
  <c r="P23" i="28"/>
  <c r="Q23" i="28" s="1"/>
  <c r="O23" i="28"/>
  <c r="M23" i="28"/>
  <c r="H23" i="28"/>
  <c r="C23" i="28"/>
  <c r="AD22" i="28"/>
  <c r="J22" i="28" s="1"/>
  <c r="K22" i="28" s="1"/>
  <c r="AB22" i="28"/>
  <c r="Y22" i="28"/>
  <c r="X22" i="28"/>
  <c r="P22" i="28"/>
  <c r="O22" i="28"/>
  <c r="Q22" i="28" s="1"/>
  <c r="M22" i="28"/>
  <c r="H22" i="28"/>
  <c r="C22" i="28"/>
  <c r="AB21" i="28"/>
  <c r="AD21" i="28" s="1"/>
  <c r="Y21" i="28"/>
  <c r="X21" i="28"/>
  <c r="P21" i="28"/>
  <c r="O21" i="28"/>
  <c r="M21" i="28"/>
  <c r="J21" i="28"/>
  <c r="H21" i="28"/>
  <c r="C21" i="28"/>
  <c r="AD20" i="28"/>
  <c r="J20" i="28" s="1"/>
  <c r="I20" i="28" s="1"/>
  <c r="AB20" i="28"/>
  <c r="Y20" i="28"/>
  <c r="X20" i="28"/>
  <c r="Q20" i="28"/>
  <c r="P20" i="28"/>
  <c r="O20" i="28"/>
  <c r="M20" i="28"/>
  <c r="K20" i="28"/>
  <c r="H20" i="28"/>
  <c r="C20" i="28"/>
  <c r="AB19" i="28"/>
  <c r="AD19" i="28" s="1"/>
  <c r="J19" i="28" s="1"/>
  <c r="Y19" i="28"/>
  <c r="X19" i="28"/>
  <c r="Q19" i="28"/>
  <c r="P19" i="28"/>
  <c r="O19" i="28"/>
  <c r="M19" i="28"/>
  <c r="H19" i="28"/>
  <c r="C19" i="28"/>
  <c r="AD18" i="28"/>
  <c r="J18" i="28" s="1"/>
  <c r="K18" i="28" s="1"/>
  <c r="AB18" i="28"/>
  <c r="Y18" i="28"/>
  <c r="X18" i="28"/>
  <c r="P18" i="28"/>
  <c r="O18" i="28"/>
  <c r="Q18" i="28" s="1"/>
  <c r="M18" i="28"/>
  <c r="I18" i="28"/>
  <c r="H18" i="28"/>
  <c r="C18" i="28"/>
  <c r="AB17" i="28"/>
  <c r="AD17" i="28" s="1"/>
  <c r="J17" i="28" s="1"/>
  <c r="Y17" i="28"/>
  <c r="X17" i="28"/>
  <c r="P17" i="28"/>
  <c r="O17" i="28"/>
  <c r="Q17" i="28" s="1"/>
  <c r="M17" i="28"/>
  <c r="H17" i="28"/>
  <c r="C17" i="28"/>
  <c r="AD16" i="28"/>
  <c r="J16" i="28" s="1"/>
  <c r="I16" i="28" s="1"/>
  <c r="AB16" i="28"/>
  <c r="Y16" i="28"/>
  <c r="X16" i="28"/>
  <c r="Q16" i="28"/>
  <c r="P16" i="28"/>
  <c r="O16" i="28"/>
  <c r="M16" i="28"/>
  <c r="K16" i="28"/>
  <c r="H16" i="28"/>
  <c r="C16" i="28"/>
  <c r="AD15" i="28"/>
  <c r="J15" i="28" s="1"/>
  <c r="AB15" i="28"/>
  <c r="Y15" i="28"/>
  <c r="X15" i="28"/>
  <c r="P15" i="28"/>
  <c r="Q15" i="28" s="1"/>
  <c r="O15" i="28"/>
  <c r="M15" i="28"/>
  <c r="H15" i="28"/>
  <c r="C15" i="28"/>
  <c r="AD14" i="28"/>
  <c r="J14" i="28" s="1"/>
  <c r="AB14" i="28"/>
  <c r="Y14" i="28"/>
  <c r="X14" i="28"/>
  <c r="P14" i="28"/>
  <c r="O14" i="28"/>
  <c r="Q14" i="28" s="1"/>
  <c r="M14" i="28"/>
  <c r="H14" i="28"/>
  <c r="C14" i="28"/>
  <c r="AB13" i="28"/>
  <c r="AD13" i="28" s="1"/>
  <c r="Y13" i="28"/>
  <c r="X13" i="28"/>
  <c r="P13" i="28"/>
  <c r="O13" i="28"/>
  <c r="Q13" i="28" s="1"/>
  <c r="M13" i="28"/>
  <c r="J13" i="28"/>
  <c r="H13" i="28"/>
  <c r="C13" i="28"/>
  <c r="AD12" i="28"/>
  <c r="J12" i="28" s="1"/>
  <c r="I12" i="28" s="1"/>
  <c r="AB12" i="28"/>
  <c r="Y12" i="28"/>
  <c r="X12" i="28"/>
  <c r="Q12" i="28"/>
  <c r="P12" i="28"/>
  <c r="O12" i="28"/>
  <c r="M12" i="28"/>
  <c r="K12" i="28"/>
  <c r="H12" i="28"/>
  <c r="C12" i="28"/>
  <c r="AB11" i="28"/>
  <c r="AD11" i="28" s="1"/>
  <c r="J11" i="28" s="1"/>
  <c r="Y11" i="28"/>
  <c r="X11" i="28"/>
  <c r="Q11" i="28"/>
  <c r="P11" i="28"/>
  <c r="O11" i="28"/>
  <c r="M11" i="28"/>
  <c r="H11" i="28"/>
  <c r="C11" i="28"/>
  <c r="AD10" i="28"/>
  <c r="J10" i="28" s="1"/>
  <c r="AB10" i="28"/>
  <c r="Y10" i="28"/>
  <c r="X10" i="28"/>
  <c r="P10" i="28"/>
  <c r="O10" i="28"/>
  <c r="Q10" i="28" s="1"/>
  <c r="M10" i="28"/>
  <c r="H10" i="28"/>
  <c r="C10" i="28"/>
  <c r="AB9" i="28"/>
  <c r="AD9" i="28" s="1"/>
  <c r="Y9" i="28"/>
  <c r="X9" i="28"/>
  <c r="P9" i="28"/>
  <c r="O9" i="28"/>
  <c r="M9" i="28"/>
  <c r="J9" i="28"/>
  <c r="H9" i="28"/>
  <c r="C9" i="28"/>
  <c r="AD8" i="28"/>
  <c r="J8" i="28" s="1"/>
  <c r="I8" i="28" s="1"/>
  <c r="AB8" i="28"/>
  <c r="Y8" i="28"/>
  <c r="X8" i="28"/>
  <c r="Q8" i="28"/>
  <c r="P8" i="28"/>
  <c r="O8" i="28"/>
  <c r="M8" i="28"/>
  <c r="K8" i="28"/>
  <c r="H8" i="28"/>
  <c r="C8" i="28"/>
  <c r="AD7" i="28"/>
  <c r="J7" i="28" s="1"/>
  <c r="AB7" i="28"/>
  <c r="Y7" i="28"/>
  <c r="X7" i="28"/>
  <c r="P7" i="28"/>
  <c r="Q7" i="28" s="1"/>
  <c r="O7" i="28"/>
  <c r="M7" i="28"/>
  <c r="H7" i="28"/>
  <c r="C7" i="28"/>
  <c r="AD6" i="28"/>
  <c r="J6" i="28" s="1"/>
  <c r="K6" i="28" s="1"/>
  <c r="AB6" i="28"/>
  <c r="Y6" i="28"/>
  <c r="X6" i="28"/>
  <c r="P6" i="28"/>
  <c r="O6" i="28"/>
  <c r="Q6" i="28" s="1"/>
  <c r="M6" i="28"/>
  <c r="H6" i="28"/>
  <c r="C6" i="28"/>
  <c r="AB5" i="28"/>
  <c r="AD5" i="28" s="1"/>
  <c r="J5" i="28" s="1"/>
  <c r="Y5" i="28"/>
  <c r="X5" i="28"/>
  <c r="P5" i="28"/>
  <c r="O5" i="28"/>
  <c r="M5" i="28"/>
  <c r="H5" i="28"/>
  <c r="C5" i="28"/>
  <c r="AD4" i="28"/>
  <c r="AB4" i="28"/>
  <c r="Y4" i="28"/>
  <c r="X4" i="28"/>
  <c r="Q4" i="28"/>
  <c r="P4" i="28"/>
  <c r="O4" i="28"/>
  <c r="M4" i="28"/>
  <c r="H4" i="28"/>
  <c r="C4" i="28"/>
  <c r="AG3" i="28"/>
  <c r="AF3" i="28"/>
  <c r="W3" i="28"/>
  <c r="V3" i="28"/>
  <c r="U3" i="28"/>
  <c r="T3" i="28"/>
  <c r="O3" i="28"/>
  <c r="H3" i="28"/>
  <c r="G3" i="28"/>
  <c r="F3" i="28"/>
  <c r="D3" i="28"/>
  <c r="X3" i="28" s="1"/>
  <c r="C3" i="28"/>
  <c r="A2" i="28"/>
  <c r="A1" i="28"/>
  <c r="AD32" i="27"/>
  <c r="J32" i="27" s="1"/>
  <c r="I32" i="27" s="1"/>
  <c r="AB32" i="27"/>
  <c r="Y32" i="27"/>
  <c r="X32" i="27"/>
  <c r="V32" i="27"/>
  <c r="U32" i="27"/>
  <c r="T32" i="27"/>
  <c r="Q32" i="27"/>
  <c r="P32" i="27"/>
  <c r="O32" i="27"/>
  <c r="M32" i="27"/>
  <c r="K32" i="27"/>
  <c r="H32" i="27"/>
  <c r="C32" i="27"/>
  <c r="AD31" i="27"/>
  <c r="J31" i="27" s="1"/>
  <c r="AB31" i="27"/>
  <c r="Y31" i="27"/>
  <c r="X31" i="27"/>
  <c r="Q31" i="27"/>
  <c r="P31" i="27"/>
  <c r="O31" i="27"/>
  <c r="M31" i="27"/>
  <c r="H31" i="27"/>
  <c r="C31" i="27"/>
  <c r="AD30" i="27"/>
  <c r="J30" i="27" s="1"/>
  <c r="K30" i="27" s="1"/>
  <c r="AB30" i="27"/>
  <c r="Y30" i="27"/>
  <c r="X30" i="27"/>
  <c r="P30" i="27"/>
  <c r="O30" i="27"/>
  <c r="Q30" i="27" s="1"/>
  <c r="M30" i="27"/>
  <c r="I30" i="27"/>
  <c r="H30" i="27"/>
  <c r="C30" i="27"/>
  <c r="AB29" i="27"/>
  <c r="AD29" i="27" s="1"/>
  <c r="J29" i="27" s="1"/>
  <c r="Y29" i="27"/>
  <c r="X29" i="27"/>
  <c r="P29" i="27"/>
  <c r="O29" i="27"/>
  <c r="Q29" i="27" s="1"/>
  <c r="M29" i="27"/>
  <c r="H29" i="27"/>
  <c r="C29" i="27"/>
  <c r="AD28" i="27"/>
  <c r="J28" i="27" s="1"/>
  <c r="I28" i="27" s="1"/>
  <c r="AB28" i="27"/>
  <c r="Y28" i="27"/>
  <c r="X28" i="27"/>
  <c r="Q28" i="27"/>
  <c r="P28" i="27"/>
  <c r="O28" i="27"/>
  <c r="M28" i="27"/>
  <c r="K28" i="27"/>
  <c r="H28" i="27"/>
  <c r="C28" i="27"/>
  <c r="AD27" i="27"/>
  <c r="J27" i="27" s="1"/>
  <c r="AB27" i="27"/>
  <c r="Y27" i="27"/>
  <c r="X27" i="27"/>
  <c r="Q27" i="27"/>
  <c r="P27" i="27"/>
  <c r="O27" i="27"/>
  <c r="M27" i="27"/>
  <c r="H27" i="27"/>
  <c r="C27" i="27"/>
  <c r="AD26" i="27"/>
  <c r="J26" i="27" s="1"/>
  <c r="K26" i="27" s="1"/>
  <c r="AB26" i="27"/>
  <c r="Y26" i="27"/>
  <c r="X26" i="27"/>
  <c r="P26" i="27"/>
  <c r="O26" i="27"/>
  <c r="Q26" i="27" s="1"/>
  <c r="M26" i="27"/>
  <c r="I26" i="27"/>
  <c r="H26" i="27"/>
  <c r="C26" i="27"/>
  <c r="AB25" i="27"/>
  <c r="AD25" i="27" s="1"/>
  <c r="J25" i="27" s="1"/>
  <c r="Y25" i="27"/>
  <c r="X25" i="27"/>
  <c r="P25" i="27"/>
  <c r="O25" i="27"/>
  <c r="Q25" i="27" s="1"/>
  <c r="M25" i="27"/>
  <c r="H25" i="27"/>
  <c r="C25" i="27"/>
  <c r="AD24" i="27"/>
  <c r="J24" i="27" s="1"/>
  <c r="AB24" i="27"/>
  <c r="Y24" i="27"/>
  <c r="X24" i="27"/>
  <c r="V24" i="27"/>
  <c r="U24" i="27"/>
  <c r="T24" i="27"/>
  <c r="P24" i="27"/>
  <c r="O24" i="27"/>
  <c r="Q24" i="27" s="1"/>
  <c r="M24" i="27"/>
  <c r="H24" i="27"/>
  <c r="C24" i="27"/>
  <c r="AD23" i="27"/>
  <c r="J23" i="27" s="1"/>
  <c r="I23" i="27" s="1"/>
  <c r="AB23" i="27"/>
  <c r="Y23" i="27"/>
  <c r="X23" i="27"/>
  <c r="Q23" i="27"/>
  <c r="P23" i="27"/>
  <c r="O23" i="27"/>
  <c r="M23" i="27"/>
  <c r="K23" i="27"/>
  <c r="H23" i="27"/>
  <c r="C23" i="27"/>
  <c r="AD22" i="27"/>
  <c r="J22" i="27" s="1"/>
  <c r="AB22" i="27"/>
  <c r="Y22" i="27"/>
  <c r="X22" i="27"/>
  <c r="Q22" i="27"/>
  <c r="P22" i="27"/>
  <c r="O22" i="27"/>
  <c r="M22" i="27"/>
  <c r="H22" i="27"/>
  <c r="C22" i="27"/>
  <c r="AD21" i="27"/>
  <c r="J21" i="27" s="1"/>
  <c r="K21" i="27" s="1"/>
  <c r="AB21" i="27"/>
  <c r="Y21" i="27"/>
  <c r="X21" i="27"/>
  <c r="P21" i="27"/>
  <c r="O21" i="27"/>
  <c r="Q21" i="27" s="1"/>
  <c r="M21" i="27"/>
  <c r="H21" i="27"/>
  <c r="C21" i="27"/>
  <c r="AB20" i="27"/>
  <c r="AD20" i="27" s="1"/>
  <c r="J20" i="27" s="1"/>
  <c r="Y20" i="27"/>
  <c r="X20" i="27"/>
  <c r="P20" i="27"/>
  <c r="O20" i="27"/>
  <c r="Q20" i="27" s="1"/>
  <c r="M20" i="27"/>
  <c r="H20" i="27"/>
  <c r="C20" i="27"/>
  <c r="AD19" i="27"/>
  <c r="J19" i="27" s="1"/>
  <c r="I19" i="27" s="1"/>
  <c r="AB19" i="27"/>
  <c r="Y19" i="27"/>
  <c r="X19" i="27"/>
  <c r="Q19" i="27"/>
  <c r="P19" i="27"/>
  <c r="O19" i="27"/>
  <c r="M19" i="27"/>
  <c r="K19" i="27"/>
  <c r="H19" i="27"/>
  <c r="C19" i="27"/>
  <c r="AD18" i="27"/>
  <c r="J18" i="27" s="1"/>
  <c r="AB18" i="27"/>
  <c r="Y18" i="27"/>
  <c r="X18" i="27"/>
  <c r="Q18" i="27"/>
  <c r="P18" i="27"/>
  <c r="O18" i="27"/>
  <c r="M18" i="27"/>
  <c r="H18" i="27"/>
  <c r="C18" i="27"/>
  <c r="AD17" i="27"/>
  <c r="J17" i="27" s="1"/>
  <c r="K17" i="27" s="1"/>
  <c r="AB17" i="27"/>
  <c r="Y17" i="27"/>
  <c r="X17" i="27"/>
  <c r="P17" i="27"/>
  <c r="O17" i="27"/>
  <c r="Q17" i="27" s="1"/>
  <c r="M17" i="27"/>
  <c r="H17" i="27"/>
  <c r="C17" i="27"/>
  <c r="AB16" i="27"/>
  <c r="AD16" i="27" s="1"/>
  <c r="J16" i="27" s="1"/>
  <c r="Y16" i="27"/>
  <c r="X16" i="27"/>
  <c r="P16" i="27"/>
  <c r="O16" i="27"/>
  <c r="Q16" i="27" s="1"/>
  <c r="M16" i="27"/>
  <c r="H16" i="27"/>
  <c r="C16" i="27"/>
  <c r="AD15" i="27"/>
  <c r="J15" i="27" s="1"/>
  <c r="I15" i="27" s="1"/>
  <c r="AB15" i="27"/>
  <c r="Y15" i="27"/>
  <c r="X15" i="27"/>
  <c r="Q15" i="27"/>
  <c r="P15" i="27"/>
  <c r="O15" i="27"/>
  <c r="M15" i="27"/>
  <c r="K15" i="27"/>
  <c r="H15" i="27"/>
  <c r="C15" i="27"/>
  <c r="AD14" i="27"/>
  <c r="J14" i="27" s="1"/>
  <c r="AB14" i="27"/>
  <c r="Y14" i="27"/>
  <c r="X14" i="27"/>
  <c r="Q14" i="27"/>
  <c r="P14" i="27"/>
  <c r="O14" i="27"/>
  <c r="M14" i="27"/>
  <c r="H14" i="27"/>
  <c r="C14" i="27"/>
  <c r="AD13" i="27"/>
  <c r="J13" i="27" s="1"/>
  <c r="K13" i="27" s="1"/>
  <c r="AB13" i="27"/>
  <c r="Y13" i="27"/>
  <c r="X13" i="27"/>
  <c r="P13" i="27"/>
  <c r="O13" i="27"/>
  <c r="Q13" i="27" s="1"/>
  <c r="M13" i="27"/>
  <c r="H13" i="27"/>
  <c r="C13" i="27"/>
  <c r="AB12" i="27"/>
  <c r="AD12" i="27" s="1"/>
  <c r="J12" i="27" s="1"/>
  <c r="Y12" i="27"/>
  <c r="X12" i="27"/>
  <c r="P12" i="27"/>
  <c r="O12" i="27"/>
  <c r="M12" i="27"/>
  <c r="H12" i="27"/>
  <c r="C12" i="27"/>
  <c r="AD11" i="27"/>
  <c r="J11" i="27" s="1"/>
  <c r="I11" i="27" s="1"/>
  <c r="AB11" i="27"/>
  <c r="Y11" i="27"/>
  <c r="X11" i="27"/>
  <c r="Q11" i="27"/>
  <c r="P11" i="27"/>
  <c r="O11" i="27"/>
  <c r="M11" i="27"/>
  <c r="K11" i="27"/>
  <c r="H11" i="27"/>
  <c r="C11" i="27"/>
  <c r="AD10" i="27"/>
  <c r="J10" i="27" s="1"/>
  <c r="AB10" i="27"/>
  <c r="Y10" i="27"/>
  <c r="X10" i="27"/>
  <c r="Q10" i="27"/>
  <c r="P10" i="27"/>
  <c r="O10" i="27"/>
  <c r="M10" i="27"/>
  <c r="H10" i="27"/>
  <c r="C10" i="27"/>
  <c r="AD9" i="27"/>
  <c r="J9" i="27" s="1"/>
  <c r="K9" i="27" s="1"/>
  <c r="AB9" i="27"/>
  <c r="Y9" i="27"/>
  <c r="X9" i="27"/>
  <c r="P9" i="27"/>
  <c r="O9" i="27"/>
  <c r="Q9" i="27" s="1"/>
  <c r="M9" i="27"/>
  <c r="H9" i="27"/>
  <c r="C9" i="27"/>
  <c r="AB8" i="27"/>
  <c r="AD8" i="27" s="1"/>
  <c r="J8" i="27" s="1"/>
  <c r="Y8" i="27"/>
  <c r="X8" i="27"/>
  <c r="P8" i="27"/>
  <c r="O8" i="27"/>
  <c r="Q8" i="27" s="1"/>
  <c r="M8" i="27"/>
  <c r="H8" i="27"/>
  <c r="C8" i="27"/>
  <c r="AD7" i="27"/>
  <c r="J7" i="27" s="1"/>
  <c r="I7" i="27" s="1"/>
  <c r="AB7" i="27"/>
  <c r="Y7" i="27"/>
  <c r="X7" i="27"/>
  <c r="Q7" i="27"/>
  <c r="P7" i="27"/>
  <c r="O7" i="27"/>
  <c r="M7" i="27"/>
  <c r="K7" i="27"/>
  <c r="H7" i="27"/>
  <c r="C7" i="27"/>
  <c r="AD6" i="27"/>
  <c r="J6" i="27" s="1"/>
  <c r="AB6" i="27"/>
  <c r="Y6" i="27"/>
  <c r="X6" i="27"/>
  <c r="Q6" i="27"/>
  <c r="P6" i="27"/>
  <c r="O6" i="27"/>
  <c r="M6" i="27"/>
  <c r="H6" i="27"/>
  <c r="C6" i="27"/>
  <c r="AD5" i="27"/>
  <c r="J5" i="27" s="1"/>
  <c r="K5" i="27" s="1"/>
  <c r="AB5" i="27"/>
  <c r="Y5" i="27"/>
  <c r="X5" i="27"/>
  <c r="P5" i="27"/>
  <c r="O5" i="27"/>
  <c r="Q5" i="27" s="1"/>
  <c r="M5" i="27"/>
  <c r="H5" i="27"/>
  <c r="C5" i="27"/>
  <c r="AB4" i="27"/>
  <c r="AD4" i="27" s="1"/>
  <c r="Y4" i="27"/>
  <c r="X4" i="27"/>
  <c r="P4" i="27"/>
  <c r="O4" i="27"/>
  <c r="Q4" i="27" s="1"/>
  <c r="M4" i="27"/>
  <c r="H4" i="27"/>
  <c r="C4" i="27"/>
  <c r="AG3" i="27"/>
  <c r="AF3" i="27"/>
  <c r="W3" i="27"/>
  <c r="X3" i="27" s="1"/>
  <c r="V3" i="27"/>
  <c r="U3" i="27"/>
  <c r="T3" i="27"/>
  <c r="O3" i="27"/>
  <c r="H3" i="27"/>
  <c r="G3" i="27"/>
  <c r="F3" i="27"/>
  <c r="D3" i="27"/>
  <c r="C3" i="27"/>
  <c r="A2" i="27"/>
  <c r="A1" i="27"/>
  <c r="AB32" i="26"/>
  <c r="AD32" i="26" s="1"/>
  <c r="J32" i="26" s="1"/>
  <c r="Y32" i="26"/>
  <c r="X32" i="26"/>
  <c r="V32" i="26"/>
  <c r="U32" i="26"/>
  <c r="T32" i="26"/>
  <c r="P32" i="26"/>
  <c r="O32" i="26"/>
  <c r="Q32" i="26" s="1"/>
  <c r="M32" i="26"/>
  <c r="H32" i="26"/>
  <c r="C32" i="26"/>
  <c r="AD31" i="26"/>
  <c r="J31" i="26" s="1"/>
  <c r="I31" i="26" s="1"/>
  <c r="AB31" i="26"/>
  <c r="Y31" i="26"/>
  <c r="X31" i="26"/>
  <c r="Q31" i="26"/>
  <c r="P31" i="26"/>
  <c r="O31" i="26"/>
  <c r="M31" i="26"/>
  <c r="K31" i="26"/>
  <c r="H31" i="26"/>
  <c r="C31" i="26"/>
  <c r="AD30" i="26"/>
  <c r="J30" i="26" s="1"/>
  <c r="AB30" i="26"/>
  <c r="Y30" i="26"/>
  <c r="X30" i="26"/>
  <c r="Q30" i="26"/>
  <c r="P30" i="26"/>
  <c r="O30" i="26"/>
  <c r="M30" i="26"/>
  <c r="H30" i="26"/>
  <c r="C30" i="26"/>
  <c r="AD29" i="26"/>
  <c r="J29" i="26" s="1"/>
  <c r="K29" i="26" s="1"/>
  <c r="AB29" i="26"/>
  <c r="Y29" i="26"/>
  <c r="X29" i="26"/>
  <c r="P29" i="26"/>
  <c r="O29" i="26"/>
  <c r="Q29" i="26" s="1"/>
  <c r="M29" i="26"/>
  <c r="I29" i="26"/>
  <c r="H29" i="26"/>
  <c r="C29" i="26"/>
  <c r="AB28" i="26"/>
  <c r="AD28" i="26" s="1"/>
  <c r="J28" i="26" s="1"/>
  <c r="Y28" i="26"/>
  <c r="X28" i="26"/>
  <c r="P28" i="26"/>
  <c r="O28" i="26"/>
  <c r="Q28" i="26" s="1"/>
  <c r="M28" i="26"/>
  <c r="H28" i="26"/>
  <c r="C28" i="26"/>
  <c r="AD27" i="26"/>
  <c r="J27" i="26" s="1"/>
  <c r="I27" i="26" s="1"/>
  <c r="AB27" i="26"/>
  <c r="Y27" i="26"/>
  <c r="X27" i="26"/>
  <c r="Q27" i="26"/>
  <c r="P27" i="26"/>
  <c r="O27" i="26"/>
  <c r="M27" i="26"/>
  <c r="K27" i="26"/>
  <c r="H27" i="26"/>
  <c r="C27" i="26"/>
  <c r="AD26" i="26"/>
  <c r="J26" i="26" s="1"/>
  <c r="AB26" i="26"/>
  <c r="Y26" i="26"/>
  <c r="X26" i="26"/>
  <c r="Q26" i="26"/>
  <c r="P26" i="26"/>
  <c r="O26" i="26"/>
  <c r="M26" i="26"/>
  <c r="H26" i="26"/>
  <c r="C26" i="26"/>
  <c r="AD25" i="26"/>
  <c r="J25" i="26" s="1"/>
  <c r="K25" i="26" s="1"/>
  <c r="AB25" i="26"/>
  <c r="Y25" i="26"/>
  <c r="X25" i="26"/>
  <c r="P25" i="26"/>
  <c r="O25" i="26"/>
  <c r="Q25" i="26" s="1"/>
  <c r="M25" i="26"/>
  <c r="I25" i="26"/>
  <c r="H25" i="26"/>
  <c r="C25" i="26"/>
  <c r="AB24" i="26"/>
  <c r="AD24" i="26" s="1"/>
  <c r="J24" i="26" s="1"/>
  <c r="K24" i="26" s="1"/>
  <c r="Y24" i="26"/>
  <c r="X24" i="26"/>
  <c r="V24" i="26"/>
  <c r="U24" i="26"/>
  <c r="T24" i="26"/>
  <c r="P24" i="26"/>
  <c r="O24" i="26"/>
  <c r="Q24" i="26" s="1"/>
  <c r="M24" i="26"/>
  <c r="H24" i="26"/>
  <c r="C24" i="26"/>
  <c r="AB23" i="26"/>
  <c r="AD23" i="26" s="1"/>
  <c r="J23" i="26" s="1"/>
  <c r="Y23" i="26"/>
  <c r="X23" i="26"/>
  <c r="P23" i="26"/>
  <c r="O23" i="26"/>
  <c r="Q23" i="26" s="1"/>
  <c r="M23" i="26"/>
  <c r="H23" i="26"/>
  <c r="C23" i="26"/>
  <c r="AD22" i="26"/>
  <c r="J22" i="26" s="1"/>
  <c r="I22" i="26" s="1"/>
  <c r="AB22" i="26"/>
  <c r="Y22" i="26"/>
  <c r="X22" i="26"/>
  <c r="Q22" i="26"/>
  <c r="P22" i="26"/>
  <c r="O22" i="26"/>
  <c r="M22" i="26"/>
  <c r="K22" i="26"/>
  <c r="H22" i="26"/>
  <c r="C22" i="26"/>
  <c r="AD21" i="26"/>
  <c r="J21" i="26" s="1"/>
  <c r="AB21" i="26"/>
  <c r="Y21" i="26"/>
  <c r="X21" i="26"/>
  <c r="Q21" i="26"/>
  <c r="P21" i="26"/>
  <c r="O21" i="26"/>
  <c r="M21" i="26"/>
  <c r="H21" i="26"/>
  <c r="C21" i="26"/>
  <c r="AD20" i="26"/>
  <c r="J20" i="26" s="1"/>
  <c r="K20" i="26" s="1"/>
  <c r="AB20" i="26"/>
  <c r="Y20" i="26"/>
  <c r="X20" i="26"/>
  <c r="P20" i="26"/>
  <c r="O20" i="26"/>
  <c r="Q20" i="26" s="1"/>
  <c r="M20" i="26"/>
  <c r="I20" i="26"/>
  <c r="H20" i="26"/>
  <c r="C20" i="26"/>
  <c r="AB19" i="26"/>
  <c r="AD19" i="26" s="1"/>
  <c r="J19" i="26" s="1"/>
  <c r="Y19" i="26"/>
  <c r="X19" i="26"/>
  <c r="P19" i="26"/>
  <c r="O19" i="26"/>
  <c r="Q19" i="26" s="1"/>
  <c r="M19" i="26"/>
  <c r="H19" i="26"/>
  <c r="C19" i="26"/>
  <c r="AD18" i="26"/>
  <c r="J18" i="26" s="1"/>
  <c r="I18" i="26" s="1"/>
  <c r="AB18" i="26"/>
  <c r="Y18" i="26"/>
  <c r="X18" i="26"/>
  <c r="Q18" i="26"/>
  <c r="P18" i="26"/>
  <c r="O18" i="26"/>
  <c r="M18" i="26"/>
  <c r="K18" i="26"/>
  <c r="H18" i="26"/>
  <c r="C18" i="26"/>
  <c r="AD17" i="26"/>
  <c r="J17" i="26" s="1"/>
  <c r="AB17" i="26"/>
  <c r="Y17" i="26"/>
  <c r="X17" i="26"/>
  <c r="Q17" i="26"/>
  <c r="P17" i="26"/>
  <c r="O17" i="26"/>
  <c r="M17" i="26"/>
  <c r="H17" i="26"/>
  <c r="C17" i="26"/>
  <c r="AD16" i="26"/>
  <c r="J16" i="26" s="1"/>
  <c r="K16" i="26" s="1"/>
  <c r="AB16" i="26"/>
  <c r="Y16" i="26"/>
  <c r="X16" i="26"/>
  <c r="P16" i="26"/>
  <c r="O16" i="26"/>
  <c r="Q16" i="26" s="1"/>
  <c r="M16" i="26"/>
  <c r="I16" i="26"/>
  <c r="H16" i="26"/>
  <c r="C16" i="26"/>
  <c r="AB15" i="26"/>
  <c r="AD15" i="26" s="1"/>
  <c r="J15" i="26" s="1"/>
  <c r="Y15" i="26"/>
  <c r="X15" i="26"/>
  <c r="P15" i="26"/>
  <c r="O15" i="26"/>
  <c r="Q15" i="26" s="1"/>
  <c r="M15" i="26"/>
  <c r="H15" i="26"/>
  <c r="C15" i="26"/>
  <c r="AD14" i="26"/>
  <c r="J14" i="26" s="1"/>
  <c r="I14" i="26" s="1"/>
  <c r="AB14" i="26"/>
  <c r="Y14" i="26"/>
  <c r="X14" i="26"/>
  <c r="Q14" i="26"/>
  <c r="P14" i="26"/>
  <c r="O14" i="26"/>
  <c r="M14" i="26"/>
  <c r="K14" i="26"/>
  <c r="H14" i="26"/>
  <c r="C14" i="26"/>
  <c r="AD13" i="26"/>
  <c r="J13" i="26" s="1"/>
  <c r="AB13" i="26"/>
  <c r="Y13" i="26"/>
  <c r="X13" i="26"/>
  <c r="Q13" i="26"/>
  <c r="P13" i="26"/>
  <c r="O13" i="26"/>
  <c r="M13" i="26"/>
  <c r="H13" i="26"/>
  <c r="C13" i="26"/>
  <c r="AB12" i="26"/>
  <c r="AD12" i="26" s="1"/>
  <c r="J12" i="26" s="1"/>
  <c r="K12" i="26" s="1"/>
  <c r="Y12" i="26"/>
  <c r="X12" i="26"/>
  <c r="P12" i="26"/>
  <c r="O12" i="26"/>
  <c r="Q12" i="26" s="1"/>
  <c r="M12" i="26"/>
  <c r="I12" i="26"/>
  <c r="H12" i="26"/>
  <c r="C12" i="26"/>
  <c r="AB11" i="26"/>
  <c r="AD11" i="26" s="1"/>
  <c r="Y11" i="26"/>
  <c r="X11" i="26"/>
  <c r="P11" i="26"/>
  <c r="O11" i="26"/>
  <c r="M11" i="26"/>
  <c r="J11" i="26"/>
  <c r="H11" i="26"/>
  <c r="C11" i="26"/>
  <c r="AD10" i="26"/>
  <c r="J10" i="26" s="1"/>
  <c r="I10" i="26" s="1"/>
  <c r="AB10" i="26"/>
  <c r="Y10" i="26"/>
  <c r="X10" i="26"/>
  <c r="Q10" i="26"/>
  <c r="P10" i="26"/>
  <c r="O10" i="26"/>
  <c r="M10" i="26"/>
  <c r="K10" i="26"/>
  <c r="H10" i="26"/>
  <c r="C10" i="26"/>
  <c r="AD9" i="26"/>
  <c r="J9" i="26" s="1"/>
  <c r="AB9" i="26"/>
  <c r="Y9" i="26"/>
  <c r="X9" i="26"/>
  <c r="Q9" i="26"/>
  <c r="P9" i="26"/>
  <c r="O9" i="26"/>
  <c r="M9" i="26"/>
  <c r="H9" i="26"/>
  <c r="C9" i="26"/>
  <c r="AD8" i="26"/>
  <c r="J8" i="26" s="1"/>
  <c r="AB8" i="26"/>
  <c r="Y8" i="26"/>
  <c r="X8" i="26"/>
  <c r="P8" i="26"/>
  <c r="O8" i="26"/>
  <c r="Q8" i="26" s="1"/>
  <c r="M8" i="26"/>
  <c r="H8" i="26"/>
  <c r="C8" i="26"/>
  <c r="AB7" i="26"/>
  <c r="AD7" i="26" s="1"/>
  <c r="Y7" i="26"/>
  <c r="X7" i="26"/>
  <c r="P7" i="26"/>
  <c r="O7" i="26"/>
  <c r="M7" i="26"/>
  <c r="J7" i="26"/>
  <c r="H7" i="26"/>
  <c r="C7" i="26"/>
  <c r="AD6" i="26"/>
  <c r="AB6" i="26"/>
  <c r="Y6" i="26"/>
  <c r="X6" i="26"/>
  <c r="Q6" i="26"/>
  <c r="P6" i="26"/>
  <c r="O6" i="26"/>
  <c r="M6" i="26"/>
  <c r="H6" i="26"/>
  <c r="C6" i="26"/>
  <c r="AD5" i="26"/>
  <c r="J5" i="26" s="1"/>
  <c r="AB5" i="26"/>
  <c r="Y5" i="26"/>
  <c r="X5" i="26"/>
  <c r="Q5" i="26"/>
  <c r="P5" i="26"/>
  <c r="O5" i="26"/>
  <c r="M5" i="26"/>
  <c r="H5" i="26"/>
  <c r="C5" i="26"/>
  <c r="AD4" i="26"/>
  <c r="J4" i="26" s="1"/>
  <c r="AB4" i="26"/>
  <c r="Y4" i="26"/>
  <c r="X4" i="26"/>
  <c r="P4" i="26"/>
  <c r="O4" i="26"/>
  <c r="Q4" i="26" s="1"/>
  <c r="M4" i="26"/>
  <c r="I4" i="26"/>
  <c r="H4" i="26"/>
  <c r="C4" i="26"/>
  <c r="AG3" i="26"/>
  <c r="AF3" i="26"/>
  <c r="W3" i="26"/>
  <c r="X3" i="26" s="1"/>
  <c r="V3" i="26"/>
  <c r="U3" i="26"/>
  <c r="T3" i="26"/>
  <c r="O3" i="26"/>
  <c r="G3" i="26"/>
  <c r="H3" i="26" s="1"/>
  <c r="F3" i="26"/>
  <c r="D3" i="26"/>
  <c r="C3" i="26"/>
  <c r="A2" i="26"/>
  <c r="A1" i="26"/>
  <c r="AB32" i="25"/>
  <c r="AD32" i="25" s="1"/>
  <c r="J32" i="25" s="1"/>
  <c r="Y32" i="25"/>
  <c r="X32" i="25"/>
  <c r="V32" i="25"/>
  <c r="U32" i="25"/>
  <c r="T32" i="25"/>
  <c r="P32" i="25"/>
  <c r="O32" i="25"/>
  <c r="Q32" i="25" s="1"/>
  <c r="M32" i="25"/>
  <c r="H32" i="25"/>
  <c r="C32" i="25"/>
  <c r="AB31" i="25"/>
  <c r="AD31" i="25" s="1"/>
  <c r="Y31" i="25"/>
  <c r="X31" i="25"/>
  <c r="P31" i="25"/>
  <c r="O31" i="25"/>
  <c r="M31" i="25"/>
  <c r="J31" i="25"/>
  <c r="H31" i="25"/>
  <c r="C31" i="25"/>
  <c r="AD30" i="25"/>
  <c r="J30" i="25" s="1"/>
  <c r="I30" i="25" s="1"/>
  <c r="AB30" i="25"/>
  <c r="Y30" i="25"/>
  <c r="X30" i="25"/>
  <c r="Q30" i="25"/>
  <c r="P30" i="25"/>
  <c r="O30" i="25"/>
  <c r="M30" i="25"/>
  <c r="K30" i="25"/>
  <c r="H30" i="25"/>
  <c r="C30" i="25"/>
  <c r="AB29" i="25"/>
  <c r="AD29" i="25" s="1"/>
  <c r="J29" i="25" s="1"/>
  <c r="Y29" i="25"/>
  <c r="X29" i="25"/>
  <c r="Q29" i="25"/>
  <c r="P29" i="25"/>
  <c r="O29" i="25"/>
  <c r="M29" i="25"/>
  <c r="H29" i="25"/>
  <c r="C29" i="25"/>
  <c r="AB28" i="25"/>
  <c r="AD28" i="25" s="1"/>
  <c r="J28" i="25" s="1"/>
  <c r="K28" i="25" s="1"/>
  <c r="Y28" i="25"/>
  <c r="X28" i="25"/>
  <c r="P28" i="25"/>
  <c r="O28" i="25"/>
  <c r="Q28" i="25" s="1"/>
  <c r="M28" i="25"/>
  <c r="I28" i="25"/>
  <c r="H28" i="25"/>
  <c r="C28" i="25"/>
  <c r="AB27" i="25"/>
  <c r="AD27" i="25" s="1"/>
  <c r="J27" i="25" s="1"/>
  <c r="Y27" i="25"/>
  <c r="X27" i="25"/>
  <c r="P27" i="25"/>
  <c r="O27" i="25"/>
  <c r="Q27" i="25" s="1"/>
  <c r="M27" i="25"/>
  <c r="H27" i="25"/>
  <c r="C27" i="25"/>
  <c r="AB26" i="25"/>
  <c r="AD26" i="25" s="1"/>
  <c r="J26" i="25" s="1"/>
  <c r="Y26" i="25"/>
  <c r="X26" i="25"/>
  <c r="P26" i="25"/>
  <c r="Q26" i="25" s="1"/>
  <c r="O26" i="25"/>
  <c r="M26" i="25"/>
  <c r="H26" i="25"/>
  <c r="C26" i="25"/>
  <c r="AD25" i="25"/>
  <c r="J25" i="25" s="1"/>
  <c r="AB25" i="25"/>
  <c r="Y25" i="25"/>
  <c r="X25" i="25"/>
  <c r="Q25" i="25"/>
  <c r="P25" i="25"/>
  <c r="O25" i="25"/>
  <c r="M25" i="25"/>
  <c r="K25" i="25"/>
  <c r="I25" i="25"/>
  <c r="H25" i="25"/>
  <c r="C25" i="25"/>
  <c r="AD24" i="25"/>
  <c r="J24" i="25" s="1"/>
  <c r="AB24" i="25"/>
  <c r="Y24" i="25"/>
  <c r="X24" i="25"/>
  <c r="V24" i="25"/>
  <c r="U24" i="25"/>
  <c r="T24" i="25"/>
  <c r="P24" i="25"/>
  <c r="O24" i="25"/>
  <c r="Q24" i="25" s="1"/>
  <c r="M24" i="25"/>
  <c r="H24" i="25"/>
  <c r="C24" i="25"/>
  <c r="AB23" i="25"/>
  <c r="AD23" i="25" s="1"/>
  <c r="Y23" i="25"/>
  <c r="X23" i="25"/>
  <c r="P23" i="25"/>
  <c r="O23" i="25"/>
  <c r="Q23" i="25" s="1"/>
  <c r="M23" i="25"/>
  <c r="J23" i="25"/>
  <c r="H23" i="25"/>
  <c r="C23" i="25"/>
  <c r="AB22" i="25"/>
  <c r="AD22" i="25" s="1"/>
  <c r="J22" i="25" s="1"/>
  <c r="Y22" i="25"/>
  <c r="X22" i="25"/>
  <c r="P22" i="25"/>
  <c r="Q22" i="25" s="1"/>
  <c r="O22" i="25"/>
  <c r="M22" i="25"/>
  <c r="H22" i="25"/>
  <c r="C22" i="25"/>
  <c r="AD21" i="25"/>
  <c r="J21" i="25" s="1"/>
  <c r="I21" i="25" s="1"/>
  <c r="AB21" i="25"/>
  <c r="Y21" i="25"/>
  <c r="X21" i="25"/>
  <c r="Q21" i="25"/>
  <c r="P21" i="25"/>
  <c r="O21" i="25"/>
  <c r="M21" i="25"/>
  <c r="K21" i="25"/>
  <c r="H21" i="25"/>
  <c r="C21" i="25"/>
  <c r="AD20" i="25"/>
  <c r="J20" i="25" s="1"/>
  <c r="AB20" i="25"/>
  <c r="Y20" i="25"/>
  <c r="X20" i="25"/>
  <c r="P20" i="25"/>
  <c r="O20" i="25"/>
  <c r="Q20" i="25" s="1"/>
  <c r="M20" i="25"/>
  <c r="H20" i="25"/>
  <c r="C20" i="25"/>
  <c r="AB19" i="25"/>
  <c r="AD19" i="25" s="1"/>
  <c r="J19" i="25" s="1"/>
  <c r="Y19" i="25"/>
  <c r="X19" i="25"/>
  <c r="P19" i="25"/>
  <c r="O19" i="25"/>
  <c r="M19" i="25"/>
  <c r="H19" i="25"/>
  <c r="C19" i="25"/>
  <c r="AD18" i="25"/>
  <c r="AB18" i="25"/>
  <c r="Y18" i="25"/>
  <c r="X18" i="25"/>
  <c r="P18" i="25"/>
  <c r="Q18" i="25" s="1"/>
  <c r="O18" i="25"/>
  <c r="M18" i="25"/>
  <c r="K18" i="25"/>
  <c r="J18" i="25"/>
  <c r="I18" i="25" s="1"/>
  <c r="H18" i="25"/>
  <c r="C18" i="25"/>
  <c r="AD17" i="25"/>
  <c r="J17" i="25" s="1"/>
  <c r="AB17" i="25"/>
  <c r="Y17" i="25"/>
  <c r="X17" i="25"/>
  <c r="Q17" i="25"/>
  <c r="P17" i="25"/>
  <c r="O17" i="25"/>
  <c r="M17" i="25"/>
  <c r="H17" i="25"/>
  <c r="C17" i="25"/>
  <c r="AB16" i="25"/>
  <c r="AD16" i="25" s="1"/>
  <c r="J16" i="25" s="1"/>
  <c r="Y16" i="25"/>
  <c r="X16" i="25"/>
  <c r="P16" i="25"/>
  <c r="O16" i="25"/>
  <c r="Q16" i="25" s="1"/>
  <c r="M16" i="25"/>
  <c r="H16" i="25"/>
  <c r="C16" i="25"/>
  <c r="AB15" i="25"/>
  <c r="AD15" i="25" s="1"/>
  <c r="Y15" i="25"/>
  <c r="X15" i="25"/>
  <c r="P15" i="25"/>
  <c r="O15" i="25"/>
  <c r="Q15" i="25" s="1"/>
  <c r="M15" i="25"/>
  <c r="J15" i="25"/>
  <c r="H15" i="25"/>
  <c r="C15" i="25"/>
  <c r="AB14" i="25"/>
  <c r="AD14" i="25" s="1"/>
  <c r="J14" i="25" s="1"/>
  <c r="Y14" i="25"/>
  <c r="X14" i="25"/>
  <c r="P14" i="25"/>
  <c r="Q14" i="25" s="1"/>
  <c r="O14" i="25"/>
  <c r="M14" i="25"/>
  <c r="H14" i="25"/>
  <c r="C14" i="25"/>
  <c r="AD13" i="25"/>
  <c r="J13" i="25" s="1"/>
  <c r="I13" i="25" s="1"/>
  <c r="AB13" i="25"/>
  <c r="Y13" i="25"/>
  <c r="X13" i="25"/>
  <c r="Q13" i="25"/>
  <c r="P13" i="25"/>
  <c r="O13" i="25"/>
  <c r="M13" i="25"/>
  <c r="K13" i="25"/>
  <c r="H13" i="25"/>
  <c r="C13" i="25"/>
  <c r="AD12" i="25"/>
  <c r="J12" i="25" s="1"/>
  <c r="AB12" i="25"/>
  <c r="Y12" i="25"/>
  <c r="X12" i="25"/>
  <c r="P12" i="25"/>
  <c r="O12" i="25"/>
  <c r="Q12" i="25" s="1"/>
  <c r="M12" i="25"/>
  <c r="H12" i="25"/>
  <c r="C12" i="25"/>
  <c r="AB11" i="25"/>
  <c r="AD11" i="25" s="1"/>
  <c r="J11" i="25" s="1"/>
  <c r="Y11" i="25"/>
  <c r="X11" i="25"/>
  <c r="P11" i="25"/>
  <c r="O11" i="25"/>
  <c r="M11" i="25"/>
  <c r="H11" i="25"/>
  <c r="C11" i="25"/>
  <c r="AB10" i="25"/>
  <c r="AD10" i="25" s="1"/>
  <c r="J10" i="25" s="1"/>
  <c r="I10" i="25" s="1"/>
  <c r="Y10" i="25"/>
  <c r="X10" i="25"/>
  <c r="P10" i="25"/>
  <c r="Q10" i="25" s="1"/>
  <c r="O10" i="25"/>
  <c r="M10" i="25"/>
  <c r="H10" i="25"/>
  <c r="C10" i="25"/>
  <c r="AD9" i="25"/>
  <c r="J9" i="25" s="1"/>
  <c r="AB9" i="25"/>
  <c r="Y9" i="25"/>
  <c r="X9" i="25"/>
  <c r="Q9" i="25"/>
  <c r="P9" i="25"/>
  <c r="O9" i="25"/>
  <c r="M9" i="25"/>
  <c r="H9" i="25"/>
  <c r="C9" i="25"/>
  <c r="AD8" i="25"/>
  <c r="J8" i="25" s="1"/>
  <c r="AB8" i="25"/>
  <c r="Y8" i="25"/>
  <c r="X8" i="25"/>
  <c r="P8" i="25"/>
  <c r="O8" i="25"/>
  <c r="Q8" i="25" s="1"/>
  <c r="M8" i="25"/>
  <c r="H8" i="25"/>
  <c r="C8" i="25"/>
  <c r="AB7" i="25"/>
  <c r="AD7" i="25" s="1"/>
  <c r="J7" i="25" s="1"/>
  <c r="Y7" i="25"/>
  <c r="X7" i="25"/>
  <c r="P7" i="25"/>
  <c r="O7" i="25"/>
  <c r="Q7" i="25" s="1"/>
  <c r="M7" i="25"/>
  <c r="H7" i="25"/>
  <c r="C7" i="25"/>
  <c r="AB6" i="25"/>
  <c r="AD6" i="25" s="1"/>
  <c r="J6" i="25" s="1"/>
  <c r="Y6" i="25"/>
  <c r="X6" i="25"/>
  <c r="Q6" i="25"/>
  <c r="P6" i="25"/>
  <c r="O6" i="25"/>
  <c r="M6" i="25"/>
  <c r="H6" i="25"/>
  <c r="C6" i="25"/>
  <c r="AD5" i="25"/>
  <c r="AB5" i="25"/>
  <c r="Y5" i="25"/>
  <c r="X5" i="25"/>
  <c r="Q5" i="25"/>
  <c r="P5" i="25"/>
  <c r="O5" i="25"/>
  <c r="M5" i="25"/>
  <c r="H5" i="25"/>
  <c r="C5" i="25"/>
  <c r="AD4" i="25"/>
  <c r="J4" i="25" s="1"/>
  <c r="AB4" i="25"/>
  <c r="Y4" i="25"/>
  <c r="X4" i="25"/>
  <c r="P4" i="25"/>
  <c r="O4" i="25"/>
  <c r="Q4" i="25" s="1"/>
  <c r="M4" i="25"/>
  <c r="I4" i="25"/>
  <c r="H4" i="25"/>
  <c r="C4" i="25"/>
  <c r="AG3" i="25"/>
  <c r="AF3" i="25"/>
  <c r="W3" i="25"/>
  <c r="V3" i="25"/>
  <c r="U3" i="25"/>
  <c r="T3" i="25"/>
  <c r="O3" i="25"/>
  <c r="G3" i="25"/>
  <c r="F3" i="25"/>
  <c r="D3" i="25"/>
  <c r="X3" i="25" s="1"/>
  <c r="C3" i="25"/>
  <c r="A2" i="25"/>
  <c r="A1" i="25"/>
  <c r="AD32" i="24"/>
  <c r="AB32" i="24"/>
  <c r="Y32" i="24"/>
  <c r="X32" i="24"/>
  <c r="V32" i="24"/>
  <c r="U32" i="24"/>
  <c r="T32" i="24"/>
  <c r="P32" i="24"/>
  <c r="O32" i="24"/>
  <c r="Q32" i="24" s="1"/>
  <c r="M32" i="24"/>
  <c r="J32" i="24"/>
  <c r="K32" i="24" s="1"/>
  <c r="H32" i="24"/>
  <c r="C32" i="24"/>
  <c r="AB31" i="24"/>
  <c r="AD31" i="24" s="1"/>
  <c r="J31" i="24" s="1"/>
  <c r="Y31" i="24"/>
  <c r="X31" i="24"/>
  <c r="P31" i="24"/>
  <c r="O31" i="24"/>
  <c r="Q31" i="24" s="1"/>
  <c r="M31" i="24"/>
  <c r="H31" i="24"/>
  <c r="C31" i="24"/>
  <c r="AB30" i="24"/>
  <c r="AD30" i="24" s="1"/>
  <c r="J30" i="24" s="1"/>
  <c r="Y30" i="24"/>
  <c r="X30" i="24"/>
  <c r="Q30" i="24"/>
  <c r="P30" i="24"/>
  <c r="O30" i="24"/>
  <c r="M30" i="24"/>
  <c r="H30" i="24"/>
  <c r="C30" i="24"/>
  <c r="AD29" i="24"/>
  <c r="J29" i="24" s="1"/>
  <c r="I29" i="24" s="1"/>
  <c r="AB29" i="24"/>
  <c r="Y29" i="24"/>
  <c r="X29" i="24"/>
  <c r="Q29" i="24"/>
  <c r="P29" i="24"/>
  <c r="O29" i="24"/>
  <c r="M29" i="24"/>
  <c r="K29" i="24"/>
  <c r="H29" i="24"/>
  <c r="C29" i="24"/>
  <c r="AD28" i="24"/>
  <c r="J28" i="24" s="1"/>
  <c r="K28" i="24" s="1"/>
  <c r="AB28" i="24"/>
  <c r="Y28" i="24"/>
  <c r="X28" i="24"/>
  <c r="Q28" i="24"/>
  <c r="P28" i="24"/>
  <c r="O28" i="24"/>
  <c r="M28" i="24"/>
  <c r="I28" i="24"/>
  <c r="H28" i="24"/>
  <c r="C28" i="24"/>
  <c r="AB27" i="24"/>
  <c r="AD27" i="24" s="1"/>
  <c r="J27" i="24" s="1"/>
  <c r="Y27" i="24"/>
  <c r="X27" i="24"/>
  <c r="P27" i="24"/>
  <c r="O27" i="24"/>
  <c r="Q27" i="24" s="1"/>
  <c r="M27" i="24"/>
  <c r="H27" i="24"/>
  <c r="C27" i="24"/>
  <c r="AD26" i="24"/>
  <c r="AB26" i="24"/>
  <c r="Y26" i="24"/>
  <c r="X26" i="24"/>
  <c r="P26" i="24"/>
  <c r="Q26" i="24" s="1"/>
  <c r="O26" i="24"/>
  <c r="M26" i="24"/>
  <c r="K26" i="24"/>
  <c r="J26" i="24"/>
  <c r="I26" i="24" s="1"/>
  <c r="H26" i="24"/>
  <c r="C26" i="24"/>
  <c r="AD25" i="24"/>
  <c r="J25" i="24" s="1"/>
  <c r="AB25" i="24"/>
  <c r="Y25" i="24"/>
  <c r="X25" i="24"/>
  <c r="Q25" i="24"/>
  <c r="P25" i="24"/>
  <c r="O25" i="24"/>
  <c r="M25" i="24"/>
  <c r="H25" i="24"/>
  <c r="C25" i="24"/>
  <c r="AD24" i="24"/>
  <c r="J24" i="24" s="1"/>
  <c r="AB24" i="24"/>
  <c r="Y24" i="24"/>
  <c r="X24" i="24"/>
  <c r="V24" i="24"/>
  <c r="U24" i="24"/>
  <c r="T24" i="24"/>
  <c r="Q24" i="24"/>
  <c r="P24" i="24"/>
  <c r="O24" i="24"/>
  <c r="M24" i="24"/>
  <c r="H24" i="24"/>
  <c r="C24" i="24"/>
  <c r="AD23" i="24"/>
  <c r="J23" i="24" s="1"/>
  <c r="AB23" i="24"/>
  <c r="Y23" i="24"/>
  <c r="X23" i="24"/>
  <c r="P23" i="24"/>
  <c r="O23" i="24"/>
  <c r="Q23" i="24" s="1"/>
  <c r="M23" i="24"/>
  <c r="H23" i="24"/>
  <c r="C23" i="24"/>
  <c r="AB22" i="24"/>
  <c r="AD22" i="24" s="1"/>
  <c r="J22" i="24" s="1"/>
  <c r="Y22" i="24"/>
  <c r="X22" i="24"/>
  <c r="P22" i="24"/>
  <c r="O22" i="24"/>
  <c r="Q22" i="24" s="1"/>
  <c r="M22" i="24"/>
  <c r="H22" i="24"/>
  <c r="C22" i="24"/>
  <c r="AB21" i="24"/>
  <c r="AD21" i="24" s="1"/>
  <c r="J21" i="24" s="1"/>
  <c r="Y21" i="24"/>
  <c r="X21" i="24"/>
  <c r="Q21" i="24"/>
  <c r="P21" i="24"/>
  <c r="O21" i="24"/>
  <c r="M21" i="24"/>
  <c r="H21" i="24"/>
  <c r="C21" i="24"/>
  <c r="AD20" i="24"/>
  <c r="J20" i="24" s="1"/>
  <c r="I20" i="24" s="1"/>
  <c r="AB20" i="24"/>
  <c r="Y20" i="24"/>
  <c r="X20" i="24"/>
  <c r="Q20" i="24"/>
  <c r="P20" i="24"/>
  <c r="O20" i="24"/>
  <c r="M20" i="24"/>
  <c r="K20" i="24"/>
  <c r="H20" i="24"/>
  <c r="C20" i="24"/>
  <c r="AD19" i="24"/>
  <c r="J19" i="24" s="1"/>
  <c r="K19" i="24" s="1"/>
  <c r="AB19" i="24"/>
  <c r="Y19" i="24"/>
  <c r="X19" i="24"/>
  <c r="Q19" i="24"/>
  <c r="P19" i="24"/>
  <c r="O19" i="24"/>
  <c r="M19" i="24"/>
  <c r="I19" i="24"/>
  <c r="H19" i="24"/>
  <c r="C19" i="24"/>
  <c r="AB18" i="24"/>
  <c r="AD18" i="24" s="1"/>
  <c r="J18" i="24" s="1"/>
  <c r="Y18" i="24"/>
  <c r="X18" i="24"/>
  <c r="P18" i="24"/>
  <c r="O18" i="24"/>
  <c r="M18" i="24"/>
  <c r="H18" i="24"/>
  <c r="C18" i="24"/>
  <c r="AD17" i="24"/>
  <c r="J17" i="24" s="1"/>
  <c r="AB17" i="24"/>
  <c r="Y17" i="24"/>
  <c r="X17" i="24"/>
  <c r="P17" i="24"/>
  <c r="Q17" i="24" s="1"/>
  <c r="O17" i="24"/>
  <c r="M17" i="24"/>
  <c r="H17" i="24"/>
  <c r="C17" i="24"/>
  <c r="AD16" i="24"/>
  <c r="J16" i="24" s="1"/>
  <c r="AB16" i="24"/>
  <c r="Y16" i="24"/>
  <c r="X16" i="24"/>
  <c r="Q16" i="24"/>
  <c r="P16" i="24"/>
  <c r="O16" i="24"/>
  <c r="M16" i="24"/>
  <c r="H16" i="24"/>
  <c r="C16" i="24"/>
  <c r="AD15" i="24"/>
  <c r="J15" i="24" s="1"/>
  <c r="AB15" i="24"/>
  <c r="Y15" i="24"/>
  <c r="X15" i="24"/>
  <c r="P15" i="24"/>
  <c r="O15" i="24"/>
  <c r="Q15" i="24" s="1"/>
  <c r="M15" i="24"/>
  <c r="H15" i="24"/>
  <c r="C15" i="24"/>
  <c r="AB14" i="24"/>
  <c r="AD14" i="24" s="1"/>
  <c r="Y14" i="24"/>
  <c r="X14" i="24"/>
  <c r="P14" i="24"/>
  <c r="O14" i="24"/>
  <c r="Q14" i="24" s="1"/>
  <c r="M14" i="24"/>
  <c r="J14" i="24"/>
  <c r="K14" i="24" s="1"/>
  <c r="H14" i="24"/>
  <c r="C14" i="24"/>
  <c r="AB13" i="24"/>
  <c r="AD13" i="24" s="1"/>
  <c r="J13" i="24" s="1"/>
  <c r="Y13" i="24"/>
  <c r="X13" i="24"/>
  <c r="Q13" i="24"/>
  <c r="P13" i="24"/>
  <c r="O13" i="24"/>
  <c r="M13" i="24"/>
  <c r="H13" i="24"/>
  <c r="C13" i="24"/>
  <c r="AD12" i="24"/>
  <c r="J12" i="24" s="1"/>
  <c r="I12" i="24" s="1"/>
  <c r="AB12" i="24"/>
  <c r="Y12" i="24"/>
  <c r="X12" i="24"/>
  <c r="Q12" i="24"/>
  <c r="P12" i="24"/>
  <c r="O12" i="24"/>
  <c r="M12" i="24"/>
  <c r="K12" i="24"/>
  <c r="H12" i="24"/>
  <c r="C12" i="24"/>
  <c r="AD11" i="24"/>
  <c r="J11" i="24" s="1"/>
  <c r="K11" i="24" s="1"/>
  <c r="AB11" i="24"/>
  <c r="Y11" i="24"/>
  <c r="X11" i="24"/>
  <c r="Q11" i="24"/>
  <c r="P11" i="24"/>
  <c r="O11" i="24"/>
  <c r="M11" i="24"/>
  <c r="I11" i="24"/>
  <c r="H11" i="24"/>
  <c r="C11" i="24"/>
  <c r="AB10" i="24"/>
  <c r="AD10" i="24" s="1"/>
  <c r="J10" i="24" s="1"/>
  <c r="Y10" i="24"/>
  <c r="X10" i="24"/>
  <c r="P10" i="24"/>
  <c r="O10" i="24"/>
  <c r="Q10" i="24" s="1"/>
  <c r="M10" i="24"/>
  <c r="H10" i="24"/>
  <c r="C10" i="24"/>
  <c r="AB9" i="24"/>
  <c r="AD9" i="24" s="1"/>
  <c r="J9" i="24" s="1"/>
  <c r="Y9" i="24"/>
  <c r="X9" i="24"/>
  <c r="P9" i="24"/>
  <c r="Q9" i="24" s="1"/>
  <c r="O9" i="24"/>
  <c r="M9" i="24"/>
  <c r="H9" i="24"/>
  <c r="C9" i="24"/>
  <c r="AD8" i="24"/>
  <c r="J8" i="24" s="1"/>
  <c r="AB8" i="24"/>
  <c r="Y8" i="24"/>
  <c r="X8" i="24"/>
  <c r="Q8" i="24"/>
  <c r="P8" i="24"/>
  <c r="O8" i="24"/>
  <c r="M8" i="24"/>
  <c r="H8" i="24"/>
  <c r="C8" i="24"/>
  <c r="AD7" i="24"/>
  <c r="J7" i="24" s="1"/>
  <c r="AB7" i="24"/>
  <c r="Y7" i="24"/>
  <c r="X7" i="24"/>
  <c r="P7" i="24"/>
  <c r="O7" i="24"/>
  <c r="Q7" i="24" s="1"/>
  <c r="M7" i="24"/>
  <c r="H7" i="24"/>
  <c r="C7" i="24"/>
  <c r="AB6" i="24"/>
  <c r="AD6" i="24" s="1"/>
  <c r="Y6" i="24"/>
  <c r="X6" i="24"/>
  <c r="P6" i="24"/>
  <c r="O6" i="24"/>
  <c r="Q6" i="24" s="1"/>
  <c r="M6" i="24"/>
  <c r="J6" i="24"/>
  <c r="H6" i="24"/>
  <c r="C6" i="24"/>
  <c r="AB5" i="24"/>
  <c r="AD5" i="24" s="1"/>
  <c r="J5" i="24" s="1"/>
  <c r="Y5" i="24"/>
  <c r="X5" i="24"/>
  <c r="P5" i="24"/>
  <c r="O5" i="24"/>
  <c r="Q5" i="24" s="1"/>
  <c r="M5" i="24"/>
  <c r="H5" i="24"/>
  <c r="C5" i="24"/>
  <c r="AD4" i="24"/>
  <c r="AB4" i="24"/>
  <c r="Y4" i="24"/>
  <c r="X4" i="24"/>
  <c r="Q4" i="24"/>
  <c r="P4" i="24"/>
  <c r="O4" i="24"/>
  <c r="M4" i="24"/>
  <c r="H4" i="24"/>
  <c r="C4" i="24"/>
  <c r="AG3" i="24"/>
  <c r="AF3" i="24"/>
  <c r="W3" i="24"/>
  <c r="X3" i="24" s="1"/>
  <c r="V3" i="24"/>
  <c r="U3" i="24"/>
  <c r="T3" i="24"/>
  <c r="O3" i="24"/>
  <c r="H3" i="24"/>
  <c r="G3" i="24"/>
  <c r="F3" i="24"/>
  <c r="D3" i="24"/>
  <c r="C3" i="24"/>
  <c r="A2" i="24"/>
  <c r="A1" i="24"/>
  <c r="AB32" i="23"/>
  <c r="AD32" i="23" s="1"/>
  <c r="J32" i="23" s="1"/>
  <c r="Y32" i="23"/>
  <c r="X32" i="23"/>
  <c r="V32" i="23"/>
  <c r="U32" i="23"/>
  <c r="T32" i="23"/>
  <c r="P32" i="23"/>
  <c r="Q32" i="23" s="1"/>
  <c r="O32" i="23"/>
  <c r="M32" i="23"/>
  <c r="H32" i="23"/>
  <c r="C32" i="23"/>
  <c r="AD31" i="23"/>
  <c r="J31" i="23" s="1"/>
  <c r="I31" i="23" s="1"/>
  <c r="AB31" i="23"/>
  <c r="Y31" i="23"/>
  <c r="X31" i="23"/>
  <c r="P31" i="23"/>
  <c r="O31" i="23"/>
  <c r="Q31" i="23" s="1"/>
  <c r="M31" i="23"/>
  <c r="K31" i="23"/>
  <c r="H31" i="23"/>
  <c r="C31" i="23"/>
  <c r="AB30" i="23"/>
  <c r="AD30" i="23" s="1"/>
  <c r="J30" i="23" s="1"/>
  <c r="Y30" i="23"/>
  <c r="X30" i="23"/>
  <c r="P30" i="23"/>
  <c r="O30" i="23"/>
  <c r="Q30" i="23" s="1"/>
  <c r="M30" i="23"/>
  <c r="H30" i="23"/>
  <c r="C30" i="23"/>
  <c r="AB29" i="23"/>
  <c r="AD29" i="23" s="1"/>
  <c r="J29" i="23" s="1"/>
  <c r="Y29" i="23"/>
  <c r="X29" i="23"/>
  <c r="Q29" i="23"/>
  <c r="P29" i="23"/>
  <c r="O29" i="23"/>
  <c r="M29" i="23"/>
  <c r="H29" i="23"/>
  <c r="C29" i="23"/>
  <c r="AD28" i="23"/>
  <c r="J28" i="23" s="1"/>
  <c r="I28" i="23" s="1"/>
  <c r="AB28" i="23"/>
  <c r="Y28" i="23"/>
  <c r="X28" i="23"/>
  <c r="Q28" i="23"/>
  <c r="P28" i="23"/>
  <c r="O28" i="23"/>
  <c r="M28" i="23"/>
  <c r="K28" i="23"/>
  <c r="H28" i="23"/>
  <c r="C28" i="23"/>
  <c r="AD27" i="23"/>
  <c r="J27" i="23" s="1"/>
  <c r="K27" i="23" s="1"/>
  <c r="AB27" i="23"/>
  <c r="Y27" i="23"/>
  <c r="X27" i="23"/>
  <c r="Q27" i="23"/>
  <c r="P27" i="23"/>
  <c r="O27" i="23"/>
  <c r="M27" i="23"/>
  <c r="I27" i="23"/>
  <c r="H27" i="23"/>
  <c r="C27" i="23"/>
  <c r="AD26" i="23"/>
  <c r="J26" i="23" s="1"/>
  <c r="K26" i="23" s="1"/>
  <c r="AB26" i="23"/>
  <c r="Y26" i="23"/>
  <c r="X26" i="23"/>
  <c r="P26" i="23"/>
  <c r="O26" i="23"/>
  <c r="Q26" i="23" s="1"/>
  <c r="M26" i="23"/>
  <c r="I26" i="23"/>
  <c r="H26" i="23"/>
  <c r="C26" i="23"/>
  <c r="AD25" i="23"/>
  <c r="AB25" i="23"/>
  <c r="Y25" i="23"/>
  <c r="X25" i="23"/>
  <c r="P25" i="23"/>
  <c r="Q25" i="23" s="1"/>
  <c r="O25" i="23"/>
  <c r="M25" i="23"/>
  <c r="K25" i="23"/>
  <c r="J25" i="23"/>
  <c r="I25" i="23" s="1"/>
  <c r="H25" i="23"/>
  <c r="C25" i="23"/>
  <c r="AD24" i="23"/>
  <c r="AB24" i="23"/>
  <c r="Y24" i="23"/>
  <c r="X24" i="23"/>
  <c r="V24" i="23"/>
  <c r="U24" i="23"/>
  <c r="T24" i="23"/>
  <c r="P24" i="23"/>
  <c r="Q24" i="23" s="1"/>
  <c r="O24" i="23"/>
  <c r="M24" i="23"/>
  <c r="J24" i="23"/>
  <c r="H24" i="23"/>
  <c r="C24" i="23"/>
  <c r="AD23" i="23"/>
  <c r="J23" i="23" s="1"/>
  <c r="I23" i="23" s="1"/>
  <c r="AB23" i="23"/>
  <c r="Y23" i="23"/>
  <c r="X23" i="23"/>
  <c r="Q23" i="23"/>
  <c r="P23" i="23"/>
  <c r="O23" i="23"/>
  <c r="M23" i="23"/>
  <c r="K23" i="23"/>
  <c r="H23" i="23"/>
  <c r="C23" i="23"/>
  <c r="AD22" i="23"/>
  <c r="J22" i="23" s="1"/>
  <c r="I22" i="23" s="1"/>
  <c r="AB22" i="23"/>
  <c r="Y22" i="23"/>
  <c r="X22" i="23"/>
  <c r="P22" i="23"/>
  <c r="O22" i="23"/>
  <c r="Q22" i="23" s="1"/>
  <c r="M22" i="23"/>
  <c r="K22" i="23"/>
  <c r="H22" i="23"/>
  <c r="C22" i="23"/>
  <c r="AB21" i="23"/>
  <c r="AD21" i="23" s="1"/>
  <c r="J21" i="23" s="1"/>
  <c r="Y21" i="23"/>
  <c r="X21" i="23"/>
  <c r="P21" i="23"/>
  <c r="O21" i="23"/>
  <c r="Q21" i="23" s="1"/>
  <c r="M21" i="23"/>
  <c r="H21" i="23"/>
  <c r="C21" i="23"/>
  <c r="AB20" i="23"/>
  <c r="AD20" i="23" s="1"/>
  <c r="Y20" i="23"/>
  <c r="X20" i="23"/>
  <c r="P20" i="23"/>
  <c r="O20" i="23"/>
  <c r="Q20" i="23" s="1"/>
  <c r="M20" i="23"/>
  <c r="J20" i="23"/>
  <c r="H20" i="23"/>
  <c r="C20" i="23"/>
  <c r="AD19" i="23"/>
  <c r="J19" i="23" s="1"/>
  <c r="AB19" i="23"/>
  <c r="Y19" i="23"/>
  <c r="X19" i="23"/>
  <c r="Q19" i="23"/>
  <c r="P19" i="23"/>
  <c r="O19" i="23"/>
  <c r="M19" i="23"/>
  <c r="H19" i="23"/>
  <c r="C19" i="23"/>
  <c r="AD18" i="23"/>
  <c r="J18" i="23" s="1"/>
  <c r="K18" i="23" s="1"/>
  <c r="AB18" i="23"/>
  <c r="Y18" i="23"/>
  <c r="X18" i="23"/>
  <c r="Q18" i="23"/>
  <c r="P18" i="23"/>
  <c r="O18" i="23"/>
  <c r="M18" i="23"/>
  <c r="I18" i="23"/>
  <c r="H18" i="23"/>
  <c r="C18" i="23"/>
  <c r="AD17" i="23"/>
  <c r="J17" i="23" s="1"/>
  <c r="K17" i="23" s="1"/>
  <c r="AB17" i="23"/>
  <c r="Y17" i="23"/>
  <c r="X17" i="23"/>
  <c r="P17" i="23"/>
  <c r="O17" i="23"/>
  <c r="M17" i="23"/>
  <c r="H17" i="23"/>
  <c r="C17" i="23"/>
  <c r="AD16" i="23"/>
  <c r="AB16" i="23"/>
  <c r="Y16" i="23"/>
  <c r="X16" i="23"/>
  <c r="P16" i="23"/>
  <c r="Q16" i="23" s="1"/>
  <c r="O16" i="23"/>
  <c r="M16" i="23"/>
  <c r="K16" i="23"/>
  <c r="J16" i="23"/>
  <c r="I16" i="23" s="1"/>
  <c r="H16" i="23"/>
  <c r="C16" i="23"/>
  <c r="AD15" i="23"/>
  <c r="J15" i="23" s="1"/>
  <c r="I15" i="23" s="1"/>
  <c r="AB15" i="23"/>
  <c r="Y15" i="23"/>
  <c r="X15" i="23"/>
  <c r="Q15" i="23"/>
  <c r="P15" i="23"/>
  <c r="O15" i="23"/>
  <c r="M15" i="23"/>
  <c r="K15" i="23"/>
  <c r="H15" i="23"/>
  <c r="C15" i="23"/>
  <c r="AD14" i="23"/>
  <c r="J14" i="23" s="1"/>
  <c r="AB14" i="23"/>
  <c r="Y14" i="23"/>
  <c r="X14" i="23"/>
  <c r="P14" i="23"/>
  <c r="O14" i="23"/>
  <c r="Q14" i="23" s="1"/>
  <c r="M14" i="23"/>
  <c r="H14" i="23"/>
  <c r="C14" i="23"/>
  <c r="AB13" i="23"/>
  <c r="AD13" i="23" s="1"/>
  <c r="Y13" i="23"/>
  <c r="X13" i="23"/>
  <c r="P13" i="23"/>
  <c r="O13" i="23"/>
  <c r="Q13" i="23" s="1"/>
  <c r="M13" i="23"/>
  <c r="J13" i="23"/>
  <c r="K13" i="23" s="1"/>
  <c r="I13" i="23"/>
  <c r="H13" i="23"/>
  <c r="C13" i="23"/>
  <c r="AB12" i="23"/>
  <c r="AD12" i="23" s="1"/>
  <c r="Y12" i="23"/>
  <c r="X12" i="23"/>
  <c r="P12" i="23"/>
  <c r="O12" i="23"/>
  <c r="Q12" i="23" s="1"/>
  <c r="M12" i="23"/>
  <c r="J12" i="23"/>
  <c r="H12" i="23"/>
  <c r="C12" i="23"/>
  <c r="AB11" i="23"/>
  <c r="AD11" i="23" s="1"/>
  <c r="J11" i="23" s="1"/>
  <c r="Y11" i="23"/>
  <c r="X11" i="23"/>
  <c r="Q11" i="23"/>
  <c r="P11" i="23"/>
  <c r="O11" i="23"/>
  <c r="M11" i="23"/>
  <c r="H11" i="23"/>
  <c r="C11" i="23"/>
  <c r="AD10" i="23"/>
  <c r="J10" i="23" s="1"/>
  <c r="K10" i="23" s="1"/>
  <c r="AB10" i="23"/>
  <c r="Y10" i="23"/>
  <c r="X10" i="23"/>
  <c r="Q10" i="23"/>
  <c r="P10" i="23"/>
  <c r="O10" i="23"/>
  <c r="M10" i="23"/>
  <c r="I10" i="23"/>
  <c r="H10" i="23"/>
  <c r="C10" i="23"/>
  <c r="AD9" i="23"/>
  <c r="J9" i="23" s="1"/>
  <c r="K9" i="23" s="1"/>
  <c r="AB9" i="23"/>
  <c r="Y9" i="23"/>
  <c r="X9" i="23"/>
  <c r="P9" i="23"/>
  <c r="O9" i="23"/>
  <c r="M9" i="23"/>
  <c r="I9" i="23"/>
  <c r="H9" i="23"/>
  <c r="C9" i="23"/>
  <c r="AB8" i="23"/>
  <c r="AD8" i="23" s="1"/>
  <c r="J8" i="23" s="1"/>
  <c r="K8" i="23" s="1"/>
  <c r="Y8" i="23"/>
  <c r="X8" i="23"/>
  <c r="P8" i="23"/>
  <c r="Q8" i="23" s="1"/>
  <c r="O8" i="23"/>
  <c r="M8" i="23"/>
  <c r="I8" i="23"/>
  <c r="H8" i="23"/>
  <c r="C8" i="23"/>
  <c r="AD7" i="23"/>
  <c r="J7" i="23" s="1"/>
  <c r="I7" i="23" s="1"/>
  <c r="AB7" i="23"/>
  <c r="Y7" i="23"/>
  <c r="X7" i="23"/>
  <c r="P7" i="23"/>
  <c r="Q7" i="23" s="1"/>
  <c r="O7" i="23"/>
  <c r="M7" i="23"/>
  <c r="K7" i="23"/>
  <c r="H7" i="23"/>
  <c r="C7" i="23"/>
  <c r="AD6" i="23"/>
  <c r="J6" i="23" s="1"/>
  <c r="I6" i="23" s="1"/>
  <c r="AB6" i="23"/>
  <c r="Y6" i="23"/>
  <c r="X6" i="23"/>
  <c r="P6" i="23"/>
  <c r="O6" i="23"/>
  <c r="Q6" i="23" s="1"/>
  <c r="M6" i="23"/>
  <c r="K6" i="23"/>
  <c r="H6" i="23"/>
  <c r="C6" i="23"/>
  <c r="AB5" i="23"/>
  <c r="AD5" i="23" s="1"/>
  <c r="J5" i="23" s="1"/>
  <c r="Y5" i="23"/>
  <c r="X5" i="23"/>
  <c r="P5" i="23"/>
  <c r="O5" i="23"/>
  <c r="Q5" i="23" s="1"/>
  <c r="M5" i="23"/>
  <c r="H5" i="23"/>
  <c r="C5" i="23"/>
  <c r="AB4" i="23"/>
  <c r="AD4" i="23" s="1"/>
  <c r="Y4" i="23"/>
  <c r="X4" i="23"/>
  <c r="P4" i="23"/>
  <c r="O4" i="23"/>
  <c r="Q4" i="23" s="1"/>
  <c r="M4" i="23"/>
  <c r="J4" i="23"/>
  <c r="H4" i="23"/>
  <c r="C4" i="23"/>
  <c r="AG3" i="23"/>
  <c r="AF3" i="23"/>
  <c r="W3" i="23"/>
  <c r="V3" i="23"/>
  <c r="U3" i="23"/>
  <c r="T3" i="23"/>
  <c r="O3" i="23"/>
  <c r="H3" i="23"/>
  <c r="G3" i="23"/>
  <c r="F3" i="23"/>
  <c r="D3" i="23"/>
  <c r="C3" i="23"/>
  <c r="A2" i="23"/>
  <c r="A1" i="23"/>
  <c r="AB32" i="22"/>
  <c r="AD32" i="22" s="1"/>
  <c r="J32" i="22" s="1"/>
  <c r="Y32" i="22"/>
  <c r="X32" i="22"/>
  <c r="V32" i="22"/>
  <c r="U32" i="22"/>
  <c r="T32" i="22"/>
  <c r="P32" i="22"/>
  <c r="Q32" i="22" s="1"/>
  <c r="O32" i="22"/>
  <c r="M32" i="22"/>
  <c r="H32" i="22"/>
  <c r="C32" i="22"/>
  <c r="AD31" i="22"/>
  <c r="J31" i="22" s="1"/>
  <c r="I31" i="22" s="1"/>
  <c r="AB31" i="22"/>
  <c r="Y31" i="22"/>
  <c r="X31" i="22"/>
  <c r="P31" i="22"/>
  <c r="Q31" i="22" s="1"/>
  <c r="O31" i="22"/>
  <c r="M31" i="22"/>
  <c r="K31" i="22"/>
  <c r="H31" i="22"/>
  <c r="C31" i="22"/>
  <c r="AD30" i="22"/>
  <c r="AB30" i="22"/>
  <c r="Y30" i="22"/>
  <c r="X30" i="22"/>
  <c r="P30" i="22"/>
  <c r="O30" i="22"/>
  <c r="Q30" i="22" s="1"/>
  <c r="M30" i="22"/>
  <c r="K30" i="22"/>
  <c r="J30" i="22"/>
  <c r="I30" i="22" s="1"/>
  <c r="H30" i="22"/>
  <c r="C30" i="22"/>
  <c r="AB29" i="22"/>
  <c r="AD29" i="22" s="1"/>
  <c r="J29" i="22" s="1"/>
  <c r="Y29" i="22"/>
  <c r="X29" i="22"/>
  <c r="Q29" i="22"/>
  <c r="P29" i="22"/>
  <c r="O29" i="22"/>
  <c r="M29" i="22"/>
  <c r="H29" i="22"/>
  <c r="C29" i="22"/>
  <c r="AB28" i="22"/>
  <c r="AD28" i="22" s="1"/>
  <c r="J28" i="22" s="1"/>
  <c r="Y28" i="22"/>
  <c r="X28" i="22"/>
  <c r="P28" i="22"/>
  <c r="O28" i="22"/>
  <c r="Q28" i="22" s="1"/>
  <c r="M28" i="22"/>
  <c r="H28" i="22"/>
  <c r="C28" i="22"/>
  <c r="AD27" i="22"/>
  <c r="J27" i="22" s="1"/>
  <c r="AB27" i="22"/>
  <c r="Y27" i="22"/>
  <c r="X27" i="22"/>
  <c r="Q27" i="22"/>
  <c r="P27" i="22"/>
  <c r="O27" i="22"/>
  <c r="M27" i="22"/>
  <c r="H27" i="22"/>
  <c r="C27" i="22"/>
  <c r="AD26" i="22"/>
  <c r="J26" i="22" s="1"/>
  <c r="K26" i="22" s="1"/>
  <c r="AB26" i="22"/>
  <c r="Y26" i="22"/>
  <c r="X26" i="22"/>
  <c r="P26" i="22"/>
  <c r="Q26" i="22" s="1"/>
  <c r="O26" i="22"/>
  <c r="M26" i="22"/>
  <c r="I26" i="22"/>
  <c r="H26" i="22"/>
  <c r="C26" i="22"/>
  <c r="AD25" i="22"/>
  <c r="J25" i="22" s="1"/>
  <c r="AB25" i="22"/>
  <c r="Y25" i="22"/>
  <c r="X25" i="22"/>
  <c r="P25" i="22"/>
  <c r="O25" i="22"/>
  <c r="M25" i="22"/>
  <c r="K25" i="22"/>
  <c r="I25" i="22"/>
  <c r="H25" i="22"/>
  <c r="C25" i="22"/>
  <c r="AD24" i="22"/>
  <c r="J24" i="22" s="1"/>
  <c r="AB24" i="22"/>
  <c r="Y24" i="22"/>
  <c r="X24" i="22"/>
  <c r="V24" i="22"/>
  <c r="U24" i="22"/>
  <c r="T24" i="22"/>
  <c r="P24" i="22"/>
  <c r="O24" i="22"/>
  <c r="Q24" i="22" s="1"/>
  <c r="M24" i="22"/>
  <c r="H24" i="22"/>
  <c r="C24" i="22"/>
  <c r="AB23" i="22"/>
  <c r="AD23" i="22" s="1"/>
  <c r="J23" i="22" s="1"/>
  <c r="K23" i="22" s="1"/>
  <c r="Y23" i="22"/>
  <c r="X23" i="22"/>
  <c r="Q23" i="22"/>
  <c r="P23" i="22"/>
  <c r="O23" i="22"/>
  <c r="M23" i="22"/>
  <c r="I23" i="22"/>
  <c r="H23" i="22"/>
  <c r="C23" i="22"/>
  <c r="AD22" i="22"/>
  <c r="J22" i="22" s="1"/>
  <c r="I22" i="22" s="1"/>
  <c r="AB22" i="22"/>
  <c r="Y22" i="22"/>
  <c r="X22" i="22"/>
  <c r="P22" i="22"/>
  <c r="Q22" i="22" s="1"/>
  <c r="O22" i="22"/>
  <c r="M22" i="22"/>
  <c r="K22" i="22"/>
  <c r="H22" i="22"/>
  <c r="C22" i="22"/>
  <c r="AB21" i="22"/>
  <c r="AD21" i="22" s="1"/>
  <c r="J21" i="22" s="1"/>
  <c r="K21" i="22" s="1"/>
  <c r="Y21" i="22"/>
  <c r="X21" i="22"/>
  <c r="P21" i="22"/>
  <c r="O21" i="22"/>
  <c r="Q21" i="22" s="1"/>
  <c r="M21" i="22"/>
  <c r="H21" i="22"/>
  <c r="C21" i="22"/>
  <c r="AB20" i="22"/>
  <c r="AD20" i="22" s="1"/>
  <c r="J20" i="22" s="1"/>
  <c r="K20" i="22" s="1"/>
  <c r="Y20" i="22"/>
  <c r="X20" i="22"/>
  <c r="P20" i="22"/>
  <c r="O20" i="22"/>
  <c r="Q20" i="22" s="1"/>
  <c r="M20" i="22"/>
  <c r="H20" i="22"/>
  <c r="C20" i="22"/>
  <c r="AB19" i="22"/>
  <c r="AD19" i="22" s="1"/>
  <c r="J19" i="22" s="1"/>
  <c r="Y19" i="22"/>
  <c r="X19" i="22"/>
  <c r="P19" i="22"/>
  <c r="O19" i="22"/>
  <c r="M19" i="22"/>
  <c r="H19" i="22"/>
  <c r="C19" i="22"/>
  <c r="AB18" i="22"/>
  <c r="AD18" i="22" s="1"/>
  <c r="J18" i="22" s="1"/>
  <c r="Y18" i="22"/>
  <c r="X18" i="22"/>
  <c r="Q18" i="22"/>
  <c r="P18" i="22"/>
  <c r="O18" i="22"/>
  <c r="M18" i="22"/>
  <c r="H18" i="22"/>
  <c r="C18" i="22"/>
  <c r="AD17" i="22"/>
  <c r="J17" i="22" s="1"/>
  <c r="K17" i="22" s="1"/>
  <c r="AB17" i="22"/>
  <c r="Y17" i="22"/>
  <c r="X17" i="22"/>
  <c r="Q17" i="22"/>
  <c r="P17" i="22"/>
  <c r="O17" i="22"/>
  <c r="M17" i="22"/>
  <c r="I17" i="22"/>
  <c r="H17" i="22"/>
  <c r="C17" i="22"/>
  <c r="AB16" i="22"/>
  <c r="AD16" i="22" s="1"/>
  <c r="J16" i="22" s="1"/>
  <c r="Y16" i="22"/>
  <c r="X16" i="22"/>
  <c r="P16" i="22"/>
  <c r="O16" i="22"/>
  <c r="Q16" i="22" s="1"/>
  <c r="M16" i="22"/>
  <c r="K16" i="22"/>
  <c r="I16" i="22"/>
  <c r="H16" i="22"/>
  <c r="C16" i="22"/>
  <c r="AB15" i="22"/>
  <c r="AD15" i="22" s="1"/>
  <c r="J15" i="22" s="1"/>
  <c r="K15" i="22" s="1"/>
  <c r="Y15" i="22"/>
  <c r="X15" i="22"/>
  <c r="P15" i="22"/>
  <c r="O15" i="22"/>
  <c r="M15" i="22"/>
  <c r="H15" i="22"/>
  <c r="C15" i="22"/>
  <c r="AD14" i="22"/>
  <c r="J14" i="22" s="1"/>
  <c r="AB14" i="22"/>
  <c r="Y14" i="22"/>
  <c r="X14" i="22"/>
  <c r="P14" i="22"/>
  <c r="O14" i="22"/>
  <c r="M14" i="22"/>
  <c r="H14" i="22"/>
  <c r="C14" i="22"/>
  <c r="AB13" i="22"/>
  <c r="AD13" i="22" s="1"/>
  <c r="J13" i="22" s="1"/>
  <c r="K13" i="22" s="1"/>
  <c r="Y13" i="22"/>
  <c r="X13" i="22"/>
  <c r="Q13" i="22"/>
  <c r="P13" i="22"/>
  <c r="O13" i="22"/>
  <c r="M13" i="22"/>
  <c r="I13" i="22"/>
  <c r="H13" i="22"/>
  <c r="C13" i="22"/>
  <c r="AB12" i="22"/>
  <c r="AD12" i="22" s="1"/>
  <c r="Y12" i="22"/>
  <c r="X12" i="22"/>
  <c r="P12" i="22"/>
  <c r="O12" i="22"/>
  <c r="Q12" i="22" s="1"/>
  <c r="M12" i="22"/>
  <c r="J12" i="22"/>
  <c r="H12" i="22"/>
  <c r="C12" i="22"/>
  <c r="AB11" i="22"/>
  <c r="AD11" i="22" s="1"/>
  <c r="J11" i="22" s="1"/>
  <c r="Y11" i="22"/>
  <c r="X11" i="22"/>
  <c r="Q11" i="22"/>
  <c r="P11" i="22"/>
  <c r="O11" i="22"/>
  <c r="M11" i="22"/>
  <c r="H11" i="22"/>
  <c r="C11" i="22"/>
  <c r="AD10" i="22"/>
  <c r="J10" i="22" s="1"/>
  <c r="AB10" i="22"/>
  <c r="Y10" i="22"/>
  <c r="X10" i="22"/>
  <c r="P10" i="22"/>
  <c r="Q10" i="22" s="1"/>
  <c r="O10" i="22"/>
  <c r="M10" i="22"/>
  <c r="H10" i="22"/>
  <c r="C10" i="22"/>
  <c r="AD9" i="22"/>
  <c r="J9" i="22" s="1"/>
  <c r="I9" i="22" s="1"/>
  <c r="AB9" i="22"/>
  <c r="Y9" i="22"/>
  <c r="X9" i="22"/>
  <c r="P9" i="22"/>
  <c r="O9" i="22"/>
  <c r="Q9" i="22" s="1"/>
  <c r="M9" i="22"/>
  <c r="K9" i="22"/>
  <c r="H9" i="22"/>
  <c r="C9" i="22"/>
  <c r="AD8" i="22"/>
  <c r="AB8" i="22"/>
  <c r="Y8" i="22"/>
  <c r="X8" i="22"/>
  <c r="P8" i="22"/>
  <c r="O8" i="22"/>
  <c r="M8" i="22"/>
  <c r="K8" i="22"/>
  <c r="J8" i="22"/>
  <c r="I8" i="22" s="1"/>
  <c r="H8" i="22"/>
  <c r="C8" i="22"/>
  <c r="AD7" i="22"/>
  <c r="J7" i="22" s="1"/>
  <c r="K7" i="22" s="1"/>
  <c r="AB7" i="22"/>
  <c r="Y7" i="22"/>
  <c r="X7" i="22"/>
  <c r="P7" i="22"/>
  <c r="O7" i="22"/>
  <c r="Q7" i="22" s="1"/>
  <c r="M7" i="22"/>
  <c r="H7" i="22"/>
  <c r="C7" i="22"/>
  <c r="AB6" i="22"/>
  <c r="AD6" i="22" s="1"/>
  <c r="J6" i="22" s="1"/>
  <c r="Y6" i="22"/>
  <c r="X6" i="22"/>
  <c r="P6" i="22"/>
  <c r="O6" i="22"/>
  <c r="M6" i="22"/>
  <c r="H6" i="22"/>
  <c r="C6" i="22"/>
  <c r="AB5" i="22"/>
  <c r="AD5" i="22" s="1"/>
  <c r="Y5" i="22"/>
  <c r="X5" i="22"/>
  <c r="P5" i="22"/>
  <c r="O5" i="22"/>
  <c r="Q5" i="22" s="1"/>
  <c r="M5" i="22"/>
  <c r="J5" i="22"/>
  <c r="H5" i="22"/>
  <c r="C5" i="22"/>
  <c r="AB4" i="22"/>
  <c r="AD4" i="22" s="1"/>
  <c r="Y4" i="22"/>
  <c r="X4" i="22"/>
  <c r="Q4" i="22"/>
  <c r="P4" i="22"/>
  <c r="O4" i="22"/>
  <c r="M4" i="22"/>
  <c r="J4" i="22"/>
  <c r="I4" i="22" s="1"/>
  <c r="H4" i="22"/>
  <c r="C4" i="22"/>
  <c r="AG3" i="22"/>
  <c r="AF3" i="22"/>
  <c r="W3" i="22"/>
  <c r="V3" i="22"/>
  <c r="U3" i="22"/>
  <c r="T3" i="22"/>
  <c r="O3" i="22"/>
  <c r="G3" i="22"/>
  <c r="H3" i="22" s="1"/>
  <c r="F3" i="22"/>
  <c r="D3" i="22"/>
  <c r="C3" i="22"/>
  <c r="A2" i="22"/>
  <c r="A1" i="22"/>
  <c r="AB32" i="21"/>
  <c r="AD32" i="21" s="1"/>
  <c r="J32" i="21" s="1"/>
  <c r="I32" i="21" s="1"/>
  <c r="Y32" i="21"/>
  <c r="X32" i="21"/>
  <c r="V32" i="21"/>
  <c r="U32" i="21"/>
  <c r="T32" i="21"/>
  <c r="P32" i="21"/>
  <c r="O32" i="21"/>
  <c r="M32" i="21"/>
  <c r="K32" i="21"/>
  <c r="H32" i="21"/>
  <c r="C32" i="21"/>
  <c r="AD31" i="21"/>
  <c r="J31" i="21" s="1"/>
  <c r="I31" i="21" s="1"/>
  <c r="AB31" i="21"/>
  <c r="Y31" i="21"/>
  <c r="X31" i="21"/>
  <c r="Q31" i="21"/>
  <c r="P31" i="21"/>
  <c r="O31" i="21"/>
  <c r="M31" i="21"/>
  <c r="K31" i="21"/>
  <c r="H31" i="21"/>
  <c r="C31" i="21"/>
  <c r="AD30" i="21"/>
  <c r="J30" i="21" s="1"/>
  <c r="AB30" i="21"/>
  <c r="Y30" i="21"/>
  <c r="X30" i="21"/>
  <c r="Q30" i="21"/>
  <c r="P30" i="21"/>
  <c r="O30" i="21"/>
  <c r="M30" i="21"/>
  <c r="H30" i="21"/>
  <c r="C30" i="21"/>
  <c r="AB29" i="21"/>
  <c r="AD29" i="21" s="1"/>
  <c r="J29" i="21" s="1"/>
  <c r="Y29" i="21"/>
  <c r="X29" i="21"/>
  <c r="P29" i="21"/>
  <c r="O29" i="21"/>
  <c r="Q29" i="21" s="1"/>
  <c r="M29" i="21"/>
  <c r="H29" i="21"/>
  <c r="C29" i="21"/>
  <c r="AB28" i="21"/>
  <c r="AD28" i="21" s="1"/>
  <c r="J28" i="21" s="1"/>
  <c r="Y28" i="21"/>
  <c r="X28" i="21"/>
  <c r="Q28" i="21"/>
  <c r="P28" i="21"/>
  <c r="O28" i="21"/>
  <c r="M28" i="21"/>
  <c r="H28" i="21"/>
  <c r="C28" i="21"/>
  <c r="AD27" i="21"/>
  <c r="J27" i="21" s="1"/>
  <c r="AB27" i="21"/>
  <c r="Y27" i="21"/>
  <c r="X27" i="21"/>
  <c r="P27" i="21"/>
  <c r="Q27" i="21" s="1"/>
  <c r="O27" i="21"/>
  <c r="M27" i="21"/>
  <c r="H27" i="21"/>
  <c r="C27" i="21"/>
  <c r="AD26" i="21"/>
  <c r="J26" i="21" s="1"/>
  <c r="K26" i="21" s="1"/>
  <c r="AB26" i="21"/>
  <c r="Y26" i="21"/>
  <c r="X26" i="21"/>
  <c r="P26" i="21"/>
  <c r="O26" i="21"/>
  <c r="Q26" i="21" s="1"/>
  <c r="M26" i="21"/>
  <c r="I26" i="21"/>
  <c r="H26" i="21"/>
  <c r="C26" i="21"/>
  <c r="AB25" i="21"/>
  <c r="AD25" i="21" s="1"/>
  <c r="J25" i="21" s="1"/>
  <c r="Y25" i="21"/>
  <c r="X25" i="21"/>
  <c r="P25" i="21"/>
  <c r="O25" i="21"/>
  <c r="M25" i="21"/>
  <c r="H25" i="21"/>
  <c r="C25" i="21"/>
  <c r="AD24" i="21"/>
  <c r="J24" i="21" s="1"/>
  <c r="AB24" i="21"/>
  <c r="Y24" i="21"/>
  <c r="X24" i="21"/>
  <c r="V24" i="21"/>
  <c r="U24" i="21"/>
  <c r="T24" i="21"/>
  <c r="P24" i="21"/>
  <c r="O24" i="21"/>
  <c r="Q24" i="21" s="1"/>
  <c r="M24" i="21"/>
  <c r="H24" i="21"/>
  <c r="C24" i="21"/>
  <c r="AD23" i="21"/>
  <c r="J23" i="21" s="1"/>
  <c r="I23" i="21" s="1"/>
  <c r="AB23" i="21"/>
  <c r="Y23" i="21"/>
  <c r="X23" i="21"/>
  <c r="P23" i="21"/>
  <c r="O23" i="21"/>
  <c r="M23" i="21"/>
  <c r="H23" i="21"/>
  <c r="C23" i="21"/>
  <c r="AB22" i="21"/>
  <c r="AD22" i="21" s="1"/>
  <c r="J22" i="21" s="1"/>
  <c r="Y22" i="21"/>
  <c r="X22" i="21"/>
  <c r="Q22" i="21"/>
  <c r="P22" i="21"/>
  <c r="O22" i="21"/>
  <c r="M22" i="21"/>
  <c r="H22" i="21"/>
  <c r="C22" i="21"/>
  <c r="AD21" i="21"/>
  <c r="J21" i="21" s="1"/>
  <c r="AB21" i="21"/>
  <c r="Y21" i="21"/>
  <c r="X21" i="21"/>
  <c r="Q21" i="21"/>
  <c r="P21" i="21"/>
  <c r="O21" i="21"/>
  <c r="M21" i="21"/>
  <c r="H21" i="21"/>
  <c r="C21" i="21"/>
  <c r="AB20" i="21"/>
  <c r="AD20" i="21" s="1"/>
  <c r="J20" i="21" s="1"/>
  <c r="Y20" i="21"/>
  <c r="X20" i="21"/>
  <c r="P20" i="21"/>
  <c r="O20" i="21"/>
  <c r="Q20" i="21" s="1"/>
  <c r="M20" i="21"/>
  <c r="H20" i="21"/>
  <c r="C20" i="21"/>
  <c r="AB19" i="21"/>
  <c r="AD19" i="21" s="1"/>
  <c r="J19" i="21" s="1"/>
  <c r="K19" i="21" s="1"/>
  <c r="Y19" i="21"/>
  <c r="X19" i="21"/>
  <c r="Q19" i="21"/>
  <c r="P19" i="21"/>
  <c r="O19" i="21"/>
  <c r="M19" i="21"/>
  <c r="I19" i="21"/>
  <c r="H19" i="21"/>
  <c r="C19" i="21"/>
  <c r="AD18" i="21"/>
  <c r="J18" i="21" s="1"/>
  <c r="AB18" i="21"/>
  <c r="Y18" i="21"/>
  <c r="X18" i="21"/>
  <c r="P18" i="21"/>
  <c r="Q18" i="21" s="1"/>
  <c r="O18" i="21"/>
  <c r="M18" i="21"/>
  <c r="H18" i="21"/>
  <c r="C18" i="21"/>
  <c r="AD17" i="21"/>
  <c r="J17" i="21" s="1"/>
  <c r="AB17" i="21"/>
  <c r="Y17" i="21"/>
  <c r="X17" i="21"/>
  <c r="P17" i="21"/>
  <c r="O17" i="21"/>
  <c r="Q17" i="21" s="1"/>
  <c r="M17" i="21"/>
  <c r="K17" i="21"/>
  <c r="I17" i="21"/>
  <c r="H17" i="21"/>
  <c r="C17" i="21"/>
  <c r="AB16" i="21"/>
  <c r="AD16" i="21" s="1"/>
  <c r="J16" i="21" s="1"/>
  <c r="Y16" i="21"/>
  <c r="X16" i="21"/>
  <c r="P16" i="21"/>
  <c r="O16" i="21"/>
  <c r="M16" i="21"/>
  <c r="H16" i="21"/>
  <c r="C16" i="21"/>
  <c r="AD15" i="21"/>
  <c r="J15" i="21" s="1"/>
  <c r="I15" i="21" s="1"/>
  <c r="AB15" i="21"/>
  <c r="Y15" i="21"/>
  <c r="X15" i="21"/>
  <c r="P15" i="21"/>
  <c r="O15" i="21"/>
  <c r="Q15" i="21" s="1"/>
  <c r="M15" i="21"/>
  <c r="H15" i="21"/>
  <c r="C15" i="21"/>
  <c r="AD14" i="21"/>
  <c r="J14" i="21" s="1"/>
  <c r="AB14" i="21"/>
  <c r="Y14" i="21"/>
  <c r="X14" i="21"/>
  <c r="Q14" i="21"/>
  <c r="P14" i="21"/>
  <c r="O14" i="21"/>
  <c r="M14" i="21"/>
  <c r="H14" i="21"/>
  <c r="C14" i="21"/>
  <c r="AD13" i="21"/>
  <c r="J13" i="21" s="1"/>
  <c r="AB13" i="21"/>
  <c r="Y13" i="21"/>
  <c r="X13" i="21"/>
  <c r="Q13" i="21"/>
  <c r="P13" i="21"/>
  <c r="O13" i="21"/>
  <c r="M13" i="21"/>
  <c r="H13" i="21"/>
  <c r="C13" i="21"/>
  <c r="AB12" i="21"/>
  <c r="AD12" i="21" s="1"/>
  <c r="J12" i="21" s="1"/>
  <c r="Y12" i="21"/>
  <c r="X12" i="21"/>
  <c r="P12" i="21"/>
  <c r="O12" i="21"/>
  <c r="Q12" i="21" s="1"/>
  <c r="M12" i="21"/>
  <c r="H12" i="21"/>
  <c r="C12" i="21"/>
  <c r="AB11" i="21"/>
  <c r="AD11" i="21" s="1"/>
  <c r="Y11" i="21"/>
  <c r="X11" i="21"/>
  <c r="P11" i="21"/>
  <c r="Q11" i="21" s="1"/>
  <c r="O11" i="21"/>
  <c r="M11" i="21"/>
  <c r="J11" i="21"/>
  <c r="K11" i="21" s="1"/>
  <c r="I11" i="21"/>
  <c r="H11" i="21"/>
  <c r="C11" i="21"/>
  <c r="AD10" i="21"/>
  <c r="J10" i="21" s="1"/>
  <c r="I10" i="21" s="1"/>
  <c r="AB10" i="21"/>
  <c r="Y10" i="21"/>
  <c r="X10" i="21"/>
  <c r="P10" i="21"/>
  <c r="Q10" i="21" s="1"/>
  <c r="O10" i="21"/>
  <c r="M10" i="21"/>
  <c r="K10" i="21"/>
  <c r="H10" i="21"/>
  <c r="C10" i="21"/>
  <c r="AD9" i="21"/>
  <c r="J9" i="21" s="1"/>
  <c r="K9" i="21" s="1"/>
  <c r="AB9" i="21"/>
  <c r="Y9" i="21"/>
  <c r="X9" i="21"/>
  <c r="P9" i="21"/>
  <c r="O9" i="21"/>
  <c r="Q9" i="21" s="1"/>
  <c r="M9" i="21"/>
  <c r="I9" i="21"/>
  <c r="H9" i="21"/>
  <c r="C9" i="21"/>
  <c r="AB8" i="21"/>
  <c r="AD8" i="21" s="1"/>
  <c r="J8" i="21" s="1"/>
  <c r="K8" i="21" s="1"/>
  <c r="Y8" i="21"/>
  <c r="X8" i="21"/>
  <c r="P8" i="21"/>
  <c r="O8" i="21"/>
  <c r="Q8" i="21" s="1"/>
  <c r="M8" i="21"/>
  <c r="I8" i="21"/>
  <c r="H8" i="21"/>
  <c r="C8" i="21"/>
  <c r="AD7" i="21"/>
  <c r="AB7" i="21"/>
  <c r="Y7" i="21"/>
  <c r="X7" i="21"/>
  <c r="P7" i="21"/>
  <c r="O7" i="21"/>
  <c r="M7" i="21"/>
  <c r="K7" i="21"/>
  <c r="J7" i="21"/>
  <c r="I7" i="21" s="1"/>
  <c r="H7" i="21"/>
  <c r="C7" i="21"/>
  <c r="AB6" i="21"/>
  <c r="AD6" i="21" s="1"/>
  <c r="Y6" i="21"/>
  <c r="X6" i="21"/>
  <c r="Q6" i="21"/>
  <c r="P6" i="21"/>
  <c r="O6" i="21"/>
  <c r="M6" i="21"/>
  <c r="H6" i="21"/>
  <c r="C6" i="21"/>
  <c r="AD5" i="21"/>
  <c r="J5" i="21" s="1"/>
  <c r="AB5" i="21"/>
  <c r="Y5" i="21"/>
  <c r="X5" i="21"/>
  <c r="P5" i="21"/>
  <c r="O5" i="21"/>
  <c r="Q5" i="21" s="1"/>
  <c r="M5" i="21"/>
  <c r="H5" i="21"/>
  <c r="C5" i="21"/>
  <c r="AB4" i="21"/>
  <c r="AD4" i="21" s="1"/>
  <c r="Y4" i="21"/>
  <c r="X4" i="21"/>
  <c r="P4" i="21"/>
  <c r="O4" i="21"/>
  <c r="Q4" i="21" s="1"/>
  <c r="M4" i="21"/>
  <c r="J4" i="21"/>
  <c r="K4" i="21" s="1"/>
  <c r="H4" i="21"/>
  <c r="C4" i="21"/>
  <c r="AG3" i="21"/>
  <c r="AF3" i="21"/>
  <c r="W3" i="21"/>
  <c r="X3" i="21" s="1"/>
  <c r="V3" i="21"/>
  <c r="U3" i="21"/>
  <c r="T3" i="21"/>
  <c r="O3" i="21"/>
  <c r="G3" i="21"/>
  <c r="H3" i="21" s="1"/>
  <c r="F3" i="21"/>
  <c r="D3" i="21"/>
  <c r="C3" i="21"/>
  <c r="A2" i="21"/>
  <c r="A1" i="21"/>
  <c r="AB32" i="20"/>
  <c r="AD32" i="20" s="1"/>
  <c r="J32" i="20" s="1"/>
  <c r="Y32" i="20"/>
  <c r="X32" i="20"/>
  <c r="V32" i="20"/>
  <c r="U32" i="20"/>
  <c r="T32" i="20"/>
  <c r="P32" i="20"/>
  <c r="O32" i="20"/>
  <c r="Q32" i="20" s="1"/>
  <c r="M32" i="20"/>
  <c r="H32" i="20"/>
  <c r="C32" i="20"/>
  <c r="AB31" i="20"/>
  <c r="AD31" i="20" s="1"/>
  <c r="J31" i="20" s="1"/>
  <c r="Y31" i="20"/>
  <c r="X31" i="20"/>
  <c r="P31" i="20"/>
  <c r="O31" i="20"/>
  <c r="M31" i="20"/>
  <c r="H31" i="20"/>
  <c r="C31" i="20"/>
  <c r="AD30" i="20"/>
  <c r="J30" i="20" s="1"/>
  <c r="I30" i="20" s="1"/>
  <c r="AB30" i="20"/>
  <c r="Y30" i="20"/>
  <c r="X30" i="20"/>
  <c r="Q30" i="20"/>
  <c r="P30" i="20"/>
  <c r="O30" i="20"/>
  <c r="M30" i="20"/>
  <c r="K30" i="20"/>
  <c r="H30" i="20"/>
  <c r="C30" i="20"/>
  <c r="AD29" i="20"/>
  <c r="J29" i="20" s="1"/>
  <c r="AB29" i="20"/>
  <c r="Y29" i="20"/>
  <c r="X29" i="20"/>
  <c r="Q29" i="20"/>
  <c r="P29" i="20"/>
  <c r="O29" i="20"/>
  <c r="M29" i="20"/>
  <c r="H29" i="20"/>
  <c r="C29" i="20"/>
  <c r="AB28" i="20"/>
  <c r="AD28" i="20" s="1"/>
  <c r="J28" i="20" s="1"/>
  <c r="Y28" i="20"/>
  <c r="X28" i="20"/>
  <c r="P28" i="20"/>
  <c r="O28" i="20"/>
  <c r="Q28" i="20" s="1"/>
  <c r="M28" i="20"/>
  <c r="H28" i="20"/>
  <c r="C28" i="20"/>
  <c r="AB27" i="20"/>
  <c r="AD27" i="20" s="1"/>
  <c r="J27" i="20" s="1"/>
  <c r="K27" i="20" s="1"/>
  <c r="Y27" i="20"/>
  <c r="X27" i="20"/>
  <c r="Q27" i="20"/>
  <c r="P27" i="20"/>
  <c r="O27" i="20"/>
  <c r="M27" i="20"/>
  <c r="H27" i="20"/>
  <c r="C27" i="20"/>
  <c r="AD26" i="20"/>
  <c r="J26" i="20" s="1"/>
  <c r="I26" i="20" s="1"/>
  <c r="AB26" i="20"/>
  <c r="Y26" i="20"/>
  <c r="X26" i="20"/>
  <c r="P26" i="20"/>
  <c r="Q26" i="20" s="1"/>
  <c r="O26" i="20"/>
  <c r="M26" i="20"/>
  <c r="K26" i="20"/>
  <c r="H26" i="20"/>
  <c r="C26" i="20"/>
  <c r="AD25" i="20"/>
  <c r="J25" i="20" s="1"/>
  <c r="AB25" i="20"/>
  <c r="Y25" i="20"/>
  <c r="X25" i="20"/>
  <c r="Q25" i="20"/>
  <c r="P25" i="20"/>
  <c r="O25" i="20"/>
  <c r="M25" i="20"/>
  <c r="K25" i="20"/>
  <c r="I25" i="20"/>
  <c r="H25" i="20"/>
  <c r="C25" i="20"/>
  <c r="AB24" i="20"/>
  <c r="AD24" i="20" s="1"/>
  <c r="J24" i="20" s="1"/>
  <c r="Y24" i="20"/>
  <c r="X24" i="20"/>
  <c r="V24" i="20"/>
  <c r="U24" i="20"/>
  <c r="T24" i="20"/>
  <c r="Q24" i="20"/>
  <c r="P24" i="20"/>
  <c r="O24" i="20"/>
  <c r="M24" i="20"/>
  <c r="H24" i="20"/>
  <c r="C24" i="20"/>
  <c r="AB23" i="20"/>
  <c r="AD23" i="20" s="1"/>
  <c r="J23" i="20" s="1"/>
  <c r="Y23" i="20"/>
  <c r="X23" i="20"/>
  <c r="P23" i="20"/>
  <c r="O23" i="20"/>
  <c r="M23" i="20"/>
  <c r="H23" i="20"/>
  <c r="C23" i="20"/>
  <c r="AB22" i="20"/>
  <c r="AD22" i="20" s="1"/>
  <c r="J22" i="20" s="1"/>
  <c r="Y22" i="20"/>
  <c r="X22" i="20"/>
  <c r="P22" i="20"/>
  <c r="O22" i="20"/>
  <c r="Q22" i="20" s="1"/>
  <c r="M22" i="20"/>
  <c r="H22" i="20"/>
  <c r="C22" i="20"/>
  <c r="AD21" i="20"/>
  <c r="J21" i="20" s="1"/>
  <c r="AB21" i="20"/>
  <c r="Y21" i="20"/>
  <c r="X21" i="20"/>
  <c r="Q21" i="20"/>
  <c r="P21" i="20"/>
  <c r="O21" i="20"/>
  <c r="M21" i="20"/>
  <c r="H21" i="20"/>
  <c r="C21" i="20"/>
  <c r="AD20" i="20"/>
  <c r="J20" i="20" s="1"/>
  <c r="AB20" i="20"/>
  <c r="Y20" i="20"/>
  <c r="X20" i="20"/>
  <c r="P20" i="20"/>
  <c r="O20" i="20"/>
  <c r="Q20" i="20" s="1"/>
  <c r="M20" i="20"/>
  <c r="H20" i="20"/>
  <c r="C20" i="20"/>
  <c r="AB19" i="20"/>
  <c r="AD19" i="20" s="1"/>
  <c r="J19" i="20" s="1"/>
  <c r="Y19" i="20"/>
  <c r="X19" i="20"/>
  <c r="P19" i="20"/>
  <c r="O19" i="20"/>
  <c r="Q19" i="20" s="1"/>
  <c r="M19" i="20"/>
  <c r="H19" i="20"/>
  <c r="C19" i="20"/>
  <c r="AB18" i="20"/>
  <c r="AD18" i="20" s="1"/>
  <c r="Y18" i="20"/>
  <c r="X18" i="20"/>
  <c r="P18" i="20"/>
  <c r="Q18" i="20" s="1"/>
  <c r="O18" i="20"/>
  <c r="M18" i="20"/>
  <c r="J18" i="20"/>
  <c r="K18" i="20" s="1"/>
  <c r="H18" i="20"/>
  <c r="C18" i="20"/>
  <c r="AD17" i="20"/>
  <c r="J17" i="20" s="1"/>
  <c r="I17" i="20" s="1"/>
  <c r="AB17" i="20"/>
  <c r="Y17" i="20"/>
  <c r="X17" i="20"/>
  <c r="Q17" i="20"/>
  <c r="P17" i="20"/>
  <c r="O17" i="20"/>
  <c r="M17" i="20"/>
  <c r="K17" i="20"/>
  <c r="H17" i="20"/>
  <c r="C17" i="20"/>
  <c r="AD16" i="20"/>
  <c r="J16" i="20" s="1"/>
  <c r="I16" i="20" s="1"/>
  <c r="AB16" i="20"/>
  <c r="Y16" i="20"/>
  <c r="X16" i="20"/>
  <c r="Q16" i="20"/>
  <c r="P16" i="20"/>
  <c r="O16" i="20"/>
  <c r="M16" i="20"/>
  <c r="K16" i="20"/>
  <c r="H16" i="20"/>
  <c r="C16" i="20"/>
  <c r="AB15" i="20"/>
  <c r="AD15" i="20" s="1"/>
  <c r="J15" i="20" s="1"/>
  <c r="K15" i="20" s="1"/>
  <c r="Y15" i="20"/>
  <c r="X15" i="20"/>
  <c r="P15" i="20"/>
  <c r="O15" i="20"/>
  <c r="Q15" i="20" s="1"/>
  <c r="M15" i="20"/>
  <c r="H15" i="20"/>
  <c r="C15" i="20"/>
  <c r="AB14" i="20"/>
  <c r="AD14" i="20" s="1"/>
  <c r="J14" i="20" s="1"/>
  <c r="Y14" i="20"/>
  <c r="X14" i="20"/>
  <c r="P14" i="20"/>
  <c r="O14" i="20"/>
  <c r="M14" i="20"/>
  <c r="H14" i="20"/>
  <c r="C14" i="20"/>
  <c r="AD13" i="20"/>
  <c r="J13" i="20" s="1"/>
  <c r="I13" i="20" s="1"/>
  <c r="AB13" i="20"/>
  <c r="Y13" i="20"/>
  <c r="X13" i="20"/>
  <c r="Q13" i="20"/>
  <c r="P13" i="20"/>
  <c r="O13" i="20"/>
  <c r="M13" i="20"/>
  <c r="K13" i="20"/>
  <c r="H13" i="20"/>
  <c r="C13" i="20"/>
  <c r="AD12" i="20"/>
  <c r="J12" i="20" s="1"/>
  <c r="AB12" i="20"/>
  <c r="Y12" i="20"/>
  <c r="X12" i="20"/>
  <c r="Q12" i="20"/>
  <c r="P12" i="20"/>
  <c r="O12" i="20"/>
  <c r="M12" i="20"/>
  <c r="H12" i="20"/>
  <c r="C12" i="20"/>
  <c r="AB11" i="20"/>
  <c r="AD11" i="20" s="1"/>
  <c r="J11" i="20" s="1"/>
  <c r="Y11" i="20"/>
  <c r="X11" i="20"/>
  <c r="P11" i="20"/>
  <c r="O11" i="20"/>
  <c r="Q11" i="20" s="1"/>
  <c r="M11" i="20"/>
  <c r="H11" i="20"/>
  <c r="C11" i="20"/>
  <c r="AB10" i="20"/>
  <c r="AD10" i="20" s="1"/>
  <c r="J10" i="20" s="1"/>
  <c r="Y10" i="20"/>
  <c r="X10" i="20"/>
  <c r="P10" i="20"/>
  <c r="Q10" i="20" s="1"/>
  <c r="O10" i="20"/>
  <c r="M10" i="20"/>
  <c r="H10" i="20"/>
  <c r="C10" i="20"/>
  <c r="AD9" i="20"/>
  <c r="J9" i="20" s="1"/>
  <c r="I9" i="20" s="1"/>
  <c r="AB9" i="20"/>
  <c r="Y9" i="20"/>
  <c r="X9" i="20"/>
  <c r="P9" i="20"/>
  <c r="Q9" i="20" s="1"/>
  <c r="O9" i="20"/>
  <c r="M9" i="20"/>
  <c r="K9" i="20"/>
  <c r="H9" i="20"/>
  <c r="C9" i="20"/>
  <c r="AD8" i="20"/>
  <c r="AB8" i="20"/>
  <c r="Y8" i="20"/>
  <c r="X8" i="20"/>
  <c r="Q8" i="20"/>
  <c r="P8" i="20"/>
  <c r="O8" i="20"/>
  <c r="M8" i="20"/>
  <c r="H8" i="20"/>
  <c r="C8" i="20"/>
  <c r="AB7" i="20"/>
  <c r="AD7" i="20" s="1"/>
  <c r="J7" i="20" s="1"/>
  <c r="K7" i="20" s="1"/>
  <c r="Y7" i="20"/>
  <c r="X7" i="20"/>
  <c r="P7" i="20"/>
  <c r="O7" i="20"/>
  <c r="Q7" i="20" s="1"/>
  <c r="M7" i="20"/>
  <c r="I7" i="20"/>
  <c r="H7" i="20"/>
  <c r="C7" i="20"/>
  <c r="AB6" i="20"/>
  <c r="AD6" i="20" s="1"/>
  <c r="J6" i="20" s="1"/>
  <c r="Y6" i="20"/>
  <c r="X6" i="20"/>
  <c r="P6" i="20"/>
  <c r="O6" i="20"/>
  <c r="M6" i="20"/>
  <c r="H6" i="20"/>
  <c r="C6" i="20"/>
  <c r="AD5" i="20"/>
  <c r="J5" i="20" s="1"/>
  <c r="AB5" i="20"/>
  <c r="Y5" i="20"/>
  <c r="X5" i="20"/>
  <c r="Q5" i="20"/>
  <c r="P5" i="20"/>
  <c r="O5" i="20"/>
  <c r="M5" i="20"/>
  <c r="K5" i="20"/>
  <c r="H5" i="20"/>
  <c r="C5" i="20"/>
  <c r="AD4" i="20"/>
  <c r="J4" i="20" s="1"/>
  <c r="AB4" i="20"/>
  <c r="Y4" i="20"/>
  <c r="X4" i="20"/>
  <c r="Q4" i="20"/>
  <c r="P4" i="20"/>
  <c r="O4" i="20"/>
  <c r="M4" i="20"/>
  <c r="H4" i="20"/>
  <c r="C4" i="20"/>
  <c r="AG3" i="20"/>
  <c r="AF3" i="20"/>
  <c r="W3" i="20"/>
  <c r="V3" i="20"/>
  <c r="U3" i="20"/>
  <c r="T3" i="20"/>
  <c r="O3" i="20"/>
  <c r="G3" i="20"/>
  <c r="F3" i="20"/>
  <c r="D3" i="20"/>
  <c r="X3" i="20" s="1"/>
  <c r="C3" i="20"/>
  <c r="A2" i="20"/>
  <c r="A1" i="20"/>
  <c r="AD32" i="19"/>
  <c r="J32" i="19" s="1"/>
  <c r="I32" i="19" s="1"/>
  <c r="AB32" i="19"/>
  <c r="Y32" i="19"/>
  <c r="X32" i="19"/>
  <c r="V32" i="19"/>
  <c r="U32" i="19"/>
  <c r="T32" i="19"/>
  <c r="Q32" i="19"/>
  <c r="P32" i="19"/>
  <c r="O32" i="19"/>
  <c r="M32" i="19"/>
  <c r="K32" i="19"/>
  <c r="H32" i="19"/>
  <c r="C32" i="19"/>
  <c r="AB31" i="19"/>
  <c r="AD31" i="19" s="1"/>
  <c r="J31" i="19" s="1"/>
  <c r="K31" i="19" s="1"/>
  <c r="Y31" i="19"/>
  <c r="X31" i="19"/>
  <c r="P31" i="19"/>
  <c r="O31" i="19"/>
  <c r="Q31" i="19" s="1"/>
  <c r="M31" i="19"/>
  <c r="H31" i="19"/>
  <c r="C31" i="19"/>
  <c r="AB30" i="19"/>
  <c r="AD30" i="19" s="1"/>
  <c r="J30" i="19" s="1"/>
  <c r="Y30" i="19"/>
  <c r="X30" i="19"/>
  <c r="P30" i="19"/>
  <c r="O30" i="19"/>
  <c r="M30" i="19"/>
  <c r="H30" i="19"/>
  <c r="C30" i="19"/>
  <c r="AD29" i="19"/>
  <c r="J29" i="19" s="1"/>
  <c r="I29" i="19" s="1"/>
  <c r="AB29" i="19"/>
  <c r="Y29" i="19"/>
  <c r="X29" i="19"/>
  <c r="Q29" i="19"/>
  <c r="P29" i="19"/>
  <c r="O29" i="19"/>
  <c r="M29" i="19"/>
  <c r="K29" i="19"/>
  <c r="H29" i="19"/>
  <c r="C29" i="19"/>
  <c r="AD28" i="19"/>
  <c r="J28" i="19" s="1"/>
  <c r="AB28" i="19"/>
  <c r="Y28" i="19"/>
  <c r="X28" i="19"/>
  <c r="Q28" i="19"/>
  <c r="P28" i="19"/>
  <c r="O28" i="19"/>
  <c r="M28" i="19"/>
  <c r="H28" i="19"/>
  <c r="C28" i="19"/>
  <c r="AB27" i="19"/>
  <c r="AD27" i="19" s="1"/>
  <c r="J27" i="19" s="1"/>
  <c r="Y27" i="19"/>
  <c r="X27" i="19"/>
  <c r="P27" i="19"/>
  <c r="O27" i="19"/>
  <c r="Q27" i="19" s="1"/>
  <c r="M27" i="19"/>
  <c r="H27" i="19"/>
  <c r="C27" i="19"/>
  <c r="AB26" i="19"/>
  <c r="AD26" i="19" s="1"/>
  <c r="J26" i="19" s="1"/>
  <c r="K26" i="19" s="1"/>
  <c r="Y26" i="19"/>
  <c r="X26" i="19"/>
  <c r="P26" i="19"/>
  <c r="O26" i="19"/>
  <c r="Q26" i="19" s="1"/>
  <c r="M26" i="19"/>
  <c r="I26" i="19"/>
  <c r="H26" i="19"/>
  <c r="C26" i="19"/>
  <c r="AB25" i="19"/>
  <c r="AD25" i="19" s="1"/>
  <c r="J25" i="19" s="1"/>
  <c r="Y25" i="19"/>
  <c r="X25" i="19"/>
  <c r="Q25" i="19"/>
  <c r="P25" i="19"/>
  <c r="O25" i="19"/>
  <c r="M25" i="19"/>
  <c r="H25" i="19"/>
  <c r="C25" i="19"/>
  <c r="AD24" i="19"/>
  <c r="J24" i="19" s="1"/>
  <c r="AB24" i="19"/>
  <c r="Y24" i="19"/>
  <c r="X24" i="19"/>
  <c r="V24" i="19"/>
  <c r="U24" i="19"/>
  <c r="T24" i="19"/>
  <c r="P24" i="19"/>
  <c r="Q24" i="19" s="1"/>
  <c r="O24" i="19"/>
  <c r="M24" i="19"/>
  <c r="H24" i="19"/>
  <c r="C24" i="19"/>
  <c r="AD23" i="19"/>
  <c r="J23" i="19" s="1"/>
  <c r="I23" i="19" s="1"/>
  <c r="AB23" i="19"/>
  <c r="Y23" i="19"/>
  <c r="X23" i="19"/>
  <c r="Q23" i="19"/>
  <c r="P23" i="19"/>
  <c r="O23" i="19"/>
  <c r="M23" i="19"/>
  <c r="K23" i="19"/>
  <c r="H23" i="19"/>
  <c r="C23" i="19"/>
  <c r="AB22" i="19"/>
  <c r="AD22" i="19" s="1"/>
  <c r="J22" i="19" s="1"/>
  <c r="K22" i="19" s="1"/>
  <c r="Y22" i="19"/>
  <c r="X22" i="19"/>
  <c r="P22" i="19"/>
  <c r="O22" i="19"/>
  <c r="Q22" i="19" s="1"/>
  <c r="M22" i="19"/>
  <c r="I22" i="19"/>
  <c r="H22" i="19"/>
  <c r="C22" i="19"/>
  <c r="AB21" i="19"/>
  <c r="AD21" i="19" s="1"/>
  <c r="J21" i="19" s="1"/>
  <c r="Y21" i="19"/>
  <c r="X21" i="19"/>
  <c r="P21" i="19"/>
  <c r="O21" i="19"/>
  <c r="M21" i="19"/>
  <c r="H21" i="19"/>
  <c r="C21" i="19"/>
  <c r="AD20" i="19"/>
  <c r="AB20" i="19"/>
  <c r="Y20" i="19"/>
  <c r="X20" i="19"/>
  <c r="P20" i="19"/>
  <c r="Q20" i="19" s="1"/>
  <c r="O20" i="19"/>
  <c r="M20" i="19"/>
  <c r="J20" i="19"/>
  <c r="I20" i="19" s="1"/>
  <c r="H20" i="19"/>
  <c r="C20" i="19"/>
  <c r="AD19" i="19"/>
  <c r="J19" i="19" s="1"/>
  <c r="I19" i="19" s="1"/>
  <c r="AB19" i="19"/>
  <c r="Y19" i="19"/>
  <c r="X19" i="19"/>
  <c r="Q19" i="19"/>
  <c r="P19" i="19"/>
  <c r="O19" i="19"/>
  <c r="M19" i="19"/>
  <c r="K19" i="19"/>
  <c r="H19" i="19"/>
  <c r="C19" i="19"/>
  <c r="AB18" i="19"/>
  <c r="AD18" i="19" s="1"/>
  <c r="J18" i="19" s="1"/>
  <c r="Y18" i="19"/>
  <c r="X18" i="19"/>
  <c r="P18" i="19"/>
  <c r="O18" i="19"/>
  <c r="Q18" i="19" s="1"/>
  <c r="M18" i="19"/>
  <c r="H18" i="19"/>
  <c r="C18" i="19"/>
  <c r="AD17" i="19"/>
  <c r="J17" i="19" s="1"/>
  <c r="AB17" i="19"/>
  <c r="Y17" i="19"/>
  <c r="X17" i="19"/>
  <c r="P17" i="19"/>
  <c r="O17" i="19"/>
  <c r="Q17" i="19" s="1"/>
  <c r="M17" i="19"/>
  <c r="H17" i="19"/>
  <c r="C17" i="19"/>
  <c r="AB16" i="19"/>
  <c r="AD16" i="19" s="1"/>
  <c r="J16" i="19" s="1"/>
  <c r="Y16" i="19"/>
  <c r="X16" i="19"/>
  <c r="Q16" i="19"/>
  <c r="P16" i="19"/>
  <c r="O16" i="19"/>
  <c r="M16" i="19"/>
  <c r="H16" i="19"/>
  <c r="C16" i="19"/>
  <c r="AD15" i="19"/>
  <c r="J15" i="19" s="1"/>
  <c r="AB15" i="19"/>
  <c r="Y15" i="19"/>
  <c r="X15" i="19"/>
  <c r="P15" i="19"/>
  <c r="O15" i="19"/>
  <c r="Q15" i="19" s="1"/>
  <c r="M15" i="19"/>
  <c r="H15" i="19"/>
  <c r="C15" i="19"/>
  <c r="AB14" i="19"/>
  <c r="AD14" i="19" s="1"/>
  <c r="J14" i="19" s="1"/>
  <c r="K14" i="19" s="1"/>
  <c r="Y14" i="19"/>
  <c r="X14" i="19"/>
  <c r="Q14" i="19"/>
  <c r="P14" i="19"/>
  <c r="O14" i="19"/>
  <c r="M14" i="19"/>
  <c r="H14" i="19"/>
  <c r="C14" i="19"/>
  <c r="AD13" i="19"/>
  <c r="J13" i="19" s="1"/>
  <c r="I13" i="19" s="1"/>
  <c r="AB13" i="19"/>
  <c r="Y13" i="19"/>
  <c r="X13" i="19"/>
  <c r="P13" i="19"/>
  <c r="O13" i="19"/>
  <c r="Q13" i="19" s="1"/>
  <c r="M13" i="19"/>
  <c r="K13" i="19"/>
  <c r="H13" i="19"/>
  <c r="C13" i="19"/>
  <c r="AB12" i="19"/>
  <c r="AD12" i="19" s="1"/>
  <c r="J12" i="19" s="1"/>
  <c r="Y12" i="19"/>
  <c r="X12" i="19"/>
  <c r="Q12" i="19"/>
  <c r="P12" i="19"/>
  <c r="O12" i="19"/>
  <c r="M12" i="19"/>
  <c r="H12" i="19"/>
  <c r="C12" i="19"/>
  <c r="AD11" i="19"/>
  <c r="J11" i="19" s="1"/>
  <c r="AB11" i="19"/>
  <c r="Y11" i="19"/>
  <c r="X11" i="19"/>
  <c r="P11" i="19"/>
  <c r="O11" i="19"/>
  <c r="Q11" i="19" s="1"/>
  <c r="M11" i="19"/>
  <c r="K11" i="19"/>
  <c r="I11" i="19"/>
  <c r="H11" i="19"/>
  <c r="C11" i="19"/>
  <c r="AD10" i="19"/>
  <c r="AB10" i="19"/>
  <c r="Y10" i="19"/>
  <c r="X10" i="19"/>
  <c r="P10" i="19"/>
  <c r="O10" i="19"/>
  <c r="Q10" i="19" s="1"/>
  <c r="M10" i="19"/>
  <c r="J10" i="19"/>
  <c r="K10" i="19" s="1"/>
  <c r="H10" i="19"/>
  <c r="C10" i="19"/>
  <c r="AB9" i="19"/>
  <c r="AD9" i="19" s="1"/>
  <c r="J9" i="19" s="1"/>
  <c r="K9" i="19" s="1"/>
  <c r="Y9" i="19"/>
  <c r="X9" i="19"/>
  <c r="P9" i="19"/>
  <c r="O9" i="19"/>
  <c r="Q9" i="19" s="1"/>
  <c r="M9" i="19"/>
  <c r="I9" i="19"/>
  <c r="H9" i="19"/>
  <c r="C9" i="19"/>
  <c r="AD8" i="19"/>
  <c r="AB8" i="19"/>
  <c r="Y8" i="19"/>
  <c r="X8" i="19"/>
  <c r="P8" i="19"/>
  <c r="O8" i="19"/>
  <c r="Q8" i="19" s="1"/>
  <c r="M8" i="19"/>
  <c r="J8" i="19"/>
  <c r="H8" i="19"/>
  <c r="C8" i="19"/>
  <c r="AB7" i="19"/>
  <c r="AD7" i="19" s="1"/>
  <c r="Y7" i="19"/>
  <c r="X7" i="19"/>
  <c r="Q7" i="19"/>
  <c r="P7" i="19"/>
  <c r="O7" i="19"/>
  <c r="M7" i="19"/>
  <c r="J7" i="19"/>
  <c r="H7" i="19"/>
  <c r="C7" i="19"/>
  <c r="AD6" i="19"/>
  <c r="J6" i="19" s="1"/>
  <c r="AB6" i="19"/>
  <c r="Y6" i="19"/>
  <c r="X6" i="19"/>
  <c r="Q6" i="19"/>
  <c r="P6" i="19"/>
  <c r="O6" i="19"/>
  <c r="M6" i="19"/>
  <c r="H6" i="19"/>
  <c r="C6" i="19"/>
  <c r="AD5" i="19"/>
  <c r="AB5" i="19"/>
  <c r="Y5" i="19"/>
  <c r="X5" i="19"/>
  <c r="P5" i="19"/>
  <c r="O5" i="19"/>
  <c r="Q5" i="19" s="1"/>
  <c r="M5" i="19"/>
  <c r="J5" i="19"/>
  <c r="K5" i="19" s="1"/>
  <c r="H5" i="19"/>
  <c r="C5" i="19"/>
  <c r="AB4" i="19"/>
  <c r="AD4" i="19" s="1"/>
  <c r="Y4" i="19"/>
  <c r="X4" i="19"/>
  <c r="P4" i="19"/>
  <c r="Q4" i="19" s="1"/>
  <c r="O4" i="19"/>
  <c r="M4" i="19"/>
  <c r="J4" i="19"/>
  <c r="H4" i="19"/>
  <c r="C4" i="19"/>
  <c r="AG3" i="19"/>
  <c r="AF3" i="19"/>
  <c r="W3" i="19"/>
  <c r="V3" i="19"/>
  <c r="U3" i="19"/>
  <c r="T3" i="19"/>
  <c r="O3" i="19"/>
  <c r="H3" i="19"/>
  <c r="G3" i="19"/>
  <c r="F3" i="19"/>
  <c r="D3" i="19"/>
  <c r="C3" i="19"/>
  <c r="A2" i="19"/>
  <c r="A1" i="19"/>
  <c r="AB32" i="18"/>
  <c r="AD32" i="18" s="1"/>
  <c r="Y32" i="18"/>
  <c r="X32" i="18"/>
  <c r="V32" i="18"/>
  <c r="U32" i="18"/>
  <c r="T32" i="18"/>
  <c r="P32" i="18"/>
  <c r="O32" i="18"/>
  <c r="Q32" i="18" s="1"/>
  <c r="M32" i="18"/>
  <c r="J32" i="18"/>
  <c r="I32" i="18" s="1"/>
  <c r="H32" i="18"/>
  <c r="C32" i="18"/>
  <c r="AD31" i="18"/>
  <c r="J31" i="18" s="1"/>
  <c r="I31" i="18" s="1"/>
  <c r="AB31" i="18"/>
  <c r="Y31" i="18"/>
  <c r="X31" i="18"/>
  <c r="Q31" i="18"/>
  <c r="P31" i="18"/>
  <c r="O31" i="18"/>
  <c r="M31" i="18"/>
  <c r="K31" i="18"/>
  <c r="H31" i="18"/>
  <c r="C31" i="18"/>
  <c r="AD30" i="18"/>
  <c r="J30" i="18" s="1"/>
  <c r="K30" i="18" s="1"/>
  <c r="AB30" i="18"/>
  <c r="Y30" i="18"/>
  <c r="X30" i="18"/>
  <c r="P30" i="18"/>
  <c r="O30" i="18"/>
  <c r="Q30" i="18" s="1"/>
  <c r="M30" i="18"/>
  <c r="I30" i="18"/>
  <c r="H30" i="18"/>
  <c r="C30" i="18"/>
  <c r="AD29" i="18"/>
  <c r="AB29" i="18"/>
  <c r="Y29" i="18"/>
  <c r="X29" i="18"/>
  <c r="P29" i="18"/>
  <c r="O29" i="18"/>
  <c r="Q29" i="18" s="1"/>
  <c r="M29" i="18"/>
  <c r="K29" i="18"/>
  <c r="J29" i="18"/>
  <c r="I29" i="18" s="1"/>
  <c r="H29" i="18"/>
  <c r="C29" i="18"/>
  <c r="AB28" i="18"/>
  <c r="AD28" i="18" s="1"/>
  <c r="J28" i="18" s="1"/>
  <c r="Y28" i="18"/>
  <c r="X28" i="18"/>
  <c r="Q28" i="18"/>
  <c r="P28" i="18"/>
  <c r="O28" i="18"/>
  <c r="M28" i="18"/>
  <c r="H28" i="18"/>
  <c r="C28" i="18"/>
  <c r="AD27" i="18"/>
  <c r="J27" i="18" s="1"/>
  <c r="I27" i="18" s="1"/>
  <c r="AB27" i="18"/>
  <c r="Y27" i="18"/>
  <c r="X27" i="18"/>
  <c r="P27" i="18"/>
  <c r="O27" i="18"/>
  <c r="Q27" i="18" s="1"/>
  <c r="M27" i="18"/>
  <c r="K27" i="18"/>
  <c r="H27" i="18"/>
  <c r="C27" i="18"/>
  <c r="AB26" i="18"/>
  <c r="AD26" i="18" s="1"/>
  <c r="J26" i="18" s="1"/>
  <c r="Y26" i="18"/>
  <c r="X26" i="18"/>
  <c r="P26" i="18"/>
  <c r="O26" i="18"/>
  <c r="Q26" i="18" s="1"/>
  <c r="M26" i="18"/>
  <c r="H26" i="18"/>
  <c r="C26" i="18"/>
  <c r="AB25" i="18"/>
  <c r="AD25" i="18" s="1"/>
  <c r="J25" i="18" s="1"/>
  <c r="Y25" i="18"/>
  <c r="X25" i="18"/>
  <c r="Q25" i="18"/>
  <c r="P25" i="18"/>
  <c r="O25" i="18"/>
  <c r="M25" i="18"/>
  <c r="H25" i="18"/>
  <c r="C25" i="18"/>
  <c r="AD24" i="18"/>
  <c r="J24" i="18" s="1"/>
  <c r="K24" i="18" s="1"/>
  <c r="AB24" i="18"/>
  <c r="Y24" i="18"/>
  <c r="X24" i="18"/>
  <c r="V24" i="18"/>
  <c r="U24" i="18"/>
  <c r="T24" i="18"/>
  <c r="P24" i="18"/>
  <c r="Q24" i="18" s="1"/>
  <c r="O24" i="18"/>
  <c r="M24" i="18"/>
  <c r="H24" i="18"/>
  <c r="C24" i="18"/>
  <c r="AB23" i="18"/>
  <c r="AD23" i="18" s="1"/>
  <c r="Y23" i="18"/>
  <c r="X23" i="18"/>
  <c r="P23" i="18"/>
  <c r="O23" i="18"/>
  <c r="Q23" i="18" s="1"/>
  <c r="M23" i="18"/>
  <c r="J23" i="18"/>
  <c r="H23" i="18"/>
  <c r="C23" i="18"/>
  <c r="AB22" i="18"/>
  <c r="AD22" i="18" s="1"/>
  <c r="Y22" i="18"/>
  <c r="X22" i="18"/>
  <c r="Q22" i="18"/>
  <c r="P22" i="18"/>
  <c r="O22" i="18"/>
  <c r="M22" i="18"/>
  <c r="J22" i="18"/>
  <c r="H22" i="18"/>
  <c r="C22" i="18"/>
  <c r="AB21" i="18"/>
  <c r="AD21" i="18" s="1"/>
  <c r="J21" i="18" s="1"/>
  <c r="Y21" i="18"/>
  <c r="X21" i="18"/>
  <c r="P21" i="18"/>
  <c r="O21" i="18"/>
  <c r="M21" i="18"/>
  <c r="H21" i="18"/>
  <c r="C21" i="18"/>
  <c r="AD20" i="18"/>
  <c r="AB20" i="18"/>
  <c r="Y20" i="18"/>
  <c r="X20" i="18"/>
  <c r="P20" i="18"/>
  <c r="O20" i="18"/>
  <c r="M20" i="18"/>
  <c r="J20" i="18"/>
  <c r="K20" i="18" s="1"/>
  <c r="H20" i="18"/>
  <c r="C20" i="18"/>
  <c r="AD19" i="18"/>
  <c r="J19" i="18" s="1"/>
  <c r="K19" i="18" s="1"/>
  <c r="AB19" i="18"/>
  <c r="Y19" i="18"/>
  <c r="X19" i="18"/>
  <c r="Q19" i="18"/>
  <c r="P19" i="18"/>
  <c r="O19" i="18"/>
  <c r="M19" i="18"/>
  <c r="I19" i="18"/>
  <c r="H19" i="18"/>
  <c r="C19" i="18"/>
  <c r="AD18" i="18"/>
  <c r="J18" i="18" s="1"/>
  <c r="I18" i="18" s="1"/>
  <c r="AB18" i="18"/>
  <c r="Y18" i="18"/>
  <c r="X18" i="18"/>
  <c r="P18" i="18"/>
  <c r="Q18" i="18" s="1"/>
  <c r="O18" i="18"/>
  <c r="M18" i="18"/>
  <c r="K18" i="18"/>
  <c r="H18" i="18"/>
  <c r="C18" i="18"/>
  <c r="AD17" i="18"/>
  <c r="AB17" i="18"/>
  <c r="Y17" i="18"/>
  <c r="X17" i="18"/>
  <c r="P17" i="18"/>
  <c r="O17" i="18"/>
  <c r="Q17" i="18" s="1"/>
  <c r="M17" i="18"/>
  <c r="K17" i="18"/>
  <c r="J17" i="18"/>
  <c r="I17" i="18" s="1"/>
  <c r="H17" i="18"/>
  <c r="C17" i="18"/>
  <c r="AB16" i="18"/>
  <c r="AD16" i="18" s="1"/>
  <c r="J16" i="18" s="1"/>
  <c r="Y16" i="18"/>
  <c r="X16" i="18"/>
  <c r="Q16" i="18"/>
  <c r="P16" i="18"/>
  <c r="O16" i="18"/>
  <c r="M16" i="18"/>
  <c r="H16" i="18"/>
  <c r="C16" i="18"/>
  <c r="AD15" i="18"/>
  <c r="J15" i="18" s="1"/>
  <c r="I15" i="18" s="1"/>
  <c r="AB15" i="18"/>
  <c r="Y15" i="18"/>
  <c r="X15" i="18"/>
  <c r="P15" i="18"/>
  <c r="O15" i="18"/>
  <c r="Q15" i="18" s="1"/>
  <c r="M15" i="18"/>
  <c r="K15" i="18"/>
  <c r="H15" i="18"/>
  <c r="C15" i="18"/>
  <c r="AB14" i="18"/>
  <c r="AD14" i="18" s="1"/>
  <c r="J14" i="18" s="1"/>
  <c r="Y14" i="18"/>
  <c r="X14" i="18"/>
  <c r="Q14" i="18"/>
  <c r="P14" i="18"/>
  <c r="O14" i="18"/>
  <c r="M14" i="18"/>
  <c r="H14" i="18"/>
  <c r="C14" i="18"/>
  <c r="AB13" i="18"/>
  <c r="AD13" i="18" s="1"/>
  <c r="J13" i="18" s="1"/>
  <c r="K13" i="18" s="1"/>
  <c r="Y13" i="18"/>
  <c r="X13" i="18"/>
  <c r="P13" i="18"/>
  <c r="O13" i="18"/>
  <c r="Q13" i="18" s="1"/>
  <c r="M13" i="18"/>
  <c r="I13" i="18"/>
  <c r="H13" i="18"/>
  <c r="C13" i="18"/>
  <c r="AD12" i="18"/>
  <c r="AB12" i="18"/>
  <c r="Y12" i="18"/>
  <c r="X12" i="18"/>
  <c r="P12" i="18"/>
  <c r="O12" i="18"/>
  <c r="M12" i="18"/>
  <c r="J12" i="18"/>
  <c r="H12" i="18"/>
  <c r="C12" i="18"/>
  <c r="AB11" i="18"/>
  <c r="AD11" i="18" s="1"/>
  <c r="AD3" i="18" s="1"/>
  <c r="Y11" i="18"/>
  <c r="X11" i="18"/>
  <c r="Q11" i="18"/>
  <c r="P11" i="18"/>
  <c r="O11" i="18"/>
  <c r="M11" i="18"/>
  <c r="H11" i="18"/>
  <c r="C11" i="18"/>
  <c r="AD10" i="18"/>
  <c r="J10" i="18" s="1"/>
  <c r="I10" i="18" s="1"/>
  <c r="AB10" i="18"/>
  <c r="Y10" i="18"/>
  <c r="X10" i="18"/>
  <c r="Q10" i="18"/>
  <c r="P10" i="18"/>
  <c r="O10" i="18"/>
  <c r="M10" i="18"/>
  <c r="K10" i="18"/>
  <c r="H10" i="18"/>
  <c r="C10" i="18"/>
  <c r="AD9" i="18"/>
  <c r="J9" i="18" s="1"/>
  <c r="AB9" i="18"/>
  <c r="Y9" i="18"/>
  <c r="X9" i="18"/>
  <c r="P9" i="18"/>
  <c r="O9" i="18"/>
  <c r="Q9" i="18" s="1"/>
  <c r="M9" i="18"/>
  <c r="H9" i="18"/>
  <c r="C9" i="18"/>
  <c r="AB8" i="18"/>
  <c r="AD8" i="18" s="1"/>
  <c r="J8" i="18" s="1"/>
  <c r="Y8" i="18"/>
  <c r="X8" i="18"/>
  <c r="P8" i="18"/>
  <c r="O8" i="18"/>
  <c r="M8" i="18"/>
  <c r="H8" i="18"/>
  <c r="C8" i="18"/>
  <c r="AB7" i="18"/>
  <c r="AD7" i="18" s="1"/>
  <c r="J7" i="18" s="1"/>
  <c r="Y7" i="18"/>
  <c r="X7" i="18"/>
  <c r="P7" i="18"/>
  <c r="O7" i="18"/>
  <c r="Q7" i="18" s="1"/>
  <c r="M7" i="18"/>
  <c r="H7" i="18"/>
  <c r="C7" i="18"/>
  <c r="AB6" i="18"/>
  <c r="AD6" i="18" s="1"/>
  <c r="Y6" i="18"/>
  <c r="X6" i="18"/>
  <c r="Q6" i="18"/>
  <c r="P6" i="18"/>
  <c r="O6" i="18"/>
  <c r="M6" i="18"/>
  <c r="J6" i="18"/>
  <c r="H6" i="18"/>
  <c r="C6" i="18"/>
  <c r="AB5" i="18"/>
  <c r="AD5" i="18" s="1"/>
  <c r="J5" i="18" s="1"/>
  <c r="Y5" i="18"/>
  <c r="X5" i="18"/>
  <c r="P5" i="18"/>
  <c r="O5" i="18"/>
  <c r="Q5" i="18" s="1"/>
  <c r="M5" i="18"/>
  <c r="H5" i="18"/>
  <c r="C5" i="18"/>
  <c r="AD4" i="18"/>
  <c r="AB4" i="18"/>
  <c r="Y4" i="18"/>
  <c r="X4" i="18"/>
  <c r="P4" i="18"/>
  <c r="O4" i="18"/>
  <c r="M4" i="18"/>
  <c r="K4" i="18"/>
  <c r="J4" i="18"/>
  <c r="I4" i="18" s="1"/>
  <c r="H4" i="18"/>
  <c r="C4" i="18"/>
  <c r="AG3" i="18"/>
  <c r="AF3" i="18"/>
  <c r="X3" i="18"/>
  <c r="W3" i="18"/>
  <c r="V3" i="18"/>
  <c r="U3" i="18"/>
  <c r="T3" i="18"/>
  <c r="O3" i="18"/>
  <c r="H3" i="18"/>
  <c r="G3" i="18"/>
  <c r="F3" i="18"/>
  <c r="D3" i="18"/>
  <c r="C3" i="18"/>
  <c r="A2" i="18"/>
  <c r="A1" i="18"/>
  <c r="AD32" i="17"/>
  <c r="J32" i="17" s="1"/>
  <c r="AB32" i="17"/>
  <c r="Y32" i="17"/>
  <c r="X32" i="17"/>
  <c r="V32" i="17"/>
  <c r="U32" i="17"/>
  <c r="T32" i="17"/>
  <c r="Q32" i="17"/>
  <c r="P32" i="17"/>
  <c r="O32" i="17"/>
  <c r="M32" i="17"/>
  <c r="H32" i="17"/>
  <c r="C32" i="17"/>
  <c r="AD31" i="17"/>
  <c r="J31" i="17" s="1"/>
  <c r="AB31" i="17"/>
  <c r="Y31" i="17"/>
  <c r="X31" i="17"/>
  <c r="P31" i="17"/>
  <c r="O31" i="17"/>
  <c r="Q31" i="17" s="1"/>
  <c r="M31" i="17"/>
  <c r="H31" i="17"/>
  <c r="C31" i="17"/>
  <c r="AB30" i="17"/>
  <c r="AD30" i="17" s="1"/>
  <c r="J30" i="17" s="1"/>
  <c r="Y30" i="17"/>
  <c r="X30" i="17"/>
  <c r="Q30" i="17"/>
  <c r="P30" i="17"/>
  <c r="O30" i="17"/>
  <c r="M30" i="17"/>
  <c r="H30" i="17"/>
  <c r="C30" i="17"/>
  <c r="AB29" i="17"/>
  <c r="AD29" i="17" s="1"/>
  <c r="J29" i="17" s="1"/>
  <c r="K29" i="17" s="1"/>
  <c r="Y29" i="17"/>
  <c r="X29" i="17"/>
  <c r="P29" i="17"/>
  <c r="O29" i="17"/>
  <c r="Q29" i="17" s="1"/>
  <c r="M29" i="17"/>
  <c r="I29" i="17"/>
  <c r="H29" i="17"/>
  <c r="C29" i="17"/>
  <c r="AD28" i="17"/>
  <c r="J28" i="17" s="1"/>
  <c r="AB28" i="17"/>
  <c r="Y28" i="17"/>
  <c r="X28" i="17"/>
  <c r="P28" i="17"/>
  <c r="O28" i="17"/>
  <c r="M28" i="17"/>
  <c r="H28" i="17"/>
  <c r="C28" i="17"/>
  <c r="AD27" i="17"/>
  <c r="J27" i="17" s="1"/>
  <c r="AB27" i="17"/>
  <c r="Y27" i="17"/>
  <c r="X27" i="17"/>
  <c r="Q27" i="17"/>
  <c r="P27" i="17"/>
  <c r="O27" i="17"/>
  <c r="M27" i="17"/>
  <c r="H27" i="17"/>
  <c r="C27" i="17"/>
  <c r="AD26" i="17"/>
  <c r="J26" i="17" s="1"/>
  <c r="I26" i="17" s="1"/>
  <c r="AB26" i="17"/>
  <c r="Y26" i="17"/>
  <c r="X26" i="17"/>
  <c r="Q26" i="17"/>
  <c r="P26" i="17"/>
  <c r="O26" i="17"/>
  <c r="M26" i="17"/>
  <c r="K26" i="17"/>
  <c r="H26" i="17"/>
  <c r="C26" i="17"/>
  <c r="AB25" i="17"/>
  <c r="AD25" i="17" s="1"/>
  <c r="J25" i="17" s="1"/>
  <c r="Y25" i="17"/>
  <c r="X25" i="17"/>
  <c r="P25" i="17"/>
  <c r="O25" i="17"/>
  <c r="Q25" i="17" s="1"/>
  <c r="M25" i="17"/>
  <c r="H25" i="17"/>
  <c r="C25" i="17"/>
  <c r="AB24" i="17"/>
  <c r="AD24" i="17" s="1"/>
  <c r="J24" i="17" s="1"/>
  <c r="Y24" i="17"/>
  <c r="X24" i="17"/>
  <c r="V24" i="17"/>
  <c r="U24" i="17"/>
  <c r="T24" i="17"/>
  <c r="P24" i="17"/>
  <c r="O24" i="17"/>
  <c r="Q24" i="17" s="1"/>
  <c r="M24" i="17"/>
  <c r="H24" i="17"/>
  <c r="C24" i="17"/>
  <c r="AB23" i="17"/>
  <c r="AD23" i="17" s="1"/>
  <c r="Y23" i="17"/>
  <c r="X23" i="17"/>
  <c r="P23" i="17"/>
  <c r="O23" i="17"/>
  <c r="Q23" i="17" s="1"/>
  <c r="M23" i="17"/>
  <c r="J23" i="17"/>
  <c r="H23" i="17"/>
  <c r="C23" i="17"/>
  <c r="AB22" i="17"/>
  <c r="AD22" i="17" s="1"/>
  <c r="J22" i="17" s="1"/>
  <c r="Y22" i="17"/>
  <c r="X22" i="17"/>
  <c r="Q22" i="17"/>
  <c r="P22" i="17"/>
  <c r="O22" i="17"/>
  <c r="M22" i="17"/>
  <c r="H22" i="17"/>
  <c r="C22" i="17"/>
  <c r="AD21" i="17"/>
  <c r="J21" i="17" s="1"/>
  <c r="I21" i="17" s="1"/>
  <c r="AB21" i="17"/>
  <c r="Y21" i="17"/>
  <c r="X21" i="17"/>
  <c r="Q21" i="17"/>
  <c r="P21" i="17"/>
  <c r="O21" i="17"/>
  <c r="M21" i="17"/>
  <c r="K21" i="17"/>
  <c r="H21" i="17"/>
  <c r="C21" i="17"/>
  <c r="AB20" i="17"/>
  <c r="AD20" i="17" s="1"/>
  <c r="J20" i="17" s="1"/>
  <c r="K20" i="17" s="1"/>
  <c r="Y20" i="17"/>
  <c r="X20" i="17"/>
  <c r="Q20" i="17"/>
  <c r="P20" i="17"/>
  <c r="O20" i="17"/>
  <c r="M20" i="17"/>
  <c r="H20" i="17"/>
  <c r="C20" i="17"/>
  <c r="AB19" i="17"/>
  <c r="AD19" i="17" s="1"/>
  <c r="J19" i="17" s="1"/>
  <c r="Y19" i="17"/>
  <c r="X19" i="17"/>
  <c r="P19" i="17"/>
  <c r="O19" i="17"/>
  <c r="M19" i="17"/>
  <c r="H19" i="17"/>
  <c r="C19" i="17"/>
  <c r="AD18" i="17"/>
  <c r="J18" i="17" s="1"/>
  <c r="I18" i="17" s="1"/>
  <c r="AB18" i="17"/>
  <c r="Y18" i="17"/>
  <c r="X18" i="17"/>
  <c r="Q18" i="17"/>
  <c r="P18" i="17"/>
  <c r="O18" i="17"/>
  <c r="M18" i="17"/>
  <c r="K18" i="17"/>
  <c r="H18" i="17"/>
  <c r="C18" i="17"/>
  <c r="AD17" i="17"/>
  <c r="J17" i="17" s="1"/>
  <c r="I17" i="17" s="1"/>
  <c r="AB17" i="17"/>
  <c r="Y17" i="17"/>
  <c r="X17" i="17"/>
  <c r="P17" i="17"/>
  <c r="O17" i="17"/>
  <c r="Q17" i="17" s="1"/>
  <c r="M17" i="17"/>
  <c r="K17" i="17"/>
  <c r="H17" i="17"/>
  <c r="C17" i="17"/>
  <c r="AD16" i="17"/>
  <c r="AB16" i="17"/>
  <c r="Y16" i="17"/>
  <c r="X16" i="17"/>
  <c r="P16" i="17"/>
  <c r="O16" i="17"/>
  <c r="Q16" i="17" s="1"/>
  <c r="M16" i="17"/>
  <c r="J16" i="17"/>
  <c r="H16" i="17"/>
  <c r="C16" i="17"/>
  <c r="AB15" i="17"/>
  <c r="AD15" i="17" s="1"/>
  <c r="J15" i="17" s="1"/>
  <c r="K15" i="17" s="1"/>
  <c r="Y15" i="17"/>
  <c r="X15" i="17"/>
  <c r="P15" i="17"/>
  <c r="Q15" i="17" s="1"/>
  <c r="O15" i="17"/>
  <c r="M15" i="17"/>
  <c r="I15" i="17"/>
  <c r="H15" i="17"/>
  <c r="C15" i="17"/>
  <c r="AB14" i="17"/>
  <c r="AD14" i="17" s="1"/>
  <c r="Y14" i="17"/>
  <c r="X14" i="17"/>
  <c r="P14" i="17"/>
  <c r="O14" i="17"/>
  <c r="Q14" i="17" s="1"/>
  <c r="M14" i="17"/>
  <c r="J14" i="17"/>
  <c r="H14" i="17"/>
  <c r="C14" i="17"/>
  <c r="AB13" i="17"/>
  <c r="AD13" i="17" s="1"/>
  <c r="Y13" i="17"/>
  <c r="X13" i="17"/>
  <c r="Q13" i="17"/>
  <c r="P13" i="17"/>
  <c r="O13" i="17"/>
  <c r="M13" i="17"/>
  <c r="J13" i="17"/>
  <c r="K13" i="17" s="1"/>
  <c r="H13" i="17"/>
  <c r="C13" i="17"/>
  <c r="AB12" i="17"/>
  <c r="AD12" i="17" s="1"/>
  <c r="J12" i="17" s="1"/>
  <c r="Y12" i="17"/>
  <c r="X12" i="17"/>
  <c r="P12" i="17"/>
  <c r="O12" i="17"/>
  <c r="Q12" i="17" s="1"/>
  <c r="M12" i="17"/>
  <c r="H12" i="17"/>
  <c r="C12" i="17"/>
  <c r="AD11" i="17"/>
  <c r="AB11" i="17"/>
  <c r="Y11" i="17"/>
  <c r="X11" i="17"/>
  <c r="P11" i="17"/>
  <c r="O11" i="17"/>
  <c r="M11" i="17"/>
  <c r="J11" i="17"/>
  <c r="K11" i="17" s="1"/>
  <c r="H11" i="17"/>
  <c r="C11" i="17"/>
  <c r="AD10" i="17"/>
  <c r="J10" i="17" s="1"/>
  <c r="K10" i="17" s="1"/>
  <c r="AB10" i="17"/>
  <c r="Y10" i="17"/>
  <c r="X10" i="17"/>
  <c r="Q10" i="17"/>
  <c r="P10" i="17"/>
  <c r="O10" i="17"/>
  <c r="M10" i="17"/>
  <c r="I10" i="17"/>
  <c r="H10" i="17"/>
  <c r="C10" i="17"/>
  <c r="AD9" i="17"/>
  <c r="J9" i="17" s="1"/>
  <c r="I9" i="17" s="1"/>
  <c r="AB9" i="17"/>
  <c r="Y9" i="17"/>
  <c r="X9" i="17"/>
  <c r="P9" i="17"/>
  <c r="Q9" i="17" s="1"/>
  <c r="O9" i="17"/>
  <c r="M9" i="17"/>
  <c r="K9" i="17"/>
  <c r="H9" i="17"/>
  <c r="C9" i="17"/>
  <c r="AD8" i="17"/>
  <c r="AB8" i="17"/>
  <c r="Y8" i="17"/>
  <c r="X8" i="17"/>
  <c r="P8" i="17"/>
  <c r="O8" i="17"/>
  <c r="Q8" i="17" s="1"/>
  <c r="M8" i="17"/>
  <c r="K8" i="17"/>
  <c r="J8" i="17"/>
  <c r="I8" i="17" s="1"/>
  <c r="H8" i="17"/>
  <c r="C8" i="17"/>
  <c r="AB7" i="17"/>
  <c r="AD7" i="17" s="1"/>
  <c r="J7" i="17" s="1"/>
  <c r="Y7" i="17"/>
  <c r="X7" i="17"/>
  <c r="Q7" i="17"/>
  <c r="P7" i="17"/>
  <c r="O7" i="17"/>
  <c r="M7" i="17"/>
  <c r="H7" i="17"/>
  <c r="C7" i="17"/>
  <c r="AD6" i="17"/>
  <c r="J6" i="17" s="1"/>
  <c r="I6" i="17" s="1"/>
  <c r="AB6" i="17"/>
  <c r="Y6" i="17"/>
  <c r="X6" i="17"/>
  <c r="P6" i="17"/>
  <c r="O6" i="17"/>
  <c r="Q6" i="17" s="1"/>
  <c r="M6" i="17"/>
  <c r="K6" i="17"/>
  <c r="H6" i="17"/>
  <c r="C6" i="17"/>
  <c r="AB5" i="17"/>
  <c r="AD5" i="17" s="1"/>
  <c r="Y5" i="17"/>
  <c r="X5" i="17"/>
  <c r="Q5" i="17"/>
  <c r="P5" i="17"/>
  <c r="O5" i="17"/>
  <c r="M5" i="17"/>
  <c r="H5" i="17"/>
  <c r="C5" i="17"/>
  <c r="AB4" i="17"/>
  <c r="AD4" i="17" s="1"/>
  <c r="J4" i="17" s="1"/>
  <c r="K4" i="17" s="1"/>
  <c r="Y4" i="17"/>
  <c r="X4" i="17"/>
  <c r="P4" i="17"/>
  <c r="O4" i="17"/>
  <c r="Q4" i="17" s="1"/>
  <c r="M4" i="17"/>
  <c r="I4" i="17"/>
  <c r="H4" i="17"/>
  <c r="C4" i="17"/>
  <c r="AG3" i="17"/>
  <c r="AF3" i="17"/>
  <c r="W3" i="17"/>
  <c r="V3" i="17"/>
  <c r="U3" i="17"/>
  <c r="T3" i="17"/>
  <c r="O3" i="17"/>
  <c r="G3" i="17"/>
  <c r="H3" i="17" s="1"/>
  <c r="F3" i="17"/>
  <c r="D3" i="17"/>
  <c r="C3" i="17"/>
  <c r="A2" i="17"/>
  <c r="A1" i="17"/>
  <c r="AB32" i="16"/>
  <c r="AD32" i="16" s="1"/>
  <c r="J32" i="16" s="1"/>
  <c r="K32" i="16" s="1"/>
  <c r="Y32" i="16"/>
  <c r="X32" i="16"/>
  <c r="V32" i="16"/>
  <c r="U32" i="16"/>
  <c r="T32" i="16"/>
  <c r="P32" i="16"/>
  <c r="O32" i="16"/>
  <c r="Q32" i="16" s="1"/>
  <c r="M32" i="16"/>
  <c r="H32" i="16"/>
  <c r="C32" i="16"/>
  <c r="AB31" i="16"/>
  <c r="AD31" i="16" s="1"/>
  <c r="Y31" i="16"/>
  <c r="X31" i="16"/>
  <c r="P31" i="16"/>
  <c r="O31" i="16"/>
  <c r="Q31" i="16" s="1"/>
  <c r="M31" i="16"/>
  <c r="J31" i="16"/>
  <c r="H31" i="16"/>
  <c r="C31" i="16"/>
  <c r="AB30" i="16"/>
  <c r="AD30" i="16" s="1"/>
  <c r="J30" i="16" s="1"/>
  <c r="Y30" i="16"/>
  <c r="X30" i="16"/>
  <c r="Q30" i="16"/>
  <c r="P30" i="16"/>
  <c r="O30" i="16"/>
  <c r="M30" i="16"/>
  <c r="H30" i="16"/>
  <c r="C30" i="16"/>
  <c r="AD29" i="16"/>
  <c r="J29" i="16" s="1"/>
  <c r="AB29" i="16"/>
  <c r="Y29" i="16"/>
  <c r="X29" i="16"/>
  <c r="Q29" i="16"/>
  <c r="P29" i="16"/>
  <c r="O29" i="16"/>
  <c r="M29" i="16"/>
  <c r="K29" i="16"/>
  <c r="I29" i="16"/>
  <c r="H29" i="16"/>
  <c r="C29" i="16"/>
  <c r="AB28" i="16"/>
  <c r="AD28" i="16" s="1"/>
  <c r="Y28" i="16"/>
  <c r="X28" i="16"/>
  <c r="P28" i="16"/>
  <c r="O28" i="16"/>
  <c r="Q28" i="16" s="1"/>
  <c r="M28" i="16"/>
  <c r="J28" i="16"/>
  <c r="H28" i="16"/>
  <c r="C28" i="16"/>
  <c r="AD27" i="16"/>
  <c r="J27" i="16" s="1"/>
  <c r="I27" i="16" s="1"/>
  <c r="AB27" i="16"/>
  <c r="Y27" i="16"/>
  <c r="X27" i="16"/>
  <c r="Q27" i="16"/>
  <c r="P27" i="16"/>
  <c r="O27" i="16"/>
  <c r="M27" i="16"/>
  <c r="K27" i="16"/>
  <c r="H27" i="16"/>
  <c r="C27" i="16"/>
  <c r="AD26" i="16"/>
  <c r="J26" i="16" s="1"/>
  <c r="I26" i="16" s="1"/>
  <c r="AB26" i="16"/>
  <c r="Y26" i="16"/>
  <c r="X26" i="16"/>
  <c r="P26" i="16"/>
  <c r="Q26" i="16" s="1"/>
  <c r="O26" i="16"/>
  <c r="M26" i="16"/>
  <c r="K26" i="16"/>
  <c r="H26" i="16"/>
  <c r="C26" i="16"/>
  <c r="AD25" i="16"/>
  <c r="J25" i="16" s="1"/>
  <c r="I25" i="16" s="1"/>
  <c r="AB25" i="16"/>
  <c r="Y25" i="16"/>
  <c r="X25" i="16"/>
  <c r="P25" i="16"/>
  <c r="O25" i="16"/>
  <c r="Q25" i="16" s="1"/>
  <c r="M25" i="16"/>
  <c r="H25" i="16"/>
  <c r="C25" i="16"/>
  <c r="AD24" i="16"/>
  <c r="J24" i="16" s="1"/>
  <c r="K24" i="16" s="1"/>
  <c r="AB24" i="16"/>
  <c r="Y24" i="16"/>
  <c r="X24" i="16"/>
  <c r="V24" i="16"/>
  <c r="U24" i="16"/>
  <c r="T24" i="16"/>
  <c r="Q24" i="16"/>
  <c r="P24" i="16"/>
  <c r="O24" i="16"/>
  <c r="M24" i="16"/>
  <c r="I24" i="16"/>
  <c r="H24" i="16"/>
  <c r="C24" i="16"/>
  <c r="AD23" i="16"/>
  <c r="AB23" i="16"/>
  <c r="Y23" i="16"/>
  <c r="X23" i="16"/>
  <c r="P23" i="16"/>
  <c r="O23" i="16"/>
  <c r="Q23" i="16" s="1"/>
  <c r="M23" i="16"/>
  <c r="J23" i="16"/>
  <c r="I23" i="16" s="1"/>
  <c r="H23" i="16"/>
  <c r="C23" i="16"/>
  <c r="AB22" i="16"/>
  <c r="AD22" i="16" s="1"/>
  <c r="Y22" i="16"/>
  <c r="X22" i="16"/>
  <c r="Q22" i="16"/>
  <c r="P22" i="16"/>
  <c r="O22" i="16"/>
  <c r="M22" i="16"/>
  <c r="J22" i="16"/>
  <c r="H22" i="16"/>
  <c r="C22" i="16"/>
  <c r="AD21" i="16"/>
  <c r="J21" i="16" s="1"/>
  <c r="AB21" i="16"/>
  <c r="Y21" i="16"/>
  <c r="X21" i="16"/>
  <c r="Q21" i="16"/>
  <c r="P21" i="16"/>
  <c r="O21" i="16"/>
  <c r="M21" i="16"/>
  <c r="H21" i="16"/>
  <c r="C21" i="16"/>
  <c r="AD20" i="16"/>
  <c r="J20" i="16" s="1"/>
  <c r="AB20" i="16"/>
  <c r="Y20" i="16"/>
  <c r="X20" i="16"/>
  <c r="P20" i="16"/>
  <c r="O20" i="16"/>
  <c r="Q20" i="16" s="1"/>
  <c r="M20" i="16"/>
  <c r="K20" i="16"/>
  <c r="I20" i="16"/>
  <c r="H20" i="16"/>
  <c r="C20" i="16"/>
  <c r="AB19" i="16"/>
  <c r="AD19" i="16" s="1"/>
  <c r="Y19" i="16"/>
  <c r="X19" i="16"/>
  <c r="Q19" i="16"/>
  <c r="P19" i="16"/>
  <c r="O19" i="16"/>
  <c r="M19" i="16"/>
  <c r="J19" i="16"/>
  <c r="K19" i="16" s="1"/>
  <c r="H19" i="16"/>
  <c r="C19" i="16"/>
  <c r="AD18" i="16"/>
  <c r="J18" i="16" s="1"/>
  <c r="K18" i="16" s="1"/>
  <c r="AB18" i="16"/>
  <c r="Y18" i="16"/>
  <c r="X18" i="16"/>
  <c r="P18" i="16"/>
  <c r="O18" i="16"/>
  <c r="Q18" i="16" s="1"/>
  <c r="M18" i="16"/>
  <c r="I18" i="16"/>
  <c r="H18" i="16"/>
  <c r="C18" i="16"/>
  <c r="AB17" i="16"/>
  <c r="AD17" i="16" s="1"/>
  <c r="Y17" i="16"/>
  <c r="X17" i="16"/>
  <c r="P17" i="16"/>
  <c r="Q17" i="16" s="1"/>
  <c r="O17" i="16"/>
  <c r="M17" i="16"/>
  <c r="J17" i="16"/>
  <c r="H17" i="16"/>
  <c r="C17" i="16"/>
  <c r="AD16" i="16"/>
  <c r="J16" i="16" s="1"/>
  <c r="I16" i="16" s="1"/>
  <c r="AB16" i="16"/>
  <c r="Y16" i="16"/>
  <c r="X16" i="16"/>
  <c r="Q16" i="16"/>
  <c r="P16" i="16"/>
  <c r="O16" i="16"/>
  <c r="M16" i="16"/>
  <c r="K16" i="16"/>
  <c r="H16" i="16"/>
  <c r="C16" i="16"/>
  <c r="AD15" i="16"/>
  <c r="J15" i="16" s="1"/>
  <c r="AB15" i="16"/>
  <c r="Y15" i="16"/>
  <c r="X15" i="16"/>
  <c r="P15" i="16"/>
  <c r="O15" i="16"/>
  <c r="M15" i="16"/>
  <c r="H15" i="16"/>
  <c r="C15" i="16"/>
  <c r="AD14" i="16"/>
  <c r="J14" i="16" s="1"/>
  <c r="AB14" i="16"/>
  <c r="Y14" i="16"/>
  <c r="X14" i="16"/>
  <c r="P14" i="16"/>
  <c r="O14" i="16"/>
  <c r="Q14" i="16" s="1"/>
  <c r="M14" i="16"/>
  <c r="H14" i="16"/>
  <c r="C14" i="16"/>
  <c r="AB13" i="16"/>
  <c r="AD13" i="16" s="1"/>
  <c r="J13" i="16" s="1"/>
  <c r="Y13" i="16"/>
  <c r="X13" i="16"/>
  <c r="Q13" i="16"/>
  <c r="P13" i="16"/>
  <c r="O13" i="16"/>
  <c r="M13" i="16"/>
  <c r="H13" i="16"/>
  <c r="C13" i="16"/>
  <c r="AD12" i="16"/>
  <c r="J12" i="16" s="1"/>
  <c r="AB12" i="16"/>
  <c r="Y12" i="16"/>
  <c r="X12" i="16"/>
  <c r="P12" i="16"/>
  <c r="O12" i="16"/>
  <c r="M12" i="16"/>
  <c r="H12" i="16"/>
  <c r="C12" i="16"/>
  <c r="AD11" i="16"/>
  <c r="J11" i="16" s="1"/>
  <c r="K11" i="16" s="1"/>
  <c r="AB11" i="16"/>
  <c r="Y11" i="16"/>
  <c r="X11" i="16"/>
  <c r="P11" i="16"/>
  <c r="O11" i="16"/>
  <c r="Q11" i="16" s="1"/>
  <c r="M11" i="16"/>
  <c r="I11" i="16"/>
  <c r="H11" i="16"/>
  <c r="C11" i="16"/>
  <c r="AB10" i="16"/>
  <c r="AD10" i="16" s="1"/>
  <c r="Y10" i="16"/>
  <c r="X10" i="16"/>
  <c r="P10" i="16"/>
  <c r="O10" i="16"/>
  <c r="M10" i="16"/>
  <c r="J10" i="16"/>
  <c r="H10" i="16"/>
  <c r="C10" i="16"/>
  <c r="AD9" i="16"/>
  <c r="J9" i="16" s="1"/>
  <c r="AB9" i="16"/>
  <c r="Y9" i="16"/>
  <c r="X9" i="16"/>
  <c r="Q9" i="16"/>
  <c r="P9" i="16"/>
  <c r="O9" i="16"/>
  <c r="M9" i="16"/>
  <c r="H9" i="16"/>
  <c r="C9" i="16"/>
  <c r="AB8" i="16"/>
  <c r="AD8" i="16" s="1"/>
  <c r="Y8" i="16"/>
  <c r="X8" i="16"/>
  <c r="Q8" i="16"/>
  <c r="P8" i="16"/>
  <c r="O8" i="16"/>
  <c r="M8" i="16"/>
  <c r="J8" i="16"/>
  <c r="H8" i="16"/>
  <c r="C8" i="16"/>
  <c r="AD7" i="16"/>
  <c r="J7" i="16" s="1"/>
  <c r="K7" i="16" s="1"/>
  <c r="AB7" i="16"/>
  <c r="Y7" i="16"/>
  <c r="X7" i="16"/>
  <c r="Q7" i="16"/>
  <c r="P7" i="16"/>
  <c r="O7" i="16"/>
  <c r="M7" i="16"/>
  <c r="I7" i="16"/>
  <c r="H7" i="16"/>
  <c r="C7" i="16"/>
  <c r="AB6" i="16"/>
  <c r="AD6" i="16" s="1"/>
  <c r="Y6" i="16"/>
  <c r="X6" i="16"/>
  <c r="P6" i="16"/>
  <c r="Q6" i="16" s="1"/>
  <c r="O6" i="16"/>
  <c r="M6" i="16"/>
  <c r="J6" i="16"/>
  <c r="K6" i="16" s="1"/>
  <c r="I6" i="16"/>
  <c r="H6" i="16"/>
  <c r="C6" i="16"/>
  <c r="AD5" i="16"/>
  <c r="J5" i="16" s="1"/>
  <c r="AB5" i="16"/>
  <c r="Y5" i="16"/>
  <c r="X5" i="16"/>
  <c r="P5" i="16"/>
  <c r="Q5" i="16" s="1"/>
  <c r="O5" i="16"/>
  <c r="M5" i="16"/>
  <c r="K5" i="16"/>
  <c r="I5" i="16"/>
  <c r="H5" i="16"/>
  <c r="C5" i="16"/>
  <c r="AD4" i="16"/>
  <c r="J4" i="16" s="1"/>
  <c r="I4" i="16" s="1"/>
  <c r="AB4" i="16"/>
  <c r="Y4" i="16"/>
  <c r="X4" i="16"/>
  <c r="P4" i="16"/>
  <c r="O4" i="16"/>
  <c r="M4" i="16"/>
  <c r="K4" i="16"/>
  <c r="H4" i="16"/>
  <c r="C4" i="16"/>
  <c r="AG3" i="16"/>
  <c r="AF3" i="16"/>
  <c r="AD3" i="16"/>
  <c r="X3" i="16"/>
  <c r="W3" i="16"/>
  <c r="V3" i="16"/>
  <c r="U3" i="16"/>
  <c r="T3" i="16"/>
  <c r="O3" i="16"/>
  <c r="G3" i="16"/>
  <c r="H3" i="16" s="1"/>
  <c r="F3" i="16"/>
  <c r="D3" i="16"/>
  <c r="C3" i="16"/>
  <c r="A2" i="16"/>
  <c r="A1" i="16"/>
  <c r="AD32" i="15"/>
  <c r="J32" i="15" s="1"/>
  <c r="AB32" i="15"/>
  <c r="Y32" i="15"/>
  <c r="X32" i="15"/>
  <c r="V32" i="15"/>
  <c r="U32" i="15"/>
  <c r="T32" i="15"/>
  <c r="Q32" i="15"/>
  <c r="P32" i="15"/>
  <c r="O32" i="15"/>
  <c r="M32" i="15"/>
  <c r="H32" i="15"/>
  <c r="C32" i="15"/>
  <c r="AB31" i="15"/>
  <c r="AD31" i="15" s="1"/>
  <c r="J31" i="15" s="1"/>
  <c r="K31" i="15" s="1"/>
  <c r="Y31" i="15"/>
  <c r="X31" i="15"/>
  <c r="Q31" i="15"/>
  <c r="P31" i="15"/>
  <c r="O31" i="15"/>
  <c r="M31" i="15"/>
  <c r="I31" i="15"/>
  <c r="H31" i="15"/>
  <c r="C31" i="15"/>
  <c r="AB30" i="15"/>
  <c r="AD30" i="15" s="1"/>
  <c r="J30" i="15" s="1"/>
  <c r="K30" i="15" s="1"/>
  <c r="Y30" i="15"/>
  <c r="X30" i="15"/>
  <c r="P30" i="15"/>
  <c r="Q30" i="15" s="1"/>
  <c r="O30" i="15"/>
  <c r="M30" i="15"/>
  <c r="H30" i="15"/>
  <c r="C30" i="15"/>
  <c r="AD29" i="15"/>
  <c r="J29" i="15" s="1"/>
  <c r="AB29" i="15"/>
  <c r="Y29" i="15"/>
  <c r="X29" i="15"/>
  <c r="P29" i="15"/>
  <c r="Q29" i="15" s="1"/>
  <c r="O29" i="15"/>
  <c r="M29" i="15"/>
  <c r="K29" i="15"/>
  <c r="I29" i="15"/>
  <c r="H29" i="15"/>
  <c r="C29" i="15"/>
  <c r="AD28" i="15"/>
  <c r="J28" i="15" s="1"/>
  <c r="I28" i="15" s="1"/>
  <c r="AB28" i="15"/>
  <c r="Y28" i="15"/>
  <c r="X28" i="15"/>
  <c r="P28" i="15"/>
  <c r="Q28" i="15" s="1"/>
  <c r="O28" i="15"/>
  <c r="M28" i="15"/>
  <c r="K28" i="15"/>
  <c r="H28" i="15"/>
  <c r="C28" i="15"/>
  <c r="AD27" i="15"/>
  <c r="AB27" i="15"/>
  <c r="Y27" i="15"/>
  <c r="X27" i="15"/>
  <c r="P27" i="15"/>
  <c r="O27" i="15"/>
  <c r="Q27" i="15" s="1"/>
  <c r="M27" i="15"/>
  <c r="K27" i="15"/>
  <c r="J27" i="15"/>
  <c r="I27" i="15"/>
  <c r="H27" i="15"/>
  <c r="C27" i="15"/>
  <c r="AB26" i="15"/>
  <c r="AD26" i="15" s="1"/>
  <c r="Y26" i="15"/>
  <c r="X26" i="15"/>
  <c r="P26" i="15"/>
  <c r="O26" i="15"/>
  <c r="Q26" i="15" s="1"/>
  <c r="M26" i="15"/>
  <c r="J26" i="15"/>
  <c r="H26" i="15"/>
  <c r="C26" i="15"/>
  <c r="AB25" i="15"/>
  <c r="AD25" i="15" s="1"/>
  <c r="Y25" i="15"/>
  <c r="X25" i="15"/>
  <c r="Q25" i="15"/>
  <c r="P25" i="15"/>
  <c r="O25" i="15"/>
  <c r="M25" i="15"/>
  <c r="J25" i="15"/>
  <c r="H25" i="15"/>
  <c r="C25" i="15"/>
  <c r="AB24" i="15"/>
  <c r="AD24" i="15" s="1"/>
  <c r="J24" i="15" s="1"/>
  <c r="Y24" i="15"/>
  <c r="X24" i="15"/>
  <c r="V24" i="15"/>
  <c r="U24" i="15"/>
  <c r="T24" i="15"/>
  <c r="Q24" i="15"/>
  <c r="P24" i="15"/>
  <c r="O24" i="15"/>
  <c r="M24" i="15"/>
  <c r="H24" i="15"/>
  <c r="C24" i="15"/>
  <c r="AB23" i="15"/>
  <c r="AD23" i="15" s="1"/>
  <c r="J23" i="15" s="1"/>
  <c r="Y23" i="15"/>
  <c r="X23" i="15"/>
  <c r="Q23" i="15"/>
  <c r="P23" i="15"/>
  <c r="O23" i="15"/>
  <c r="M23" i="15"/>
  <c r="H23" i="15"/>
  <c r="C23" i="15"/>
  <c r="AB22" i="15"/>
  <c r="AD22" i="15" s="1"/>
  <c r="J22" i="15" s="1"/>
  <c r="K22" i="15" s="1"/>
  <c r="Y22" i="15"/>
  <c r="X22" i="15"/>
  <c r="P22" i="15"/>
  <c r="O22" i="15"/>
  <c r="Q22" i="15" s="1"/>
  <c r="M22" i="15"/>
  <c r="H22" i="15"/>
  <c r="C22" i="15"/>
  <c r="AD21" i="15"/>
  <c r="AB21" i="15"/>
  <c r="Y21" i="15"/>
  <c r="X21" i="15"/>
  <c r="P21" i="15"/>
  <c r="Q21" i="15" s="1"/>
  <c r="O21" i="15"/>
  <c r="M21" i="15"/>
  <c r="J21" i="15"/>
  <c r="K21" i="15" s="1"/>
  <c r="H21" i="15"/>
  <c r="C21" i="15"/>
  <c r="AD20" i="15"/>
  <c r="J20" i="15" s="1"/>
  <c r="I20" i="15" s="1"/>
  <c r="AB20" i="15"/>
  <c r="Y20" i="15"/>
  <c r="X20" i="15"/>
  <c r="Q20" i="15"/>
  <c r="P20" i="15"/>
  <c r="O20" i="15"/>
  <c r="M20" i="15"/>
  <c r="K20" i="15"/>
  <c r="H20" i="15"/>
  <c r="C20" i="15"/>
  <c r="AD19" i="15"/>
  <c r="AB19" i="15"/>
  <c r="Y19" i="15"/>
  <c r="X19" i="15"/>
  <c r="P19" i="15"/>
  <c r="O19" i="15"/>
  <c r="M19" i="15"/>
  <c r="J19" i="15"/>
  <c r="I19" i="15" s="1"/>
  <c r="H19" i="15"/>
  <c r="C19" i="15"/>
  <c r="AB18" i="15"/>
  <c r="AD18" i="15" s="1"/>
  <c r="J18" i="15" s="1"/>
  <c r="Y18" i="15"/>
  <c r="X18" i="15"/>
  <c r="Q18" i="15"/>
  <c r="P18" i="15"/>
  <c r="O18" i="15"/>
  <c r="M18" i="15"/>
  <c r="H18" i="15"/>
  <c r="C18" i="15"/>
  <c r="AB17" i="15"/>
  <c r="AD17" i="15" s="1"/>
  <c r="J17" i="15" s="1"/>
  <c r="Y17" i="15"/>
  <c r="X17" i="15"/>
  <c r="Q17" i="15"/>
  <c r="P17" i="15"/>
  <c r="O17" i="15"/>
  <c r="M17" i="15"/>
  <c r="H17" i="15"/>
  <c r="C17" i="15"/>
  <c r="AD16" i="15"/>
  <c r="J16" i="15" s="1"/>
  <c r="AB16" i="15"/>
  <c r="Y16" i="15"/>
  <c r="X16" i="15"/>
  <c r="Q16" i="15"/>
  <c r="P16" i="15"/>
  <c r="O16" i="15"/>
  <c r="M16" i="15"/>
  <c r="H16" i="15"/>
  <c r="C16" i="15"/>
  <c r="AB15" i="15"/>
  <c r="AD15" i="15" s="1"/>
  <c r="Y15" i="15"/>
  <c r="X15" i="15"/>
  <c r="P15" i="15"/>
  <c r="Q15" i="15" s="1"/>
  <c r="O15" i="15"/>
  <c r="M15" i="15"/>
  <c r="J15" i="15"/>
  <c r="K15" i="15" s="1"/>
  <c r="H15" i="15"/>
  <c r="C15" i="15"/>
  <c r="AD14" i="15"/>
  <c r="J14" i="15" s="1"/>
  <c r="AB14" i="15"/>
  <c r="Y14" i="15"/>
  <c r="X14" i="15"/>
  <c r="Q14" i="15"/>
  <c r="P14" i="15"/>
  <c r="O14" i="15"/>
  <c r="M14" i="15"/>
  <c r="K14" i="15"/>
  <c r="I14" i="15"/>
  <c r="H14" i="15"/>
  <c r="C14" i="15"/>
  <c r="AD13" i="15"/>
  <c r="AB13" i="15"/>
  <c r="Y13" i="15"/>
  <c r="X13" i="15"/>
  <c r="P13" i="15"/>
  <c r="Q13" i="15" s="1"/>
  <c r="O13" i="15"/>
  <c r="M13" i="15"/>
  <c r="J13" i="15"/>
  <c r="K13" i="15" s="1"/>
  <c r="H13" i="15"/>
  <c r="C13" i="15"/>
  <c r="AD12" i="15"/>
  <c r="J12" i="15" s="1"/>
  <c r="AB12" i="15"/>
  <c r="Y12" i="15"/>
  <c r="X12" i="15"/>
  <c r="Q12" i="15"/>
  <c r="P12" i="15"/>
  <c r="O12" i="15"/>
  <c r="M12" i="15"/>
  <c r="K12" i="15"/>
  <c r="I12" i="15"/>
  <c r="H12" i="15"/>
  <c r="C12" i="15"/>
  <c r="AD11" i="15"/>
  <c r="AB11" i="15"/>
  <c r="Y11" i="15"/>
  <c r="X11" i="15"/>
  <c r="P11" i="15"/>
  <c r="O11" i="15"/>
  <c r="Q11" i="15" s="1"/>
  <c r="M11" i="15"/>
  <c r="J11" i="15"/>
  <c r="I11" i="15" s="1"/>
  <c r="H11" i="15"/>
  <c r="C11" i="15"/>
  <c r="AB10" i="15"/>
  <c r="AD10" i="15" s="1"/>
  <c r="Y10" i="15"/>
  <c r="X10" i="15"/>
  <c r="Q10" i="15"/>
  <c r="P10" i="15"/>
  <c r="O10" i="15"/>
  <c r="M10" i="15"/>
  <c r="J10" i="15"/>
  <c r="K10" i="15" s="1"/>
  <c r="H10" i="15"/>
  <c r="C10" i="15"/>
  <c r="AB9" i="15"/>
  <c r="AD9" i="15" s="1"/>
  <c r="Y9" i="15"/>
  <c r="X9" i="15"/>
  <c r="P9" i="15"/>
  <c r="O9" i="15"/>
  <c r="M9" i="15"/>
  <c r="J9" i="15"/>
  <c r="I9" i="15" s="1"/>
  <c r="H9" i="15"/>
  <c r="C9" i="15"/>
  <c r="AB8" i="15"/>
  <c r="AD8" i="15" s="1"/>
  <c r="J8" i="15" s="1"/>
  <c r="Y8" i="15"/>
  <c r="X8" i="15"/>
  <c r="P8" i="15"/>
  <c r="Q8" i="15" s="1"/>
  <c r="O8" i="15"/>
  <c r="M8" i="15"/>
  <c r="H8" i="15"/>
  <c r="C8" i="15"/>
  <c r="AD7" i="15"/>
  <c r="J7" i="15" s="1"/>
  <c r="AB7" i="15"/>
  <c r="Y7" i="15"/>
  <c r="X7" i="15"/>
  <c r="P7" i="15"/>
  <c r="O7" i="15"/>
  <c r="Q7" i="15" s="1"/>
  <c r="M7" i="15"/>
  <c r="H7" i="15"/>
  <c r="C7" i="15"/>
  <c r="AB6" i="15"/>
  <c r="AD6" i="15" s="1"/>
  <c r="J6" i="15" s="1"/>
  <c r="Y6" i="15"/>
  <c r="X6" i="15"/>
  <c r="P6" i="15"/>
  <c r="Q6" i="15" s="1"/>
  <c r="O6" i="15"/>
  <c r="M6" i="15"/>
  <c r="H6" i="15"/>
  <c r="C6" i="15"/>
  <c r="AD5" i="15"/>
  <c r="J5" i="15" s="1"/>
  <c r="K5" i="15" s="1"/>
  <c r="AB5" i="15"/>
  <c r="Y5" i="15"/>
  <c r="X5" i="15"/>
  <c r="Q5" i="15"/>
  <c r="P5" i="15"/>
  <c r="O5" i="15"/>
  <c r="M5" i="15"/>
  <c r="I5" i="15"/>
  <c r="H5" i="15"/>
  <c r="C5" i="15"/>
  <c r="AB4" i="15"/>
  <c r="AD4" i="15" s="1"/>
  <c r="Y4" i="15"/>
  <c r="X4" i="15"/>
  <c r="P4" i="15"/>
  <c r="O4" i="15"/>
  <c r="M4" i="15"/>
  <c r="H4" i="15"/>
  <c r="C4" i="15"/>
  <c r="AG3" i="15"/>
  <c r="AF3" i="15"/>
  <c r="W3" i="15"/>
  <c r="X3" i="15" s="1"/>
  <c r="V3" i="15"/>
  <c r="U3" i="15"/>
  <c r="T3" i="15"/>
  <c r="O3" i="15"/>
  <c r="H3" i="15"/>
  <c r="G3" i="15"/>
  <c r="F3" i="15"/>
  <c r="D3" i="15"/>
  <c r="C3" i="15"/>
  <c r="A2" i="15"/>
  <c r="A1" i="15"/>
  <c r="AB32" i="14"/>
  <c r="AD32" i="14" s="1"/>
  <c r="J32" i="14" s="1"/>
  <c r="Y32" i="14"/>
  <c r="X32" i="14"/>
  <c r="V32" i="14"/>
  <c r="U32" i="14"/>
  <c r="T32" i="14"/>
  <c r="P32" i="14"/>
  <c r="Q32" i="14" s="1"/>
  <c r="O32" i="14"/>
  <c r="M32" i="14"/>
  <c r="H32" i="14"/>
  <c r="C32" i="14"/>
  <c r="AD31" i="14"/>
  <c r="J31" i="14" s="1"/>
  <c r="AB31" i="14"/>
  <c r="Y31" i="14"/>
  <c r="X31" i="14"/>
  <c r="P31" i="14"/>
  <c r="O31" i="14"/>
  <c r="Q31" i="14" s="1"/>
  <c r="M31" i="14"/>
  <c r="H31" i="14"/>
  <c r="C31" i="14"/>
  <c r="AD30" i="14"/>
  <c r="AB30" i="14"/>
  <c r="Y30" i="14"/>
  <c r="X30" i="14"/>
  <c r="P30" i="14"/>
  <c r="Q30" i="14" s="1"/>
  <c r="O30" i="14"/>
  <c r="M30" i="14"/>
  <c r="K30" i="14"/>
  <c r="J30" i="14"/>
  <c r="I30" i="14" s="1"/>
  <c r="H30" i="14"/>
  <c r="C30" i="14"/>
  <c r="AD29" i="14"/>
  <c r="J29" i="14" s="1"/>
  <c r="K29" i="14" s="1"/>
  <c r="AB29" i="14"/>
  <c r="Y29" i="14"/>
  <c r="X29" i="14"/>
  <c r="Q29" i="14"/>
  <c r="P29" i="14"/>
  <c r="O29" i="14"/>
  <c r="M29" i="14"/>
  <c r="I29" i="14"/>
  <c r="H29" i="14"/>
  <c r="C29" i="14"/>
  <c r="AB28" i="14"/>
  <c r="AD28" i="14" s="1"/>
  <c r="J28" i="14" s="1"/>
  <c r="Y28" i="14"/>
  <c r="X28" i="14"/>
  <c r="P28" i="14"/>
  <c r="O28" i="14"/>
  <c r="Q28" i="14" s="1"/>
  <c r="M28" i="14"/>
  <c r="H28" i="14"/>
  <c r="C28" i="14"/>
  <c r="AB27" i="14"/>
  <c r="AD27" i="14" s="1"/>
  <c r="J27" i="14" s="1"/>
  <c r="Y27" i="14"/>
  <c r="X27" i="14"/>
  <c r="Q27" i="14"/>
  <c r="P27" i="14"/>
  <c r="O27" i="14"/>
  <c r="M27" i="14"/>
  <c r="H27" i="14"/>
  <c r="C27" i="14"/>
  <c r="AB26" i="14"/>
  <c r="AD26" i="14" s="1"/>
  <c r="J26" i="14" s="1"/>
  <c r="Y26" i="14"/>
  <c r="X26" i="14"/>
  <c r="P26" i="14"/>
  <c r="Q26" i="14" s="1"/>
  <c r="O26" i="14"/>
  <c r="M26" i="14"/>
  <c r="H26" i="14"/>
  <c r="C26" i="14"/>
  <c r="AD25" i="14"/>
  <c r="J25" i="14" s="1"/>
  <c r="I25" i="14" s="1"/>
  <c r="AB25" i="14"/>
  <c r="Y25" i="14"/>
  <c r="X25" i="14"/>
  <c r="P25" i="14"/>
  <c r="O25" i="14"/>
  <c r="Q25" i="14" s="1"/>
  <c r="M25" i="14"/>
  <c r="H25" i="14"/>
  <c r="C25" i="14"/>
  <c r="AB24" i="14"/>
  <c r="AD24" i="14" s="1"/>
  <c r="J24" i="14" s="1"/>
  <c r="I24" i="14" s="1"/>
  <c r="Y24" i="14"/>
  <c r="X24" i="14"/>
  <c r="V24" i="14"/>
  <c r="U24" i="14"/>
  <c r="T24" i="14"/>
  <c r="P24" i="14"/>
  <c r="O24" i="14"/>
  <c r="Q24" i="14" s="1"/>
  <c r="M24" i="14"/>
  <c r="H24" i="14"/>
  <c r="C24" i="14"/>
  <c r="AB23" i="14"/>
  <c r="AD23" i="14" s="1"/>
  <c r="Y23" i="14"/>
  <c r="X23" i="14"/>
  <c r="P23" i="14"/>
  <c r="Q23" i="14" s="1"/>
  <c r="O23" i="14"/>
  <c r="M23" i="14"/>
  <c r="J23" i="14"/>
  <c r="K23" i="14" s="1"/>
  <c r="H23" i="14"/>
  <c r="C23" i="14"/>
  <c r="AD22" i="14"/>
  <c r="J22" i="14" s="1"/>
  <c r="AB22" i="14"/>
  <c r="Y22" i="14"/>
  <c r="X22" i="14"/>
  <c r="Q22" i="14"/>
  <c r="P22" i="14"/>
  <c r="O22" i="14"/>
  <c r="M22" i="14"/>
  <c r="H22" i="14"/>
  <c r="C22" i="14"/>
  <c r="AD21" i="14"/>
  <c r="AB21" i="14"/>
  <c r="Y21" i="14"/>
  <c r="X21" i="14"/>
  <c r="P21" i="14"/>
  <c r="Q21" i="14" s="1"/>
  <c r="O21" i="14"/>
  <c r="M21" i="14"/>
  <c r="J21" i="14"/>
  <c r="H21" i="14"/>
  <c r="C21" i="14"/>
  <c r="AD20" i="14"/>
  <c r="J20" i="14" s="1"/>
  <c r="K20" i="14" s="1"/>
  <c r="AB20" i="14"/>
  <c r="Y20" i="14"/>
  <c r="X20" i="14"/>
  <c r="Q20" i="14"/>
  <c r="P20" i="14"/>
  <c r="O20" i="14"/>
  <c r="M20" i="14"/>
  <c r="I20" i="14"/>
  <c r="H20" i="14"/>
  <c r="C20" i="14"/>
  <c r="AB19" i="14"/>
  <c r="AD19" i="14" s="1"/>
  <c r="J19" i="14" s="1"/>
  <c r="Y19" i="14"/>
  <c r="X19" i="14"/>
  <c r="P19" i="14"/>
  <c r="O19" i="14"/>
  <c r="M19" i="14"/>
  <c r="H19" i="14"/>
  <c r="C19" i="14"/>
  <c r="AB18" i="14"/>
  <c r="AD18" i="14" s="1"/>
  <c r="J18" i="14" s="1"/>
  <c r="K18" i="14" s="1"/>
  <c r="Y18" i="14"/>
  <c r="X18" i="14"/>
  <c r="Q18" i="14"/>
  <c r="P18" i="14"/>
  <c r="O18" i="14"/>
  <c r="M18" i="14"/>
  <c r="H18" i="14"/>
  <c r="C18" i="14"/>
  <c r="AB17" i="14"/>
  <c r="AD17" i="14" s="1"/>
  <c r="J17" i="14" s="1"/>
  <c r="Y17" i="14"/>
  <c r="X17" i="14"/>
  <c r="P17" i="14"/>
  <c r="Q17" i="14" s="1"/>
  <c r="O17" i="14"/>
  <c r="M17" i="14"/>
  <c r="H17" i="14"/>
  <c r="C17" i="14"/>
  <c r="AD16" i="14"/>
  <c r="J16" i="14" s="1"/>
  <c r="I16" i="14" s="1"/>
  <c r="AB16" i="14"/>
  <c r="Y16" i="14"/>
  <c r="X16" i="14"/>
  <c r="P16" i="14"/>
  <c r="O16" i="14"/>
  <c r="Q16" i="14" s="1"/>
  <c r="M16" i="14"/>
  <c r="H16" i="14"/>
  <c r="C16" i="14"/>
  <c r="AB15" i="14"/>
  <c r="AD15" i="14" s="1"/>
  <c r="J15" i="14" s="1"/>
  <c r="Y15" i="14"/>
  <c r="X15" i="14"/>
  <c r="P15" i="14"/>
  <c r="Q15" i="14" s="1"/>
  <c r="O15" i="14"/>
  <c r="M15" i="14"/>
  <c r="H15" i="14"/>
  <c r="C15" i="14"/>
  <c r="AD14" i="14"/>
  <c r="J14" i="14" s="1"/>
  <c r="AB14" i="14"/>
  <c r="Y14" i="14"/>
  <c r="X14" i="14"/>
  <c r="P14" i="14"/>
  <c r="O14" i="14"/>
  <c r="Q14" i="14" s="1"/>
  <c r="M14" i="14"/>
  <c r="H14" i="14"/>
  <c r="C14" i="14"/>
  <c r="AD13" i="14"/>
  <c r="AB13" i="14"/>
  <c r="Y13" i="14"/>
  <c r="X13" i="14"/>
  <c r="P13" i="14"/>
  <c r="Q13" i="14" s="1"/>
  <c r="O13" i="14"/>
  <c r="M13" i="14"/>
  <c r="K13" i="14"/>
  <c r="J13" i="14"/>
  <c r="I13" i="14" s="1"/>
  <c r="H13" i="14"/>
  <c r="C13" i="14"/>
  <c r="AD12" i="14"/>
  <c r="J12" i="14" s="1"/>
  <c r="K12" i="14" s="1"/>
  <c r="AB12" i="14"/>
  <c r="Y12" i="14"/>
  <c r="X12" i="14"/>
  <c r="Q12" i="14"/>
  <c r="P12" i="14"/>
  <c r="O12" i="14"/>
  <c r="M12" i="14"/>
  <c r="I12" i="14"/>
  <c r="H12" i="14"/>
  <c r="C12" i="14"/>
  <c r="AB11" i="14"/>
  <c r="AD11" i="14" s="1"/>
  <c r="J11" i="14" s="1"/>
  <c r="Y11" i="14"/>
  <c r="X11" i="14"/>
  <c r="P11" i="14"/>
  <c r="O11" i="14"/>
  <c r="Q11" i="14" s="1"/>
  <c r="M11" i="14"/>
  <c r="H11" i="14"/>
  <c r="C11" i="14"/>
  <c r="AD10" i="14"/>
  <c r="J10" i="14" s="1"/>
  <c r="AB10" i="14"/>
  <c r="Y10" i="14"/>
  <c r="X10" i="14"/>
  <c r="Q10" i="14"/>
  <c r="P10" i="14"/>
  <c r="O10" i="14"/>
  <c r="M10" i="14"/>
  <c r="H10" i="14"/>
  <c r="C10" i="14"/>
  <c r="AB9" i="14"/>
  <c r="AD9" i="14" s="1"/>
  <c r="J9" i="14" s="1"/>
  <c r="Y9" i="14"/>
  <c r="X9" i="14"/>
  <c r="Q9" i="14"/>
  <c r="P9" i="14"/>
  <c r="O9" i="14"/>
  <c r="M9" i="14"/>
  <c r="H9" i="14"/>
  <c r="C9" i="14"/>
  <c r="AD8" i="14"/>
  <c r="J8" i="14" s="1"/>
  <c r="I8" i="14" s="1"/>
  <c r="AB8" i="14"/>
  <c r="Y8" i="14"/>
  <c r="X8" i="14"/>
  <c r="P8" i="14"/>
  <c r="O8" i="14"/>
  <c r="Q8" i="14" s="1"/>
  <c r="M8" i="14"/>
  <c r="H8" i="14"/>
  <c r="C8" i="14"/>
  <c r="AB7" i="14"/>
  <c r="AD7" i="14" s="1"/>
  <c r="J7" i="14" s="1"/>
  <c r="Y7" i="14"/>
  <c r="X7" i="14"/>
  <c r="P7" i="14"/>
  <c r="Q7" i="14" s="1"/>
  <c r="O7" i="14"/>
  <c r="M7" i="14"/>
  <c r="H7" i="14"/>
  <c r="C7" i="14"/>
  <c r="AD6" i="14"/>
  <c r="J6" i="14" s="1"/>
  <c r="AB6" i="14"/>
  <c r="Y6" i="14"/>
  <c r="X6" i="14"/>
  <c r="P6" i="14"/>
  <c r="O6" i="14"/>
  <c r="Q6" i="14" s="1"/>
  <c r="M6" i="14"/>
  <c r="H6" i="14"/>
  <c r="C6" i="14"/>
  <c r="AD5" i="14"/>
  <c r="AB5" i="14"/>
  <c r="Y5" i="14"/>
  <c r="X5" i="14"/>
  <c r="P5" i="14"/>
  <c r="Q5" i="14" s="1"/>
  <c r="O5" i="14"/>
  <c r="M5" i="14"/>
  <c r="J5" i="14"/>
  <c r="I5" i="14" s="1"/>
  <c r="H5" i="14"/>
  <c r="C5" i="14"/>
  <c r="AD4" i="14"/>
  <c r="AB4" i="14"/>
  <c r="Y4" i="14"/>
  <c r="X4" i="14"/>
  <c r="Q4" i="14"/>
  <c r="P4" i="14"/>
  <c r="O4" i="14"/>
  <c r="M4" i="14"/>
  <c r="H4" i="14"/>
  <c r="C4" i="14"/>
  <c r="AG3" i="14"/>
  <c r="AF3" i="14"/>
  <c r="W3" i="14"/>
  <c r="V3" i="14"/>
  <c r="U3" i="14"/>
  <c r="T3" i="14"/>
  <c r="O3" i="14"/>
  <c r="G3" i="14"/>
  <c r="H3" i="14" s="1"/>
  <c r="F3" i="14"/>
  <c r="D3" i="14"/>
  <c r="X3" i="14" s="1"/>
  <c r="C3" i="14"/>
  <c r="A2" i="14"/>
  <c r="A1" i="14"/>
  <c r="AD32" i="13"/>
  <c r="J32" i="13" s="1"/>
  <c r="I32" i="13" s="1"/>
  <c r="AB32" i="13"/>
  <c r="Y32" i="13"/>
  <c r="X32" i="13"/>
  <c r="V32" i="13"/>
  <c r="U32" i="13"/>
  <c r="T32" i="13"/>
  <c r="P32" i="13"/>
  <c r="O32" i="13"/>
  <c r="Q32" i="13" s="1"/>
  <c r="M32" i="13"/>
  <c r="H32" i="13"/>
  <c r="C32" i="13"/>
  <c r="AB31" i="13"/>
  <c r="AD31" i="13" s="1"/>
  <c r="Y31" i="13"/>
  <c r="X31" i="13"/>
  <c r="P31" i="13"/>
  <c r="Q31" i="13" s="1"/>
  <c r="O31" i="13"/>
  <c r="M31" i="13"/>
  <c r="J31" i="13"/>
  <c r="K31" i="13" s="1"/>
  <c r="I31" i="13"/>
  <c r="H31" i="13"/>
  <c r="C31" i="13"/>
  <c r="AD30" i="13"/>
  <c r="J30" i="13" s="1"/>
  <c r="AB30" i="13"/>
  <c r="Y30" i="13"/>
  <c r="X30" i="13"/>
  <c r="P30" i="13"/>
  <c r="Q30" i="13" s="1"/>
  <c r="O30" i="13"/>
  <c r="M30" i="13"/>
  <c r="H30" i="13"/>
  <c r="C30" i="13"/>
  <c r="AD29" i="13"/>
  <c r="AB29" i="13"/>
  <c r="Y29" i="13"/>
  <c r="X29" i="13"/>
  <c r="P29" i="13"/>
  <c r="Q29" i="13" s="1"/>
  <c r="O29" i="13"/>
  <c r="M29" i="13"/>
  <c r="K29" i="13"/>
  <c r="J29" i="13"/>
  <c r="I29" i="13" s="1"/>
  <c r="H29" i="13"/>
  <c r="C29" i="13"/>
  <c r="AD28" i="13"/>
  <c r="J28" i="13" s="1"/>
  <c r="K28" i="13" s="1"/>
  <c r="AB28" i="13"/>
  <c r="Y28" i="13"/>
  <c r="X28" i="13"/>
  <c r="Q28" i="13"/>
  <c r="P28" i="13"/>
  <c r="O28" i="13"/>
  <c r="M28" i="13"/>
  <c r="I28" i="13"/>
  <c r="H28" i="13"/>
  <c r="C28" i="13"/>
  <c r="AB27" i="13"/>
  <c r="AD27" i="13" s="1"/>
  <c r="J27" i="13" s="1"/>
  <c r="Y27" i="13"/>
  <c r="X27" i="13"/>
  <c r="P27" i="13"/>
  <c r="O27" i="13"/>
  <c r="M27" i="13"/>
  <c r="H27" i="13"/>
  <c r="C27" i="13"/>
  <c r="AB26" i="13"/>
  <c r="AD26" i="13" s="1"/>
  <c r="J26" i="13" s="1"/>
  <c r="Y26" i="13"/>
  <c r="X26" i="13"/>
  <c r="Q26" i="13"/>
  <c r="P26" i="13"/>
  <c r="O26" i="13"/>
  <c r="M26" i="13"/>
  <c r="H26" i="13"/>
  <c r="C26" i="13"/>
  <c r="AB25" i="13"/>
  <c r="AD25" i="13" s="1"/>
  <c r="J25" i="13" s="1"/>
  <c r="Y25" i="13"/>
  <c r="X25" i="13"/>
  <c r="P25" i="13"/>
  <c r="Q25" i="13" s="1"/>
  <c r="O25" i="13"/>
  <c r="M25" i="13"/>
  <c r="H25" i="13"/>
  <c r="C25" i="13"/>
  <c r="AD24" i="13"/>
  <c r="J24" i="13" s="1"/>
  <c r="AB24" i="13"/>
  <c r="Y24" i="13"/>
  <c r="X24" i="13"/>
  <c r="V24" i="13"/>
  <c r="U24" i="13"/>
  <c r="T24" i="13"/>
  <c r="Q24" i="13"/>
  <c r="P24" i="13"/>
  <c r="O24" i="13"/>
  <c r="M24" i="13"/>
  <c r="H24" i="13"/>
  <c r="C24" i="13"/>
  <c r="AD23" i="13"/>
  <c r="J23" i="13" s="1"/>
  <c r="I23" i="13" s="1"/>
  <c r="AB23" i="13"/>
  <c r="Y23" i="13"/>
  <c r="X23" i="13"/>
  <c r="P23" i="13"/>
  <c r="O23" i="13"/>
  <c r="Q23" i="13" s="1"/>
  <c r="M23" i="13"/>
  <c r="K23" i="13"/>
  <c r="H23" i="13"/>
  <c r="C23" i="13"/>
  <c r="AB22" i="13"/>
  <c r="AD22" i="13" s="1"/>
  <c r="Y22" i="13"/>
  <c r="X22" i="13"/>
  <c r="P22" i="13"/>
  <c r="Q22" i="13" s="1"/>
  <c r="O22" i="13"/>
  <c r="M22" i="13"/>
  <c r="J22" i="13"/>
  <c r="K22" i="13" s="1"/>
  <c r="H22" i="13"/>
  <c r="C22" i="13"/>
  <c r="AD21" i="13"/>
  <c r="J21" i="13" s="1"/>
  <c r="AB21" i="13"/>
  <c r="Y21" i="13"/>
  <c r="X21" i="13"/>
  <c r="Q21" i="13"/>
  <c r="P21" i="13"/>
  <c r="O21" i="13"/>
  <c r="M21" i="13"/>
  <c r="H21" i="13"/>
  <c r="C21" i="13"/>
  <c r="AB20" i="13"/>
  <c r="AD20" i="13" s="1"/>
  <c r="J20" i="13" s="1"/>
  <c r="Y20" i="13"/>
  <c r="X20" i="13"/>
  <c r="P20" i="13"/>
  <c r="Q20" i="13" s="1"/>
  <c r="O20" i="13"/>
  <c r="M20" i="13"/>
  <c r="H20" i="13"/>
  <c r="C20" i="13"/>
  <c r="AD19" i="13"/>
  <c r="J19" i="13" s="1"/>
  <c r="K19" i="13" s="1"/>
  <c r="AB19" i="13"/>
  <c r="Y19" i="13"/>
  <c r="X19" i="13"/>
  <c r="Q19" i="13"/>
  <c r="P19" i="13"/>
  <c r="O19" i="13"/>
  <c r="M19" i="13"/>
  <c r="I19" i="13"/>
  <c r="H19" i="13"/>
  <c r="C19" i="13"/>
  <c r="AB18" i="13"/>
  <c r="AD18" i="13" s="1"/>
  <c r="J18" i="13" s="1"/>
  <c r="Y18" i="13"/>
  <c r="X18" i="13"/>
  <c r="P18" i="13"/>
  <c r="O18" i="13"/>
  <c r="M18" i="13"/>
  <c r="H18" i="13"/>
  <c r="C18" i="13"/>
  <c r="AB17" i="13"/>
  <c r="AD17" i="13" s="1"/>
  <c r="J17" i="13" s="1"/>
  <c r="K17" i="13" s="1"/>
  <c r="Y17" i="13"/>
  <c r="X17" i="13"/>
  <c r="Q17" i="13"/>
  <c r="P17" i="13"/>
  <c r="O17" i="13"/>
  <c r="M17" i="13"/>
  <c r="I17" i="13"/>
  <c r="H17" i="13"/>
  <c r="C17" i="13"/>
  <c r="AB16" i="13"/>
  <c r="AD16" i="13" s="1"/>
  <c r="J16" i="13" s="1"/>
  <c r="Y16" i="13"/>
  <c r="X16" i="13"/>
  <c r="P16" i="13"/>
  <c r="Q16" i="13" s="1"/>
  <c r="O16" i="13"/>
  <c r="M16" i="13"/>
  <c r="H16" i="13"/>
  <c r="C16" i="13"/>
  <c r="AD15" i="13"/>
  <c r="J15" i="13" s="1"/>
  <c r="I15" i="13" s="1"/>
  <c r="AB15" i="13"/>
  <c r="Y15" i="13"/>
  <c r="X15" i="13"/>
  <c r="P15" i="13"/>
  <c r="O15" i="13"/>
  <c r="Q15" i="13" s="1"/>
  <c r="M15" i="13"/>
  <c r="H15" i="13"/>
  <c r="C15" i="13"/>
  <c r="AB14" i="13"/>
  <c r="AD14" i="13" s="1"/>
  <c r="J14" i="13" s="1"/>
  <c r="Y14" i="13"/>
  <c r="X14" i="13"/>
  <c r="P14" i="13"/>
  <c r="Q14" i="13" s="1"/>
  <c r="O14" i="13"/>
  <c r="M14" i="13"/>
  <c r="H14" i="13"/>
  <c r="C14" i="13"/>
  <c r="AD13" i="13"/>
  <c r="J13" i="13" s="1"/>
  <c r="AB13" i="13"/>
  <c r="Y13" i="13"/>
  <c r="X13" i="13"/>
  <c r="P13" i="13"/>
  <c r="O13" i="13"/>
  <c r="Q13" i="13" s="1"/>
  <c r="M13" i="13"/>
  <c r="H13" i="13"/>
  <c r="C13" i="13"/>
  <c r="AD12" i="13"/>
  <c r="AB12" i="13"/>
  <c r="Y12" i="13"/>
  <c r="X12" i="13"/>
  <c r="P12" i="13"/>
  <c r="Q12" i="13" s="1"/>
  <c r="O12" i="13"/>
  <c r="M12" i="13"/>
  <c r="K12" i="13"/>
  <c r="J12" i="13"/>
  <c r="I12" i="13" s="1"/>
  <c r="H12" i="13"/>
  <c r="C12" i="13"/>
  <c r="AD11" i="13"/>
  <c r="J11" i="13" s="1"/>
  <c r="K11" i="13" s="1"/>
  <c r="AB11" i="13"/>
  <c r="Y11" i="13"/>
  <c r="X11" i="13"/>
  <c r="Q11" i="13"/>
  <c r="P11" i="13"/>
  <c r="O11" i="13"/>
  <c r="M11" i="13"/>
  <c r="I11" i="13"/>
  <c r="H11" i="13"/>
  <c r="C11" i="13"/>
  <c r="AB10" i="13"/>
  <c r="AD10" i="13" s="1"/>
  <c r="J10" i="13" s="1"/>
  <c r="Y10" i="13"/>
  <c r="X10" i="13"/>
  <c r="P10" i="13"/>
  <c r="O10" i="13"/>
  <c r="Q10" i="13" s="1"/>
  <c r="M10" i="13"/>
  <c r="H10" i="13"/>
  <c r="C10" i="13"/>
  <c r="AD9" i="13"/>
  <c r="J9" i="13" s="1"/>
  <c r="AB9" i="13"/>
  <c r="Y9" i="13"/>
  <c r="X9" i="13"/>
  <c r="Q9" i="13"/>
  <c r="P9" i="13"/>
  <c r="O9" i="13"/>
  <c r="M9" i="13"/>
  <c r="H9" i="13"/>
  <c r="C9" i="13"/>
  <c r="AB8" i="13"/>
  <c r="AD8" i="13" s="1"/>
  <c r="J8" i="13" s="1"/>
  <c r="Y8" i="13"/>
  <c r="X8" i="13"/>
  <c r="Q8" i="13"/>
  <c r="P8" i="13"/>
  <c r="O8" i="13"/>
  <c r="M8" i="13"/>
  <c r="H8" i="13"/>
  <c r="C8" i="13"/>
  <c r="AD7" i="13"/>
  <c r="J7" i="13" s="1"/>
  <c r="I7" i="13" s="1"/>
  <c r="AB7" i="13"/>
  <c r="Y7" i="13"/>
  <c r="X7" i="13"/>
  <c r="P7" i="13"/>
  <c r="O7" i="13"/>
  <c r="Q7" i="13" s="1"/>
  <c r="M7" i="13"/>
  <c r="H7" i="13"/>
  <c r="C7" i="13"/>
  <c r="AB6" i="13"/>
  <c r="AD6" i="13" s="1"/>
  <c r="J6" i="13" s="1"/>
  <c r="Y6" i="13"/>
  <c r="X6" i="13"/>
  <c r="P6" i="13"/>
  <c r="Q6" i="13" s="1"/>
  <c r="O6" i="13"/>
  <c r="M6" i="13"/>
  <c r="H6" i="13"/>
  <c r="C6" i="13"/>
  <c r="AD5" i="13"/>
  <c r="J5" i="13" s="1"/>
  <c r="I5" i="13" s="1"/>
  <c r="AB5" i="13"/>
  <c r="Y5" i="13"/>
  <c r="X5" i="13"/>
  <c r="P5" i="13"/>
  <c r="O5" i="13"/>
  <c r="Q5" i="13" s="1"/>
  <c r="M5" i="13"/>
  <c r="K5" i="13"/>
  <c r="H5" i="13"/>
  <c r="C5" i="13"/>
  <c r="AB4" i="13"/>
  <c r="AD4" i="13" s="1"/>
  <c r="Y4" i="13"/>
  <c r="X4" i="13"/>
  <c r="P4" i="13"/>
  <c r="Q4" i="13" s="1"/>
  <c r="O4" i="13"/>
  <c r="M4" i="13"/>
  <c r="H4" i="13"/>
  <c r="C4" i="13"/>
  <c r="AG3" i="13"/>
  <c r="AF3" i="13"/>
  <c r="W3" i="13"/>
  <c r="X3" i="13" s="1"/>
  <c r="V3" i="13"/>
  <c r="U3" i="13"/>
  <c r="T3" i="13"/>
  <c r="O3" i="13"/>
  <c r="G3" i="13"/>
  <c r="F3" i="13"/>
  <c r="H3" i="13" s="1"/>
  <c r="D3" i="13"/>
  <c r="C3" i="13"/>
  <c r="A2" i="13"/>
  <c r="A1" i="13"/>
  <c r="AD32" i="12"/>
  <c r="J32" i="12" s="1"/>
  <c r="AB32" i="12"/>
  <c r="Y32" i="12"/>
  <c r="X32" i="12"/>
  <c r="V32" i="12"/>
  <c r="U32" i="12"/>
  <c r="T32" i="12"/>
  <c r="Q32" i="12"/>
  <c r="P32" i="12"/>
  <c r="O32" i="12"/>
  <c r="M32" i="12"/>
  <c r="H32" i="12"/>
  <c r="C32" i="12"/>
  <c r="AD31" i="12"/>
  <c r="J31" i="12" s="1"/>
  <c r="K31" i="12" s="1"/>
  <c r="AB31" i="12"/>
  <c r="Y31" i="12"/>
  <c r="X31" i="12"/>
  <c r="P31" i="12"/>
  <c r="O31" i="12"/>
  <c r="Q31" i="12" s="1"/>
  <c r="M31" i="12"/>
  <c r="H31" i="12"/>
  <c r="C31" i="12"/>
  <c r="AB30" i="12"/>
  <c r="AD30" i="12" s="1"/>
  <c r="Y30" i="12"/>
  <c r="X30" i="12"/>
  <c r="P30" i="12"/>
  <c r="Q30" i="12" s="1"/>
  <c r="O30" i="12"/>
  <c r="M30" i="12"/>
  <c r="J30" i="12"/>
  <c r="H30" i="12"/>
  <c r="C30" i="12"/>
  <c r="AD29" i="12"/>
  <c r="J29" i="12" s="1"/>
  <c r="I29" i="12" s="1"/>
  <c r="AB29" i="12"/>
  <c r="Y29" i="12"/>
  <c r="X29" i="12"/>
  <c r="Q29" i="12"/>
  <c r="P29" i="12"/>
  <c r="O29" i="12"/>
  <c r="M29" i="12"/>
  <c r="K29" i="12"/>
  <c r="H29" i="12"/>
  <c r="C29" i="12"/>
  <c r="AB28" i="12"/>
  <c r="AD28" i="12" s="1"/>
  <c r="J28" i="12" s="1"/>
  <c r="Y28" i="12"/>
  <c r="X28" i="12"/>
  <c r="P28" i="12"/>
  <c r="Q28" i="12" s="1"/>
  <c r="O28" i="12"/>
  <c r="M28" i="12"/>
  <c r="H28" i="12"/>
  <c r="C28" i="12"/>
  <c r="AD27" i="12"/>
  <c r="J27" i="12" s="1"/>
  <c r="K27" i="12" s="1"/>
  <c r="AB27" i="12"/>
  <c r="Y27" i="12"/>
  <c r="X27" i="12"/>
  <c r="P27" i="12"/>
  <c r="O27" i="12"/>
  <c r="Q27" i="12" s="1"/>
  <c r="M27" i="12"/>
  <c r="I27" i="12"/>
  <c r="H27" i="12"/>
  <c r="C27" i="12"/>
  <c r="AB26" i="12"/>
  <c r="AD26" i="12" s="1"/>
  <c r="J26" i="12" s="1"/>
  <c r="Y26" i="12"/>
  <c r="X26" i="12"/>
  <c r="P26" i="12"/>
  <c r="O26" i="12"/>
  <c r="M26" i="12"/>
  <c r="H26" i="12"/>
  <c r="C26" i="12"/>
  <c r="AB25" i="12"/>
  <c r="AD25" i="12" s="1"/>
  <c r="Y25" i="12"/>
  <c r="X25" i="12"/>
  <c r="Q25" i="12"/>
  <c r="P25" i="12"/>
  <c r="O25" i="12"/>
  <c r="M25" i="12"/>
  <c r="J25" i="12"/>
  <c r="K25" i="12" s="1"/>
  <c r="H25" i="12"/>
  <c r="C25" i="12"/>
  <c r="AB24" i="12"/>
  <c r="AD24" i="12" s="1"/>
  <c r="Y24" i="12"/>
  <c r="X24" i="12"/>
  <c r="V24" i="12"/>
  <c r="U24" i="12"/>
  <c r="T24" i="12"/>
  <c r="Q24" i="12"/>
  <c r="P24" i="12"/>
  <c r="O24" i="12"/>
  <c r="M24" i="12"/>
  <c r="J24" i="12"/>
  <c r="K24" i="12" s="1"/>
  <c r="I24" i="12"/>
  <c r="H24" i="12"/>
  <c r="C24" i="12"/>
  <c r="AB23" i="12"/>
  <c r="AD23" i="12" s="1"/>
  <c r="J23" i="12" s="1"/>
  <c r="Y23" i="12"/>
  <c r="X23" i="12"/>
  <c r="P23" i="12"/>
  <c r="Q23" i="12" s="1"/>
  <c r="O23" i="12"/>
  <c r="M23" i="12"/>
  <c r="H23" i="12"/>
  <c r="C23" i="12"/>
  <c r="AD22" i="12"/>
  <c r="J22" i="12" s="1"/>
  <c r="K22" i="12" s="1"/>
  <c r="AB22" i="12"/>
  <c r="Y22" i="12"/>
  <c r="X22" i="12"/>
  <c r="P22" i="12"/>
  <c r="O22" i="12"/>
  <c r="Q22" i="12" s="1"/>
  <c r="M22" i="12"/>
  <c r="I22" i="12"/>
  <c r="H22" i="12"/>
  <c r="C22" i="12"/>
  <c r="AB21" i="12"/>
  <c r="AD21" i="12" s="1"/>
  <c r="J21" i="12" s="1"/>
  <c r="Y21" i="12"/>
  <c r="X21" i="12"/>
  <c r="P21" i="12"/>
  <c r="Q21" i="12" s="1"/>
  <c r="O21" i="12"/>
  <c r="M21" i="12"/>
  <c r="H21" i="12"/>
  <c r="C21" i="12"/>
  <c r="AD20" i="12"/>
  <c r="J20" i="12" s="1"/>
  <c r="I20" i="12" s="1"/>
  <c r="AB20" i="12"/>
  <c r="Y20" i="12"/>
  <c r="X20" i="12"/>
  <c r="P20" i="12"/>
  <c r="O20" i="12"/>
  <c r="Q20" i="12" s="1"/>
  <c r="M20" i="12"/>
  <c r="K20" i="12"/>
  <c r="H20" i="12"/>
  <c r="C20" i="12"/>
  <c r="AD19" i="12"/>
  <c r="AB19" i="12"/>
  <c r="Y19" i="12"/>
  <c r="X19" i="12"/>
  <c r="P19" i="12"/>
  <c r="Q19" i="12" s="1"/>
  <c r="O19" i="12"/>
  <c r="M19" i="12"/>
  <c r="J19" i="12"/>
  <c r="I19" i="12" s="1"/>
  <c r="H19" i="12"/>
  <c r="C19" i="12"/>
  <c r="AD18" i="12"/>
  <c r="J18" i="12" s="1"/>
  <c r="K18" i="12" s="1"/>
  <c r="AB18" i="12"/>
  <c r="Y18" i="12"/>
  <c r="X18" i="12"/>
  <c r="P18" i="12"/>
  <c r="O18" i="12"/>
  <c r="Q18" i="12" s="1"/>
  <c r="M18" i="12"/>
  <c r="I18" i="12"/>
  <c r="H18" i="12"/>
  <c r="C18" i="12"/>
  <c r="AB17" i="12"/>
  <c r="AD17" i="12" s="1"/>
  <c r="Y17" i="12"/>
  <c r="X17" i="12"/>
  <c r="P17" i="12"/>
  <c r="O17" i="12"/>
  <c r="Q17" i="12" s="1"/>
  <c r="M17" i="12"/>
  <c r="J17" i="12"/>
  <c r="H17" i="12"/>
  <c r="C17" i="12"/>
  <c r="AB16" i="12"/>
  <c r="AD16" i="12" s="1"/>
  <c r="J16" i="12" s="1"/>
  <c r="Y16" i="12"/>
  <c r="X16" i="12"/>
  <c r="Q16" i="12"/>
  <c r="P16" i="12"/>
  <c r="O16" i="12"/>
  <c r="M16" i="12"/>
  <c r="H16" i="12"/>
  <c r="C16" i="12"/>
  <c r="AB15" i="12"/>
  <c r="AD15" i="12" s="1"/>
  <c r="J15" i="12" s="1"/>
  <c r="Y15" i="12"/>
  <c r="X15" i="12"/>
  <c r="P15" i="12"/>
  <c r="Q15" i="12" s="1"/>
  <c r="O15" i="12"/>
  <c r="M15" i="12"/>
  <c r="H15" i="12"/>
  <c r="C15" i="12"/>
  <c r="AD14" i="12"/>
  <c r="J14" i="12" s="1"/>
  <c r="AB14" i="12"/>
  <c r="Y14" i="12"/>
  <c r="X14" i="12"/>
  <c r="P14" i="12"/>
  <c r="O14" i="12"/>
  <c r="Q14" i="12" s="1"/>
  <c r="M14" i="12"/>
  <c r="K14" i="12"/>
  <c r="I14" i="12"/>
  <c r="H14" i="12"/>
  <c r="C14" i="12"/>
  <c r="AB13" i="12"/>
  <c r="AD13" i="12" s="1"/>
  <c r="J13" i="12" s="1"/>
  <c r="Y13" i="12"/>
  <c r="X13" i="12"/>
  <c r="P13" i="12"/>
  <c r="Q13" i="12" s="1"/>
  <c r="O13" i="12"/>
  <c r="M13" i="12"/>
  <c r="H13" i="12"/>
  <c r="C13" i="12"/>
  <c r="AD12" i="12"/>
  <c r="J12" i="12" s="1"/>
  <c r="I12" i="12" s="1"/>
  <c r="AB12" i="12"/>
  <c r="Y12" i="12"/>
  <c r="X12" i="12"/>
  <c r="P12" i="12"/>
  <c r="O12" i="12"/>
  <c r="Q12" i="12" s="1"/>
  <c r="M12" i="12"/>
  <c r="K12" i="12"/>
  <c r="H12" i="12"/>
  <c r="C12" i="12"/>
  <c r="AD11" i="12"/>
  <c r="AB11" i="12"/>
  <c r="Y11" i="12"/>
  <c r="X11" i="12"/>
  <c r="P11" i="12"/>
  <c r="Q11" i="12" s="1"/>
  <c r="O11" i="12"/>
  <c r="M11" i="12"/>
  <c r="K11" i="12"/>
  <c r="J11" i="12"/>
  <c r="I11" i="12" s="1"/>
  <c r="H11" i="12"/>
  <c r="C11" i="12"/>
  <c r="AD10" i="12"/>
  <c r="J10" i="12" s="1"/>
  <c r="K10" i="12" s="1"/>
  <c r="AB10" i="12"/>
  <c r="Y10" i="12"/>
  <c r="X10" i="12"/>
  <c r="Q10" i="12"/>
  <c r="P10" i="12"/>
  <c r="O10" i="12"/>
  <c r="M10" i="12"/>
  <c r="I10" i="12"/>
  <c r="H10" i="12"/>
  <c r="C10" i="12"/>
  <c r="AB9" i="12"/>
  <c r="AD9" i="12" s="1"/>
  <c r="J9" i="12" s="1"/>
  <c r="Y9" i="12"/>
  <c r="X9" i="12"/>
  <c r="P9" i="12"/>
  <c r="O9" i="12"/>
  <c r="M9" i="12"/>
  <c r="H9" i="12"/>
  <c r="C9" i="12"/>
  <c r="AB8" i="12"/>
  <c r="AD8" i="12" s="1"/>
  <c r="J8" i="12" s="1"/>
  <c r="Y8" i="12"/>
  <c r="X8" i="12"/>
  <c r="Q8" i="12"/>
  <c r="P8" i="12"/>
  <c r="O8" i="12"/>
  <c r="M8" i="12"/>
  <c r="H8" i="12"/>
  <c r="C8" i="12"/>
  <c r="AB7" i="12"/>
  <c r="AD7" i="12" s="1"/>
  <c r="J7" i="12" s="1"/>
  <c r="Y7" i="12"/>
  <c r="X7" i="12"/>
  <c r="P7" i="12"/>
  <c r="Q7" i="12" s="1"/>
  <c r="O7" i="12"/>
  <c r="M7" i="12"/>
  <c r="H7" i="12"/>
  <c r="C7" i="12"/>
  <c r="AD6" i="12"/>
  <c r="J6" i="12" s="1"/>
  <c r="K6" i="12" s="1"/>
  <c r="AB6" i="12"/>
  <c r="Y6" i="12"/>
  <c r="X6" i="12"/>
  <c r="P6" i="12"/>
  <c r="O6" i="12"/>
  <c r="Q6" i="12" s="1"/>
  <c r="M6" i="12"/>
  <c r="I6" i="12"/>
  <c r="H6" i="12"/>
  <c r="C6" i="12"/>
  <c r="AB5" i="12"/>
  <c r="AD5" i="12" s="1"/>
  <c r="J5" i="12" s="1"/>
  <c r="K5" i="12" s="1"/>
  <c r="Y5" i="12"/>
  <c r="X5" i="12"/>
  <c r="P5" i="12"/>
  <c r="Q5" i="12" s="1"/>
  <c r="O5" i="12"/>
  <c r="M5" i="12"/>
  <c r="H5" i="12"/>
  <c r="C5" i="12"/>
  <c r="AD4" i="12"/>
  <c r="AB4" i="12"/>
  <c r="Y4" i="12"/>
  <c r="X4" i="12"/>
  <c r="P4" i="12"/>
  <c r="O4" i="12"/>
  <c r="M4" i="12"/>
  <c r="H4" i="12"/>
  <c r="C4" i="12"/>
  <c r="AG3" i="12"/>
  <c r="AF3" i="12"/>
  <c r="X3" i="12"/>
  <c r="W3" i="12"/>
  <c r="V3" i="12"/>
  <c r="U3" i="12"/>
  <c r="T3" i="12"/>
  <c r="O3" i="12"/>
  <c r="G3" i="12"/>
  <c r="H3" i="12" s="1"/>
  <c r="F3" i="12"/>
  <c r="D3" i="12"/>
  <c r="C3" i="12"/>
  <c r="A2" i="12"/>
  <c r="A1" i="12"/>
  <c r="AD32" i="11"/>
  <c r="J32" i="11" s="1"/>
  <c r="AB32" i="11"/>
  <c r="Y32" i="11"/>
  <c r="X32" i="11"/>
  <c r="V32" i="11"/>
  <c r="U32" i="11"/>
  <c r="T32" i="11"/>
  <c r="Q32" i="11"/>
  <c r="P32" i="11"/>
  <c r="O32" i="11"/>
  <c r="M32" i="11"/>
  <c r="H32" i="11"/>
  <c r="C32" i="11"/>
  <c r="AB31" i="11"/>
  <c r="AD31" i="11" s="1"/>
  <c r="J31" i="11" s="1"/>
  <c r="Y31" i="11"/>
  <c r="X31" i="11"/>
  <c r="Q31" i="11"/>
  <c r="P31" i="11"/>
  <c r="O31" i="11"/>
  <c r="M31" i="11"/>
  <c r="H31" i="11"/>
  <c r="C31" i="11"/>
  <c r="AD30" i="11"/>
  <c r="J30" i="11" s="1"/>
  <c r="K30" i="11" s="1"/>
  <c r="AB30" i="11"/>
  <c r="Y30" i="11"/>
  <c r="X30" i="11"/>
  <c r="P30" i="11"/>
  <c r="O30" i="11"/>
  <c r="Q30" i="11" s="1"/>
  <c r="M30" i="11"/>
  <c r="H30" i="11"/>
  <c r="C30" i="11"/>
  <c r="AB29" i="11"/>
  <c r="AD29" i="11" s="1"/>
  <c r="Y29" i="11"/>
  <c r="X29" i="11"/>
  <c r="P29" i="11"/>
  <c r="Q29" i="11" s="1"/>
  <c r="O29" i="11"/>
  <c r="M29" i="11"/>
  <c r="J29" i="11"/>
  <c r="H29" i="11"/>
  <c r="C29" i="11"/>
  <c r="AD28" i="11"/>
  <c r="J28" i="11" s="1"/>
  <c r="I28" i="11" s="1"/>
  <c r="AB28" i="11"/>
  <c r="Y28" i="11"/>
  <c r="X28" i="11"/>
  <c r="Q28" i="11"/>
  <c r="P28" i="11"/>
  <c r="O28" i="11"/>
  <c r="M28" i="11"/>
  <c r="K28" i="11"/>
  <c r="H28" i="11"/>
  <c r="C28" i="11"/>
  <c r="AD27" i="11"/>
  <c r="AB27" i="11"/>
  <c r="Y27" i="11"/>
  <c r="X27" i="11"/>
  <c r="P27" i="11"/>
  <c r="Q27" i="11" s="1"/>
  <c r="O27" i="11"/>
  <c r="M27" i="11"/>
  <c r="J27" i="11"/>
  <c r="H27" i="11"/>
  <c r="C27" i="11"/>
  <c r="AD26" i="11"/>
  <c r="J26" i="11" s="1"/>
  <c r="AB26" i="11"/>
  <c r="Y26" i="11"/>
  <c r="X26" i="11"/>
  <c r="P26" i="11"/>
  <c r="O26" i="11"/>
  <c r="Q26" i="11" s="1"/>
  <c r="M26" i="11"/>
  <c r="K26" i="11"/>
  <c r="I26" i="11"/>
  <c r="H26" i="11"/>
  <c r="C26" i="11"/>
  <c r="AB25" i="11"/>
  <c r="AD25" i="11" s="1"/>
  <c r="J25" i="11" s="1"/>
  <c r="Y25" i="11"/>
  <c r="X25" i="11"/>
  <c r="P25" i="11"/>
  <c r="O25" i="11"/>
  <c r="M25" i="11"/>
  <c r="H25" i="11"/>
  <c r="C25" i="11"/>
  <c r="AD24" i="11"/>
  <c r="J24" i="11" s="1"/>
  <c r="AB24" i="11"/>
  <c r="Y24" i="11"/>
  <c r="X24" i="11"/>
  <c r="V24" i="11"/>
  <c r="U24" i="11"/>
  <c r="T24" i="11"/>
  <c r="P24" i="11"/>
  <c r="O24" i="11"/>
  <c r="Q24" i="11" s="1"/>
  <c r="M24" i="11"/>
  <c r="H24" i="11"/>
  <c r="C24" i="11"/>
  <c r="AB23" i="11"/>
  <c r="AD23" i="11" s="1"/>
  <c r="J23" i="11" s="1"/>
  <c r="Y23" i="11"/>
  <c r="X23" i="11"/>
  <c r="Q23" i="11"/>
  <c r="P23" i="11"/>
  <c r="O23" i="11"/>
  <c r="M23" i="11"/>
  <c r="H23" i="11"/>
  <c r="C23" i="11"/>
  <c r="AB22" i="11"/>
  <c r="AD22" i="11" s="1"/>
  <c r="Y22" i="11"/>
  <c r="X22" i="11"/>
  <c r="P22" i="11"/>
  <c r="Q22" i="11" s="1"/>
  <c r="O22" i="11"/>
  <c r="M22" i="11"/>
  <c r="J22" i="11"/>
  <c r="H22" i="11"/>
  <c r="C22" i="11"/>
  <c r="AD21" i="11"/>
  <c r="J21" i="11" s="1"/>
  <c r="I21" i="11" s="1"/>
  <c r="AB21" i="11"/>
  <c r="Y21" i="11"/>
  <c r="X21" i="11"/>
  <c r="Q21" i="11"/>
  <c r="P21" i="11"/>
  <c r="O21" i="11"/>
  <c r="M21" i="11"/>
  <c r="K21" i="11"/>
  <c r="H21" i="11"/>
  <c r="C21" i="11"/>
  <c r="AB20" i="11"/>
  <c r="AD20" i="11" s="1"/>
  <c r="J20" i="11" s="1"/>
  <c r="Y20" i="11"/>
  <c r="X20" i="11"/>
  <c r="P20" i="11"/>
  <c r="Q20" i="11" s="1"/>
  <c r="O20" i="11"/>
  <c r="M20" i="11"/>
  <c r="H20" i="11"/>
  <c r="C20" i="11"/>
  <c r="AD19" i="11"/>
  <c r="J19" i="11" s="1"/>
  <c r="I19" i="11" s="1"/>
  <c r="AB19" i="11"/>
  <c r="Y19" i="11"/>
  <c r="X19" i="11"/>
  <c r="P19" i="11"/>
  <c r="O19" i="11"/>
  <c r="Q19" i="11" s="1"/>
  <c r="M19" i="11"/>
  <c r="K19" i="11"/>
  <c r="H19" i="11"/>
  <c r="C19" i="11"/>
  <c r="AB18" i="11"/>
  <c r="AD18" i="11" s="1"/>
  <c r="J18" i="11" s="1"/>
  <c r="Y18" i="11"/>
  <c r="X18" i="11"/>
  <c r="P18" i="11"/>
  <c r="Q18" i="11" s="1"/>
  <c r="O18" i="11"/>
  <c r="M18" i="11"/>
  <c r="H18" i="11"/>
  <c r="C18" i="11"/>
  <c r="AD17" i="11"/>
  <c r="J17" i="11" s="1"/>
  <c r="I17" i="11" s="1"/>
  <c r="AB17" i="11"/>
  <c r="Y17" i="11"/>
  <c r="X17" i="11"/>
  <c r="P17" i="11"/>
  <c r="O17" i="11"/>
  <c r="Q17" i="11" s="1"/>
  <c r="M17" i="11"/>
  <c r="K17" i="11"/>
  <c r="H17" i="11"/>
  <c r="C17" i="11"/>
  <c r="AB16" i="11"/>
  <c r="AD16" i="11" s="1"/>
  <c r="Y16" i="11"/>
  <c r="X16" i="11"/>
  <c r="P16" i="11"/>
  <c r="O16" i="11"/>
  <c r="M16" i="11"/>
  <c r="J16" i="11"/>
  <c r="H16" i="11"/>
  <c r="C16" i="11"/>
  <c r="AB15" i="11"/>
  <c r="AD15" i="11" s="1"/>
  <c r="J15" i="11" s="1"/>
  <c r="K15" i="11" s="1"/>
  <c r="Y15" i="11"/>
  <c r="X15" i="11"/>
  <c r="P15" i="11"/>
  <c r="O15" i="11"/>
  <c r="Q15" i="11" s="1"/>
  <c r="M15" i="11"/>
  <c r="H15" i="11"/>
  <c r="C15" i="11"/>
  <c r="AB14" i="11"/>
  <c r="AD14" i="11" s="1"/>
  <c r="Y14" i="11"/>
  <c r="X14" i="11"/>
  <c r="P14" i="11"/>
  <c r="Q14" i="11" s="1"/>
  <c r="O14" i="11"/>
  <c r="M14" i="11"/>
  <c r="J14" i="11"/>
  <c r="H14" i="11"/>
  <c r="C14" i="11"/>
  <c r="AD13" i="11"/>
  <c r="J13" i="11" s="1"/>
  <c r="AB13" i="11"/>
  <c r="Y13" i="11"/>
  <c r="X13" i="11"/>
  <c r="Q13" i="11"/>
  <c r="P13" i="11"/>
  <c r="O13" i="11"/>
  <c r="M13" i="11"/>
  <c r="K13" i="11"/>
  <c r="I13" i="11"/>
  <c r="H13" i="11"/>
  <c r="C13" i="11"/>
  <c r="AB12" i="11"/>
  <c r="AD12" i="11" s="1"/>
  <c r="J12" i="11" s="1"/>
  <c r="K12" i="11" s="1"/>
  <c r="Y12" i="11"/>
  <c r="X12" i="11"/>
  <c r="P12" i="11"/>
  <c r="Q12" i="11" s="1"/>
  <c r="O12" i="11"/>
  <c r="M12" i="11"/>
  <c r="I12" i="11"/>
  <c r="H12" i="11"/>
  <c r="C12" i="11"/>
  <c r="AD11" i="11"/>
  <c r="J11" i="11" s="1"/>
  <c r="AB11" i="11"/>
  <c r="Y11" i="11"/>
  <c r="X11" i="11"/>
  <c r="P11" i="11"/>
  <c r="O11" i="11"/>
  <c r="M11" i="11"/>
  <c r="K11" i="11"/>
  <c r="I11" i="11"/>
  <c r="H11" i="11"/>
  <c r="C11" i="11"/>
  <c r="AB10" i="11"/>
  <c r="AD10" i="11" s="1"/>
  <c r="J10" i="11" s="1"/>
  <c r="Y10" i="11"/>
  <c r="X10" i="11"/>
  <c r="P10" i="11"/>
  <c r="Q10" i="11" s="1"/>
  <c r="O10" i="11"/>
  <c r="M10" i="11"/>
  <c r="H10" i="11"/>
  <c r="C10" i="11"/>
  <c r="AD9" i="11"/>
  <c r="J9" i="11" s="1"/>
  <c r="I9" i="11" s="1"/>
  <c r="AB9" i="11"/>
  <c r="Y9" i="11"/>
  <c r="X9" i="11"/>
  <c r="P9" i="11"/>
  <c r="O9" i="11"/>
  <c r="Q9" i="11" s="1"/>
  <c r="M9" i="11"/>
  <c r="K9" i="11"/>
  <c r="H9" i="11"/>
  <c r="C9" i="11"/>
  <c r="AB8" i="11"/>
  <c r="AD8" i="11" s="1"/>
  <c r="Y8" i="11"/>
  <c r="X8" i="11"/>
  <c r="P8" i="11"/>
  <c r="O8" i="11"/>
  <c r="M8" i="11"/>
  <c r="J8" i="11"/>
  <c r="H8" i="11"/>
  <c r="C8" i="11"/>
  <c r="AB7" i="11"/>
  <c r="AD7" i="11" s="1"/>
  <c r="Y7" i="11"/>
  <c r="X7" i="11"/>
  <c r="Q7" i="11"/>
  <c r="P7" i="11"/>
  <c r="O7" i="11"/>
  <c r="M7" i="11"/>
  <c r="J7" i="11"/>
  <c r="K7" i="11" s="1"/>
  <c r="H7" i="11"/>
  <c r="C7" i="11"/>
  <c r="AB6" i="11"/>
  <c r="AD6" i="11" s="1"/>
  <c r="J6" i="11" s="1"/>
  <c r="Y6" i="11"/>
  <c r="X6" i="11"/>
  <c r="P6" i="11"/>
  <c r="Q6" i="11" s="1"/>
  <c r="O6" i="11"/>
  <c r="M6" i="11"/>
  <c r="H6" i="11"/>
  <c r="C6" i="11"/>
  <c r="AD5" i="11"/>
  <c r="J5" i="11" s="1"/>
  <c r="AB5" i="11"/>
  <c r="Y5" i="11"/>
  <c r="X5" i="11"/>
  <c r="P5" i="11"/>
  <c r="O5" i="11"/>
  <c r="Q5" i="11" s="1"/>
  <c r="M5" i="11"/>
  <c r="K5" i="11"/>
  <c r="I5" i="11"/>
  <c r="H5" i="11"/>
  <c r="C5" i="11"/>
  <c r="AB4" i="11"/>
  <c r="AD4" i="11" s="1"/>
  <c r="Y4" i="11"/>
  <c r="X4" i="11"/>
  <c r="P4" i="11"/>
  <c r="Q4" i="11" s="1"/>
  <c r="O4" i="11"/>
  <c r="M4" i="11"/>
  <c r="J4" i="11"/>
  <c r="I4" i="11"/>
  <c r="H4" i="11"/>
  <c r="C4" i="11"/>
  <c r="AG3" i="11"/>
  <c r="AF3" i="11"/>
  <c r="W3" i="11"/>
  <c r="X3" i="11" s="1"/>
  <c r="V3" i="11"/>
  <c r="U3" i="11"/>
  <c r="T3" i="11"/>
  <c r="O3" i="11"/>
  <c r="G3" i="11"/>
  <c r="H3" i="11" s="1"/>
  <c r="F3" i="11"/>
  <c r="D3" i="11"/>
  <c r="C3" i="11"/>
  <c r="A2" i="11"/>
  <c r="A1" i="11"/>
  <c r="AB32" i="10"/>
  <c r="AD32" i="10" s="1"/>
  <c r="J32" i="10" s="1"/>
  <c r="Y32" i="10"/>
  <c r="X32" i="10"/>
  <c r="V32" i="10"/>
  <c r="U32" i="10"/>
  <c r="T32" i="10"/>
  <c r="P32" i="10"/>
  <c r="O32" i="10"/>
  <c r="Q32" i="10" s="1"/>
  <c r="M32" i="10"/>
  <c r="H32" i="10"/>
  <c r="C32" i="10"/>
  <c r="AD31" i="10"/>
  <c r="J31" i="10" s="1"/>
  <c r="I31" i="10" s="1"/>
  <c r="AB31" i="10"/>
  <c r="Y31" i="10"/>
  <c r="X31" i="10"/>
  <c r="P31" i="10"/>
  <c r="O31" i="10"/>
  <c r="Q31" i="10" s="1"/>
  <c r="M31" i="10"/>
  <c r="K31" i="10"/>
  <c r="H31" i="10"/>
  <c r="C31" i="10"/>
  <c r="AB30" i="10"/>
  <c r="AD30" i="10" s="1"/>
  <c r="J30" i="10" s="1"/>
  <c r="Y30" i="10"/>
  <c r="X30" i="10"/>
  <c r="Q30" i="10"/>
  <c r="P30" i="10"/>
  <c r="O30" i="10"/>
  <c r="M30" i="10"/>
  <c r="H30" i="10"/>
  <c r="C30" i="10"/>
  <c r="AD29" i="10"/>
  <c r="J29" i="10" s="1"/>
  <c r="K29" i="10" s="1"/>
  <c r="AB29" i="10"/>
  <c r="Y29" i="10"/>
  <c r="X29" i="10"/>
  <c r="Q29" i="10"/>
  <c r="P29" i="10"/>
  <c r="O29" i="10"/>
  <c r="M29" i="10"/>
  <c r="I29" i="10"/>
  <c r="H29" i="10"/>
  <c r="C29" i="10"/>
  <c r="AB28" i="10"/>
  <c r="AD28" i="10" s="1"/>
  <c r="J28" i="10" s="1"/>
  <c r="Y28" i="10"/>
  <c r="X28" i="10"/>
  <c r="P28" i="10"/>
  <c r="Q28" i="10" s="1"/>
  <c r="O28" i="10"/>
  <c r="M28" i="10"/>
  <c r="H28" i="10"/>
  <c r="C28" i="10"/>
  <c r="AD27" i="10"/>
  <c r="J27" i="10" s="1"/>
  <c r="AB27" i="10"/>
  <c r="Y27" i="10"/>
  <c r="X27" i="10"/>
  <c r="P27" i="10"/>
  <c r="O27" i="10"/>
  <c r="Q27" i="10" s="1"/>
  <c r="M27" i="10"/>
  <c r="K27" i="10"/>
  <c r="I27" i="10"/>
  <c r="H27" i="10"/>
  <c r="C27" i="10"/>
  <c r="AD26" i="10"/>
  <c r="AB26" i="10"/>
  <c r="Y26" i="10"/>
  <c r="X26" i="10"/>
  <c r="P26" i="10"/>
  <c r="Q26" i="10" s="1"/>
  <c r="O26" i="10"/>
  <c r="M26" i="10"/>
  <c r="K26" i="10"/>
  <c r="J26" i="10"/>
  <c r="I26" i="10" s="1"/>
  <c r="H26" i="10"/>
  <c r="C26" i="10"/>
  <c r="AD25" i="10"/>
  <c r="J25" i="10" s="1"/>
  <c r="AB25" i="10"/>
  <c r="Y25" i="10"/>
  <c r="X25" i="10"/>
  <c r="Q25" i="10"/>
  <c r="P25" i="10"/>
  <c r="O25" i="10"/>
  <c r="M25" i="10"/>
  <c r="K25" i="10"/>
  <c r="I25" i="10"/>
  <c r="H25" i="10"/>
  <c r="C25" i="10"/>
  <c r="AB24" i="10"/>
  <c r="AD24" i="10" s="1"/>
  <c r="J24" i="10" s="1"/>
  <c r="Y24" i="10"/>
  <c r="X24" i="10"/>
  <c r="V24" i="10"/>
  <c r="U24" i="10"/>
  <c r="T24" i="10"/>
  <c r="P24" i="10"/>
  <c r="O24" i="10"/>
  <c r="Q24" i="10" s="1"/>
  <c r="M24" i="10"/>
  <c r="H24" i="10"/>
  <c r="C24" i="10"/>
  <c r="AB23" i="10"/>
  <c r="AD23" i="10" s="1"/>
  <c r="J23" i="10" s="1"/>
  <c r="Y23" i="10"/>
  <c r="X23" i="10"/>
  <c r="P23" i="10"/>
  <c r="O23" i="10"/>
  <c r="M23" i="10"/>
  <c r="H23" i="10"/>
  <c r="C23" i="10"/>
  <c r="AD22" i="10"/>
  <c r="AB22" i="10"/>
  <c r="Y22" i="10"/>
  <c r="X22" i="10"/>
  <c r="P22" i="10"/>
  <c r="O22" i="10"/>
  <c r="Q22" i="10" s="1"/>
  <c r="M22" i="10"/>
  <c r="J22" i="10"/>
  <c r="I22" i="10" s="1"/>
  <c r="H22" i="10"/>
  <c r="C22" i="10"/>
  <c r="AB21" i="10"/>
  <c r="AD21" i="10" s="1"/>
  <c r="Y21" i="10"/>
  <c r="X21" i="10"/>
  <c r="P21" i="10"/>
  <c r="Q21" i="10" s="1"/>
  <c r="O21" i="10"/>
  <c r="M21" i="10"/>
  <c r="J21" i="10"/>
  <c r="H21" i="10"/>
  <c r="C21" i="10"/>
  <c r="AD20" i="10"/>
  <c r="J20" i="10" s="1"/>
  <c r="AB20" i="10"/>
  <c r="Y20" i="10"/>
  <c r="X20" i="10"/>
  <c r="P20" i="10"/>
  <c r="O20" i="10"/>
  <c r="Q20" i="10" s="1"/>
  <c r="M20" i="10"/>
  <c r="K20" i="10"/>
  <c r="I20" i="10"/>
  <c r="H20" i="10"/>
  <c r="C20" i="10"/>
  <c r="AB19" i="10"/>
  <c r="AD19" i="10" s="1"/>
  <c r="Y19" i="10"/>
  <c r="X19" i="10"/>
  <c r="P19" i="10"/>
  <c r="Q19" i="10" s="1"/>
  <c r="O19" i="10"/>
  <c r="M19" i="10"/>
  <c r="J19" i="10"/>
  <c r="H19" i="10"/>
  <c r="C19" i="10"/>
  <c r="AD18" i="10"/>
  <c r="J18" i="10" s="1"/>
  <c r="AB18" i="10"/>
  <c r="Y18" i="10"/>
  <c r="X18" i="10"/>
  <c r="Q18" i="10"/>
  <c r="P18" i="10"/>
  <c r="O18" i="10"/>
  <c r="M18" i="10"/>
  <c r="K18" i="10"/>
  <c r="I18" i="10"/>
  <c r="H18" i="10"/>
  <c r="C18" i="10"/>
  <c r="AD17" i="10"/>
  <c r="AB17" i="10"/>
  <c r="Y17" i="10"/>
  <c r="X17" i="10"/>
  <c r="P17" i="10"/>
  <c r="Q17" i="10" s="1"/>
  <c r="O17" i="10"/>
  <c r="M17" i="10"/>
  <c r="J17" i="10"/>
  <c r="I17" i="10" s="1"/>
  <c r="H17" i="10"/>
  <c r="C17" i="10"/>
  <c r="AD16" i="10"/>
  <c r="J16" i="10" s="1"/>
  <c r="I16" i="10" s="1"/>
  <c r="AB16" i="10"/>
  <c r="Y16" i="10"/>
  <c r="X16" i="10"/>
  <c r="Q16" i="10"/>
  <c r="P16" i="10"/>
  <c r="O16" i="10"/>
  <c r="M16" i="10"/>
  <c r="K16" i="10"/>
  <c r="H16" i="10"/>
  <c r="C16" i="10"/>
  <c r="AB15" i="10"/>
  <c r="AD15" i="10" s="1"/>
  <c r="J15" i="10" s="1"/>
  <c r="Y15" i="10"/>
  <c r="X15" i="10"/>
  <c r="P15" i="10"/>
  <c r="O15" i="10"/>
  <c r="Q15" i="10" s="1"/>
  <c r="M15" i="10"/>
  <c r="H15" i="10"/>
  <c r="C15" i="10"/>
  <c r="AD14" i="10"/>
  <c r="J14" i="10" s="1"/>
  <c r="I14" i="10" s="1"/>
  <c r="AB14" i="10"/>
  <c r="Y14" i="10"/>
  <c r="X14" i="10"/>
  <c r="P14" i="10"/>
  <c r="O14" i="10"/>
  <c r="Q14" i="10" s="1"/>
  <c r="M14" i="10"/>
  <c r="K14" i="10"/>
  <c r="H14" i="10"/>
  <c r="C14" i="10"/>
  <c r="AB13" i="10"/>
  <c r="AD13" i="10" s="1"/>
  <c r="J13" i="10" s="1"/>
  <c r="Y13" i="10"/>
  <c r="X13" i="10"/>
  <c r="Q13" i="10"/>
  <c r="P13" i="10"/>
  <c r="O13" i="10"/>
  <c r="M13" i="10"/>
  <c r="H13" i="10"/>
  <c r="C13" i="10"/>
  <c r="AD12" i="10"/>
  <c r="J12" i="10" s="1"/>
  <c r="AB12" i="10"/>
  <c r="Y12" i="10"/>
  <c r="X12" i="10"/>
  <c r="P12" i="10"/>
  <c r="O12" i="10"/>
  <c r="Q12" i="10" s="1"/>
  <c r="M12" i="10"/>
  <c r="K12" i="10"/>
  <c r="I12" i="10"/>
  <c r="H12" i="10"/>
  <c r="C12" i="10"/>
  <c r="AB11" i="10"/>
  <c r="AD11" i="10" s="1"/>
  <c r="J11" i="10" s="1"/>
  <c r="Y11" i="10"/>
  <c r="X11" i="10"/>
  <c r="P11" i="10"/>
  <c r="Q11" i="10" s="1"/>
  <c r="O11" i="10"/>
  <c r="M11" i="10"/>
  <c r="H11" i="10"/>
  <c r="C11" i="10"/>
  <c r="AD10" i="10"/>
  <c r="J10" i="10" s="1"/>
  <c r="AB10" i="10"/>
  <c r="Y10" i="10"/>
  <c r="X10" i="10"/>
  <c r="P10" i="10"/>
  <c r="O10" i="10"/>
  <c r="Q10" i="10" s="1"/>
  <c r="M10" i="10"/>
  <c r="K10" i="10"/>
  <c r="I10" i="10"/>
  <c r="H10" i="10"/>
  <c r="C10" i="10"/>
  <c r="AD9" i="10"/>
  <c r="AB9" i="10"/>
  <c r="Y9" i="10"/>
  <c r="X9" i="10"/>
  <c r="P9" i="10"/>
  <c r="Q9" i="10" s="1"/>
  <c r="O9" i="10"/>
  <c r="M9" i="10"/>
  <c r="K9" i="10"/>
  <c r="J9" i="10"/>
  <c r="I9" i="10" s="1"/>
  <c r="H9" i="10"/>
  <c r="C9" i="10"/>
  <c r="AD8" i="10"/>
  <c r="J8" i="10" s="1"/>
  <c r="AB8" i="10"/>
  <c r="Y8" i="10"/>
  <c r="X8" i="10"/>
  <c r="Q8" i="10"/>
  <c r="P8" i="10"/>
  <c r="O8" i="10"/>
  <c r="M8" i="10"/>
  <c r="K8" i="10"/>
  <c r="I8" i="10"/>
  <c r="H8" i="10"/>
  <c r="C8" i="10"/>
  <c r="AB7" i="10"/>
  <c r="AD7" i="10" s="1"/>
  <c r="J7" i="10" s="1"/>
  <c r="Y7" i="10"/>
  <c r="X7" i="10"/>
  <c r="P7" i="10"/>
  <c r="O7" i="10"/>
  <c r="M7" i="10"/>
  <c r="H7" i="10"/>
  <c r="C7" i="10"/>
  <c r="AD6" i="10"/>
  <c r="J6" i="10" s="1"/>
  <c r="AB6" i="10"/>
  <c r="Y6" i="10"/>
  <c r="X6" i="10"/>
  <c r="P6" i="10"/>
  <c r="O6" i="10"/>
  <c r="Q6" i="10" s="1"/>
  <c r="M6" i="10"/>
  <c r="H6" i="10"/>
  <c r="C6" i="10"/>
  <c r="AB5" i="10"/>
  <c r="AD5" i="10" s="1"/>
  <c r="J5" i="10" s="1"/>
  <c r="Y5" i="10"/>
  <c r="X5" i="10"/>
  <c r="Q5" i="10"/>
  <c r="P5" i="10"/>
  <c r="O5" i="10"/>
  <c r="M5" i="10"/>
  <c r="H5" i="10"/>
  <c r="C5" i="10"/>
  <c r="AD4" i="10"/>
  <c r="AB4" i="10"/>
  <c r="Y4" i="10"/>
  <c r="X4" i="10"/>
  <c r="P4" i="10"/>
  <c r="O4" i="10"/>
  <c r="Q4" i="10" s="1"/>
  <c r="M4" i="10"/>
  <c r="H4" i="10"/>
  <c r="C4" i="10"/>
  <c r="AG3" i="10"/>
  <c r="AF3" i="10"/>
  <c r="X3" i="10"/>
  <c r="W3" i="10"/>
  <c r="V3" i="10"/>
  <c r="U3" i="10"/>
  <c r="T3" i="10"/>
  <c r="O3" i="10"/>
  <c r="G3" i="10"/>
  <c r="H3" i="10" s="1"/>
  <c r="F3" i="10"/>
  <c r="D3" i="10"/>
  <c r="C3" i="10"/>
  <c r="A2" i="10"/>
  <c r="A1" i="10"/>
  <c r="AD32" i="9"/>
  <c r="J32" i="9" s="1"/>
  <c r="K32" i="9" s="1"/>
  <c r="AB32" i="9"/>
  <c r="Y32" i="9"/>
  <c r="X32" i="9"/>
  <c r="V32" i="9"/>
  <c r="U32" i="9"/>
  <c r="T32" i="9"/>
  <c r="P32" i="9"/>
  <c r="O32" i="9"/>
  <c r="Q32" i="9" s="1"/>
  <c r="M32" i="9"/>
  <c r="H32" i="9"/>
  <c r="C32" i="9"/>
  <c r="AB31" i="9"/>
  <c r="AD31" i="9" s="1"/>
  <c r="J31" i="9" s="1"/>
  <c r="Y31" i="9"/>
  <c r="X31" i="9"/>
  <c r="P31" i="9"/>
  <c r="O31" i="9"/>
  <c r="M31" i="9"/>
  <c r="H31" i="9"/>
  <c r="C31" i="9"/>
  <c r="AD30" i="9"/>
  <c r="AB30" i="9"/>
  <c r="Y30" i="9"/>
  <c r="X30" i="9"/>
  <c r="P30" i="9"/>
  <c r="O30" i="9"/>
  <c r="Q30" i="9" s="1"/>
  <c r="M30" i="9"/>
  <c r="K30" i="9"/>
  <c r="J30" i="9"/>
  <c r="I30" i="9" s="1"/>
  <c r="H30" i="9"/>
  <c r="C30" i="9"/>
  <c r="AB29" i="9"/>
  <c r="AD29" i="9" s="1"/>
  <c r="Y29" i="9"/>
  <c r="X29" i="9"/>
  <c r="Q29" i="9"/>
  <c r="P29" i="9"/>
  <c r="O29" i="9"/>
  <c r="M29" i="9"/>
  <c r="J29" i="9"/>
  <c r="H29" i="9"/>
  <c r="C29" i="9"/>
  <c r="AD28" i="9"/>
  <c r="J28" i="9" s="1"/>
  <c r="AB28" i="9"/>
  <c r="Y28" i="9"/>
  <c r="X28" i="9"/>
  <c r="Q28" i="9"/>
  <c r="P28" i="9"/>
  <c r="O28" i="9"/>
  <c r="M28" i="9"/>
  <c r="K28" i="9"/>
  <c r="I28" i="9"/>
  <c r="H28" i="9"/>
  <c r="C28" i="9"/>
  <c r="AB27" i="9"/>
  <c r="AD27" i="9" s="1"/>
  <c r="Y27" i="9"/>
  <c r="X27" i="9"/>
  <c r="P27" i="9"/>
  <c r="O27" i="9"/>
  <c r="Q27" i="9" s="1"/>
  <c r="M27" i="9"/>
  <c r="J27" i="9"/>
  <c r="H27" i="9"/>
  <c r="C27" i="9"/>
  <c r="AD26" i="9"/>
  <c r="J26" i="9" s="1"/>
  <c r="AB26" i="9"/>
  <c r="Y26" i="9"/>
  <c r="X26" i="9"/>
  <c r="Q26" i="9"/>
  <c r="P26" i="9"/>
  <c r="O26" i="9"/>
  <c r="M26" i="9"/>
  <c r="K26" i="9"/>
  <c r="I26" i="9"/>
  <c r="H26" i="9"/>
  <c r="C26" i="9"/>
  <c r="AD25" i="9"/>
  <c r="AB25" i="9"/>
  <c r="Y25" i="9"/>
  <c r="X25" i="9"/>
  <c r="P25" i="9"/>
  <c r="Q25" i="9" s="1"/>
  <c r="O25" i="9"/>
  <c r="M25" i="9"/>
  <c r="K25" i="9"/>
  <c r="J25" i="9"/>
  <c r="I25" i="9" s="1"/>
  <c r="H25" i="9"/>
  <c r="C25" i="9"/>
  <c r="AD24" i="9"/>
  <c r="AB24" i="9"/>
  <c r="Y24" i="9"/>
  <c r="X24" i="9"/>
  <c r="V24" i="9"/>
  <c r="U24" i="9"/>
  <c r="T24" i="9"/>
  <c r="P24" i="9"/>
  <c r="Q24" i="9" s="1"/>
  <c r="O24" i="9"/>
  <c r="M24" i="9"/>
  <c r="J24" i="9"/>
  <c r="I24" i="9" s="1"/>
  <c r="H24" i="9"/>
  <c r="C24" i="9"/>
  <c r="AD23" i="9"/>
  <c r="J23" i="9" s="1"/>
  <c r="I23" i="9" s="1"/>
  <c r="AB23" i="9"/>
  <c r="Y23" i="9"/>
  <c r="X23" i="9"/>
  <c r="P23" i="9"/>
  <c r="O23" i="9"/>
  <c r="Q23" i="9" s="1"/>
  <c r="M23" i="9"/>
  <c r="K23" i="9"/>
  <c r="H23" i="9"/>
  <c r="C23" i="9"/>
  <c r="AB22" i="9"/>
  <c r="AD22" i="9" s="1"/>
  <c r="J22" i="9" s="1"/>
  <c r="Y22" i="9"/>
  <c r="X22" i="9"/>
  <c r="P22" i="9"/>
  <c r="O22" i="9"/>
  <c r="M22" i="9"/>
  <c r="H22" i="9"/>
  <c r="C22" i="9"/>
  <c r="AB21" i="9"/>
  <c r="AD21" i="9" s="1"/>
  <c r="Y21" i="9"/>
  <c r="X21" i="9"/>
  <c r="Q21" i="9"/>
  <c r="P21" i="9"/>
  <c r="O21" i="9"/>
  <c r="M21" i="9"/>
  <c r="J21" i="9"/>
  <c r="K21" i="9" s="1"/>
  <c r="H21" i="9"/>
  <c r="C21" i="9"/>
  <c r="AB20" i="9"/>
  <c r="AD20" i="9" s="1"/>
  <c r="J20" i="9" s="1"/>
  <c r="Y20" i="9"/>
  <c r="X20" i="9"/>
  <c r="P20" i="9"/>
  <c r="Q20" i="9" s="1"/>
  <c r="O20" i="9"/>
  <c r="M20" i="9"/>
  <c r="H20" i="9"/>
  <c r="C20" i="9"/>
  <c r="AD19" i="9"/>
  <c r="J19" i="9" s="1"/>
  <c r="AB19" i="9"/>
  <c r="Y19" i="9"/>
  <c r="X19" i="9"/>
  <c r="P19" i="9"/>
  <c r="O19" i="9"/>
  <c r="Q19" i="9" s="1"/>
  <c r="M19" i="9"/>
  <c r="K19" i="9"/>
  <c r="I19" i="9"/>
  <c r="H19" i="9"/>
  <c r="C19" i="9"/>
  <c r="AB18" i="9"/>
  <c r="AD18" i="9" s="1"/>
  <c r="Y18" i="9"/>
  <c r="X18" i="9"/>
  <c r="P18" i="9"/>
  <c r="O18" i="9"/>
  <c r="Q18" i="9" s="1"/>
  <c r="M18" i="9"/>
  <c r="J18" i="9"/>
  <c r="K18" i="9" s="1"/>
  <c r="I18" i="9"/>
  <c r="H18" i="9"/>
  <c r="C18" i="9"/>
  <c r="AD17" i="9"/>
  <c r="J17" i="9" s="1"/>
  <c r="I17" i="9" s="1"/>
  <c r="AB17" i="9"/>
  <c r="Y17" i="9"/>
  <c r="X17" i="9"/>
  <c r="P17" i="9"/>
  <c r="Q17" i="9" s="1"/>
  <c r="O17" i="9"/>
  <c r="M17" i="9"/>
  <c r="K17" i="9"/>
  <c r="H17" i="9"/>
  <c r="C17" i="9"/>
  <c r="AB16" i="9"/>
  <c r="AD16" i="9" s="1"/>
  <c r="J16" i="9" s="1"/>
  <c r="Y16" i="9"/>
  <c r="X16" i="9"/>
  <c r="P16" i="9"/>
  <c r="Q16" i="9" s="1"/>
  <c r="O16" i="9"/>
  <c r="M16" i="9"/>
  <c r="H16" i="9"/>
  <c r="C16" i="9"/>
  <c r="AD15" i="9"/>
  <c r="J15" i="9" s="1"/>
  <c r="AB15" i="9"/>
  <c r="Y15" i="9"/>
  <c r="X15" i="9"/>
  <c r="P15" i="9"/>
  <c r="O15" i="9"/>
  <c r="Q15" i="9" s="1"/>
  <c r="M15" i="9"/>
  <c r="K15" i="9"/>
  <c r="I15" i="9"/>
  <c r="H15" i="9"/>
  <c r="C15" i="9"/>
  <c r="AB14" i="9"/>
  <c r="AD14" i="9" s="1"/>
  <c r="J14" i="9" s="1"/>
  <c r="Y14" i="9"/>
  <c r="X14" i="9"/>
  <c r="P14" i="9"/>
  <c r="O14" i="9"/>
  <c r="M14" i="9"/>
  <c r="H14" i="9"/>
  <c r="C14" i="9"/>
  <c r="AD13" i="9"/>
  <c r="AB13" i="9"/>
  <c r="Y13" i="9"/>
  <c r="X13" i="9"/>
  <c r="P13" i="9"/>
  <c r="O13" i="9"/>
  <c r="Q13" i="9" s="1"/>
  <c r="M13" i="9"/>
  <c r="K13" i="9"/>
  <c r="J13" i="9"/>
  <c r="I13" i="9" s="1"/>
  <c r="H13" i="9"/>
  <c r="C13" i="9"/>
  <c r="AB12" i="9"/>
  <c r="AD12" i="9" s="1"/>
  <c r="Y12" i="9"/>
  <c r="X12" i="9"/>
  <c r="Q12" i="9"/>
  <c r="P12" i="9"/>
  <c r="O12" i="9"/>
  <c r="M12" i="9"/>
  <c r="J12" i="9"/>
  <c r="H12" i="9"/>
  <c r="C12" i="9"/>
  <c r="AD11" i="9"/>
  <c r="J11" i="9" s="1"/>
  <c r="AB11" i="9"/>
  <c r="Y11" i="9"/>
  <c r="X11" i="9"/>
  <c r="Q11" i="9"/>
  <c r="P11" i="9"/>
  <c r="O11" i="9"/>
  <c r="M11" i="9"/>
  <c r="K11" i="9"/>
  <c r="I11" i="9"/>
  <c r="H11" i="9"/>
  <c r="C11" i="9"/>
  <c r="AB10" i="9"/>
  <c r="AD10" i="9" s="1"/>
  <c r="Y10" i="9"/>
  <c r="X10" i="9"/>
  <c r="P10" i="9"/>
  <c r="O10" i="9"/>
  <c r="Q10" i="9" s="1"/>
  <c r="M10" i="9"/>
  <c r="J10" i="9"/>
  <c r="H10" i="9"/>
  <c r="C10" i="9"/>
  <c r="AD9" i="9"/>
  <c r="AB9" i="9"/>
  <c r="Y9" i="9"/>
  <c r="X9" i="9"/>
  <c r="Q9" i="9"/>
  <c r="P9" i="9"/>
  <c r="O9" i="9"/>
  <c r="M9" i="9"/>
  <c r="J9" i="9"/>
  <c r="K9" i="9" s="1"/>
  <c r="I9" i="9"/>
  <c r="H9" i="9"/>
  <c r="C9" i="9"/>
  <c r="AD8" i="9"/>
  <c r="J8" i="9" s="1"/>
  <c r="AB8" i="9"/>
  <c r="Y8" i="9"/>
  <c r="X8" i="9"/>
  <c r="P8" i="9"/>
  <c r="Q8" i="9" s="1"/>
  <c r="O8" i="9"/>
  <c r="M8" i="9"/>
  <c r="H8" i="9"/>
  <c r="C8" i="9"/>
  <c r="AD7" i="9"/>
  <c r="J7" i="9" s="1"/>
  <c r="AB7" i="9"/>
  <c r="Y7" i="9"/>
  <c r="X7" i="9"/>
  <c r="P7" i="9"/>
  <c r="O7" i="9"/>
  <c r="Q7" i="9" s="1"/>
  <c r="M7" i="9"/>
  <c r="K7" i="9"/>
  <c r="I7" i="9"/>
  <c r="H7" i="9"/>
  <c r="C7" i="9"/>
  <c r="AB6" i="9"/>
  <c r="AD6" i="9" s="1"/>
  <c r="Y6" i="9"/>
  <c r="X6" i="9"/>
  <c r="P6" i="9"/>
  <c r="O6" i="9"/>
  <c r="Q6" i="9" s="1"/>
  <c r="M6" i="9"/>
  <c r="J6" i="9"/>
  <c r="K6" i="9" s="1"/>
  <c r="H6" i="9"/>
  <c r="C6" i="9"/>
  <c r="AD5" i="9"/>
  <c r="J5" i="9" s="1"/>
  <c r="AB5" i="9"/>
  <c r="Y5" i="9"/>
  <c r="X5" i="9"/>
  <c r="Q5" i="9"/>
  <c r="P5" i="9"/>
  <c r="O5" i="9"/>
  <c r="M5" i="9"/>
  <c r="H5" i="9"/>
  <c r="C5" i="9"/>
  <c r="AD4" i="9"/>
  <c r="AB4" i="9"/>
  <c r="Y4" i="9"/>
  <c r="X4" i="9"/>
  <c r="P4" i="9"/>
  <c r="Q4" i="9" s="1"/>
  <c r="O4" i="9"/>
  <c r="M4" i="9"/>
  <c r="H4" i="9"/>
  <c r="C4" i="9"/>
  <c r="AG3" i="9"/>
  <c r="AF3" i="9"/>
  <c r="X3" i="9"/>
  <c r="W3" i="9"/>
  <c r="V3" i="9"/>
  <c r="U3" i="9"/>
  <c r="T3" i="9"/>
  <c r="O3" i="9"/>
  <c r="H3" i="9"/>
  <c r="G3" i="9"/>
  <c r="F3" i="9"/>
  <c r="D3" i="9"/>
  <c r="C3" i="9"/>
  <c r="A2" i="9"/>
  <c r="A1" i="9"/>
  <c r="AB32" i="8"/>
  <c r="AD32" i="8" s="1"/>
  <c r="J32" i="8" s="1"/>
  <c r="Y32" i="8"/>
  <c r="X32" i="8"/>
  <c r="V32" i="8"/>
  <c r="U32" i="8"/>
  <c r="T32" i="8"/>
  <c r="P32" i="8"/>
  <c r="Q32" i="8" s="1"/>
  <c r="O32" i="8"/>
  <c r="M32" i="8"/>
  <c r="H32" i="8"/>
  <c r="C32" i="8"/>
  <c r="AD31" i="8"/>
  <c r="J31" i="8" s="1"/>
  <c r="AB31" i="8"/>
  <c r="Y31" i="8"/>
  <c r="X31" i="8"/>
  <c r="Q31" i="8"/>
  <c r="P31" i="8"/>
  <c r="O31" i="8"/>
  <c r="M31" i="8"/>
  <c r="K31" i="8"/>
  <c r="I31" i="8"/>
  <c r="H31" i="8"/>
  <c r="C31" i="8"/>
  <c r="AB30" i="8"/>
  <c r="AD30" i="8" s="1"/>
  <c r="J30" i="8" s="1"/>
  <c r="Y30" i="8"/>
  <c r="X30" i="8"/>
  <c r="P30" i="8"/>
  <c r="O30" i="8"/>
  <c r="Q30" i="8" s="1"/>
  <c r="M30" i="8"/>
  <c r="H30" i="8"/>
  <c r="C30" i="8"/>
  <c r="AB29" i="8"/>
  <c r="AD29" i="8" s="1"/>
  <c r="Y29" i="8"/>
  <c r="X29" i="8"/>
  <c r="P29" i="8"/>
  <c r="Q29" i="8" s="1"/>
  <c r="O29" i="8"/>
  <c r="M29" i="8"/>
  <c r="J29" i="8"/>
  <c r="K29" i="8" s="1"/>
  <c r="H29" i="8"/>
  <c r="C29" i="8"/>
  <c r="AD28" i="8"/>
  <c r="J28" i="8" s="1"/>
  <c r="AB28" i="8"/>
  <c r="Y28" i="8"/>
  <c r="X28" i="8"/>
  <c r="Q28" i="8"/>
  <c r="P28" i="8"/>
  <c r="O28" i="8"/>
  <c r="M28" i="8"/>
  <c r="H28" i="8"/>
  <c r="C28" i="8"/>
  <c r="AB27" i="8"/>
  <c r="AD27" i="8" s="1"/>
  <c r="J27" i="8" s="1"/>
  <c r="Y27" i="8"/>
  <c r="X27" i="8"/>
  <c r="P27" i="8"/>
  <c r="O27" i="8"/>
  <c r="Q27" i="8" s="1"/>
  <c r="M27" i="8"/>
  <c r="H27" i="8"/>
  <c r="C27" i="8"/>
  <c r="AB26" i="8"/>
  <c r="AD26" i="8" s="1"/>
  <c r="Y26" i="8"/>
  <c r="X26" i="8"/>
  <c r="P26" i="8"/>
  <c r="Q26" i="8" s="1"/>
  <c r="O26" i="8"/>
  <c r="M26" i="8"/>
  <c r="J26" i="8"/>
  <c r="K26" i="8" s="1"/>
  <c r="H26" i="8"/>
  <c r="C26" i="8"/>
  <c r="AD25" i="8"/>
  <c r="AB25" i="8"/>
  <c r="Y25" i="8"/>
  <c r="X25" i="8"/>
  <c r="P25" i="8"/>
  <c r="O25" i="8"/>
  <c r="Q25" i="8" s="1"/>
  <c r="M25" i="8"/>
  <c r="K25" i="8"/>
  <c r="J25" i="8"/>
  <c r="I25" i="8" s="1"/>
  <c r="H25" i="8"/>
  <c r="C25" i="8"/>
  <c r="AB24" i="8"/>
  <c r="AD24" i="8" s="1"/>
  <c r="Y24" i="8"/>
  <c r="X24" i="8"/>
  <c r="V24" i="8"/>
  <c r="U24" i="8"/>
  <c r="T24" i="8"/>
  <c r="P24" i="8"/>
  <c r="O24" i="8"/>
  <c r="Q24" i="8" s="1"/>
  <c r="M24" i="8"/>
  <c r="J24" i="8"/>
  <c r="I24" i="8" s="1"/>
  <c r="H24" i="8"/>
  <c r="C24" i="8"/>
  <c r="AB23" i="8"/>
  <c r="AD23" i="8" s="1"/>
  <c r="J23" i="8" s="1"/>
  <c r="Y23" i="8"/>
  <c r="X23" i="8"/>
  <c r="Q23" i="8"/>
  <c r="P23" i="8"/>
  <c r="O23" i="8"/>
  <c r="M23" i="8"/>
  <c r="H23" i="8"/>
  <c r="C23" i="8"/>
  <c r="AD22" i="8"/>
  <c r="J22" i="8" s="1"/>
  <c r="I22" i="8" s="1"/>
  <c r="AB22" i="8"/>
  <c r="Y22" i="8"/>
  <c r="X22" i="8"/>
  <c r="P22" i="8"/>
  <c r="O22" i="8"/>
  <c r="Q22" i="8" s="1"/>
  <c r="M22" i="8"/>
  <c r="K22" i="8"/>
  <c r="H22" i="8"/>
  <c r="C22" i="8"/>
  <c r="AB21" i="8"/>
  <c r="AD21" i="8" s="1"/>
  <c r="J21" i="8" s="1"/>
  <c r="Y21" i="8"/>
  <c r="X21" i="8"/>
  <c r="P21" i="8"/>
  <c r="O21" i="8"/>
  <c r="M21" i="8"/>
  <c r="H21" i="8"/>
  <c r="C21" i="8"/>
  <c r="AD20" i="8"/>
  <c r="J20" i="8" s="1"/>
  <c r="AB20" i="8"/>
  <c r="Y20" i="8"/>
  <c r="X20" i="8"/>
  <c r="P20" i="8"/>
  <c r="O20" i="8"/>
  <c r="Q20" i="8" s="1"/>
  <c r="M20" i="8"/>
  <c r="H20" i="8"/>
  <c r="C20" i="8"/>
  <c r="AB19" i="8"/>
  <c r="AD19" i="8" s="1"/>
  <c r="J19" i="8" s="1"/>
  <c r="Y19" i="8"/>
  <c r="X19" i="8"/>
  <c r="P19" i="8"/>
  <c r="O19" i="8"/>
  <c r="Q19" i="8" s="1"/>
  <c r="M19" i="8"/>
  <c r="H19" i="8"/>
  <c r="C19" i="8"/>
  <c r="AB18" i="8"/>
  <c r="AD18" i="8" s="1"/>
  <c r="J18" i="8" s="1"/>
  <c r="Y18" i="8"/>
  <c r="X18" i="8"/>
  <c r="P18" i="8"/>
  <c r="O18" i="8"/>
  <c r="Q18" i="8" s="1"/>
  <c r="M18" i="8"/>
  <c r="H18" i="8"/>
  <c r="C18" i="8"/>
  <c r="AB17" i="8"/>
  <c r="AD17" i="8" s="1"/>
  <c r="J17" i="8" s="1"/>
  <c r="K17" i="8" s="1"/>
  <c r="Y17" i="8"/>
  <c r="X17" i="8"/>
  <c r="P17" i="8"/>
  <c r="O17" i="8"/>
  <c r="Q17" i="8" s="1"/>
  <c r="M17" i="8"/>
  <c r="H17" i="8"/>
  <c r="C17" i="8"/>
  <c r="AB16" i="8"/>
  <c r="AD16" i="8" s="1"/>
  <c r="J16" i="8" s="1"/>
  <c r="Y16" i="8"/>
  <c r="X16" i="8"/>
  <c r="P16" i="8"/>
  <c r="O16" i="8"/>
  <c r="Q16" i="8" s="1"/>
  <c r="M16" i="8"/>
  <c r="H16" i="8"/>
  <c r="C16" i="8"/>
  <c r="AD15" i="8"/>
  <c r="J15" i="8" s="1"/>
  <c r="AB15" i="8"/>
  <c r="Y15" i="8"/>
  <c r="X15" i="8"/>
  <c r="Q15" i="8"/>
  <c r="P15" i="8"/>
  <c r="O15" i="8"/>
  <c r="M15" i="8"/>
  <c r="H15" i="8"/>
  <c r="C15" i="8"/>
  <c r="AD14" i="8"/>
  <c r="J14" i="8" s="1"/>
  <c r="AB14" i="8"/>
  <c r="Y14" i="8"/>
  <c r="X14" i="8"/>
  <c r="Q14" i="8"/>
  <c r="P14" i="8"/>
  <c r="O14" i="8"/>
  <c r="M14" i="8"/>
  <c r="K14" i="8"/>
  <c r="I14" i="8"/>
  <c r="H14" i="8"/>
  <c r="C14" i="8"/>
  <c r="AD13" i="8"/>
  <c r="AB13" i="8"/>
  <c r="Y13" i="8"/>
  <c r="X13" i="8"/>
  <c r="P13" i="8"/>
  <c r="O13" i="8"/>
  <c r="Q13" i="8" s="1"/>
  <c r="M13" i="8"/>
  <c r="K13" i="8"/>
  <c r="J13" i="8"/>
  <c r="I13" i="8" s="1"/>
  <c r="H13" i="8"/>
  <c r="C13" i="8"/>
  <c r="AB12" i="8"/>
  <c r="AD12" i="8" s="1"/>
  <c r="J12" i="8" s="1"/>
  <c r="Y12" i="8"/>
  <c r="X12" i="8"/>
  <c r="Q12" i="8"/>
  <c r="P12" i="8"/>
  <c r="O12" i="8"/>
  <c r="M12" i="8"/>
  <c r="H12" i="8"/>
  <c r="C12" i="8"/>
  <c r="AD11" i="8"/>
  <c r="J11" i="8" s="1"/>
  <c r="AB11" i="8"/>
  <c r="Y11" i="8"/>
  <c r="X11" i="8"/>
  <c r="P11" i="8"/>
  <c r="O11" i="8"/>
  <c r="Q11" i="8" s="1"/>
  <c r="M11" i="8"/>
  <c r="H11" i="8"/>
  <c r="C11" i="8"/>
  <c r="AB10" i="8"/>
  <c r="AD10" i="8" s="1"/>
  <c r="J10" i="8" s="1"/>
  <c r="K10" i="8" s="1"/>
  <c r="Y10" i="8"/>
  <c r="X10" i="8"/>
  <c r="P10" i="8"/>
  <c r="O10" i="8"/>
  <c r="Q10" i="8" s="1"/>
  <c r="M10" i="8"/>
  <c r="H10" i="8"/>
  <c r="C10" i="8"/>
  <c r="AB9" i="8"/>
  <c r="AD9" i="8" s="1"/>
  <c r="Y9" i="8"/>
  <c r="X9" i="8"/>
  <c r="P9" i="8"/>
  <c r="O9" i="8"/>
  <c r="Q9" i="8" s="1"/>
  <c r="M9" i="8"/>
  <c r="J9" i="8"/>
  <c r="K9" i="8" s="1"/>
  <c r="H9" i="8"/>
  <c r="C9" i="8"/>
  <c r="AB8" i="8"/>
  <c r="AD8" i="8" s="1"/>
  <c r="J8" i="8" s="1"/>
  <c r="K8" i="8" s="1"/>
  <c r="Y8" i="8"/>
  <c r="X8" i="8"/>
  <c r="P8" i="8"/>
  <c r="O8" i="8"/>
  <c r="Q8" i="8" s="1"/>
  <c r="M8" i="8"/>
  <c r="H8" i="8"/>
  <c r="C8" i="8"/>
  <c r="AB7" i="8"/>
  <c r="AD7" i="8" s="1"/>
  <c r="J7" i="8" s="1"/>
  <c r="Y7" i="8"/>
  <c r="X7" i="8"/>
  <c r="P7" i="8"/>
  <c r="Q7" i="8" s="1"/>
  <c r="O7" i="8"/>
  <c r="M7" i="8"/>
  <c r="H7" i="8"/>
  <c r="C7" i="8"/>
  <c r="AD6" i="8"/>
  <c r="J6" i="8" s="1"/>
  <c r="AB6" i="8"/>
  <c r="Y6" i="8"/>
  <c r="X6" i="8"/>
  <c r="P6" i="8"/>
  <c r="O6" i="8"/>
  <c r="Q6" i="8" s="1"/>
  <c r="M6" i="8"/>
  <c r="K6" i="8"/>
  <c r="I6" i="8"/>
  <c r="H6" i="8"/>
  <c r="C6" i="8"/>
  <c r="AD5" i="8"/>
  <c r="AB5" i="8"/>
  <c r="Y5" i="8"/>
  <c r="X5" i="8"/>
  <c r="P5" i="8"/>
  <c r="O5" i="8"/>
  <c r="M5" i="8"/>
  <c r="J5" i="8"/>
  <c r="K5" i="8" s="1"/>
  <c r="H5" i="8"/>
  <c r="C5" i="8"/>
  <c r="AB4" i="8"/>
  <c r="AD4" i="8" s="1"/>
  <c r="Y4" i="8"/>
  <c r="X4" i="8"/>
  <c r="P4" i="8"/>
  <c r="O4" i="8"/>
  <c r="Q4" i="8" s="1"/>
  <c r="M4" i="8"/>
  <c r="H4" i="8"/>
  <c r="C4" i="8"/>
  <c r="AG3" i="8"/>
  <c r="AF3" i="8"/>
  <c r="W3" i="8"/>
  <c r="X3" i="8" s="1"/>
  <c r="V3" i="8"/>
  <c r="U3" i="8"/>
  <c r="T3" i="8"/>
  <c r="O3" i="8"/>
  <c r="G3" i="8"/>
  <c r="H3" i="8" s="1"/>
  <c r="F3" i="8"/>
  <c r="D3" i="8"/>
  <c r="C3" i="8"/>
  <c r="A2" i="8"/>
  <c r="A1" i="8"/>
  <c r="AB32" i="7"/>
  <c r="AD32" i="7" s="1"/>
  <c r="J32" i="7" s="1"/>
  <c r="Y32" i="7"/>
  <c r="X32" i="7"/>
  <c r="V32" i="7"/>
  <c r="U32" i="7"/>
  <c r="T32" i="7"/>
  <c r="P32" i="7"/>
  <c r="O32" i="7"/>
  <c r="Q32" i="7" s="1"/>
  <c r="M32" i="7"/>
  <c r="H32" i="7"/>
  <c r="C32" i="7"/>
  <c r="AB31" i="7"/>
  <c r="AD31" i="7" s="1"/>
  <c r="Y31" i="7"/>
  <c r="X31" i="7"/>
  <c r="P31" i="7"/>
  <c r="Q31" i="7" s="1"/>
  <c r="O31" i="7"/>
  <c r="M31" i="7"/>
  <c r="J31" i="7"/>
  <c r="K31" i="7" s="1"/>
  <c r="H31" i="7"/>
  <c r="C31" i="7"/>
  <c r="AD30" i="7"/>
  <c r="J30" i="7" s="1"/>
  <c r="I30" i="7" s="1"/>
  <c r="AB30" i="7"/>
  <c r="Y30" i="7"/>
  <c r="X30" i="7"/>
  <c r="Q30" i="7"/>
  <c r="P30" i="7"/>
  <c r="O30" i="7"/>
  <c r="M30" i="7"/>
  <c r="K30" i="7"/>
  <c r="H30" i="7"/>
  <c r="C30" i="7"/>
  <c r="AB29" i="7"/>
  <c r="AD29" i="7" s="1"/>
  <c r="J29" i="7" s="1"/>
  <c r="Y29" i="7"/>
  <c r="X29" i="7"/>
  <c r="P29" i="7"/>
  <c r="O29" i="7"/>
  <c r="M29" i="7"/>
  <c r="H29" i="7"/>
  <c r="C29" i="7"/>
  <c r="AD28" i="7"/>
  <c r="J28" i="7" s="1"/>
  <c r="AB28" i="7"/>
  <c r="Y28" i="7"/>
  <c r="X28" i="7"/>
  <c r="P28" i="7"/>
  <c r="Q28" i="7" s="1"/>
  <c r="O28" i="7"/>
  <c r="M28" i="7"/>
  <c r="H28" i="7"/>
  <c r="C28" i="7"/>
  <c r="AD27" i="7"/>
  <c r="J27" i="7" s="1"/>
  <c r="I27" i="7" s="1"/>
  <c r="AB27" i="7"/>
  <c r="Y27" i="7"/>
  <c r="X27" i="7"/>
  <c r="P27" i="7"/>
  <c r="O27" i="7"/>
  <c r="Q27" i="7" s="1"/>
  <c r="M27" i="7"/>
  <c r="K27" i="7"/>
  <c r="H27" i="7"/>
  <c r="C27" i="7"/>
  <c r="AB26" i="7"/>
  <c r="AD26" i="7" s="1"/>
  <c r="J26" i="7" s="1"/>
  <c r="Y26" i="7"/>
  <c r="X26" i="7"/>
  <c r="Q26" i="7"/>
  <c r="P26" i="7"/>
  <c r="O26" i="7"/>
  <c r="M26" i="7"/>
  <c r="H26" i="7"/>
  <c r="C26" i="7"/>
  <c r="AB25" i="7"/>
  <c r="AD25" i="7" s="1"/>
  <c r="Y25" i="7"/>
  <c r="X25" i="7"/>
  <c r="P25" i="7"/>
  <c r="O25" i="7"/>
  <c r="Q25" i="7" s="1"/>
  <c r="M25" i="7"/>
  <c r="J25" i="7"/>
  <c r="H25" i="7"/>
  <c r="C25" i="7"/>
  <c r="AB24" i="7"/>
  <c r="AD24" i="7" s="1"/>
  <c r="J24" i="7" s="1"/>
  <c r="Y24" i="7"/>
  <c r="X24" i="7"/>
  <c r="V24" i="7"/>
  <c r="U24" i="7"/>
  <c r="T24" i="7"/>
  <c r="P24" i="7"/>
  <c r="O24" i="7"/>
  <c r="Q24" i="7" s="1"/>
  <c r="M24" i="7"/>
  <c r="H24" i="7"/>
  <c r="C24" i="7"/>
  <c r="AD23" i="7"/>
  <c r="J23" i="7" s="1"/>
  <c r="AB23" i="7"/>
  <c r="Y23" i="7"/>
  <c r="X23" i="7"/>
  <c r="Q23" i="7"/>
  <c r="P23" i="7"/>
  <c r="O23" i="7"/>
  <c r="M23" i="7"/>
  <c r="H23" i="7"/>
  <c r="C23" i="7"/>
  <c r="AD22" i="7"/>
  <c r="J22" i="7" s="1"/>
  <c r="I22" i="7" s="1"/>
  <c r="AB22" i="7"/>
  <c r="Y22" i="7"/>
  <c r="X22" i="7"/>
  <c r="P22" i="7"/>
  <c r="Q22" i="7" s="1"/>
  <c r="O22" i="7"/>
  <c r="M22" i="7"/>
  <c r="H22" i="7"/>
  <c r="C22" i="7"/>
  <c r="AD21" i="7"/>
  <c r="J21" i="7" s="1"/>
  <c r="AB21" i="7"/>
  <c r="Y21" i="7"/>
  <c r="X21" i="7"/>
  <c r="Q21" i="7"/>
  <c r="P21" i="7"/>
  <c r="O21" i="7"/>
  <c r="M21" i="7"/>
  <c r="K21" i="7"/>
  <c r="I21" i="7"/>
  <c r="H21" i="7"/>
  <c r="C21" i="7"/>
  <c r="AD20" i="7"/>
  <c r="AB20" i="7"/>
  <c r="Y20" i="7"/>
  <c r="X20" i="7"/>
  <c r="P20" i="7"/>
  <c r="O20" i="7"/>
  <c r="Q20" i="7" s="1"/>
  <c r="M20" i="7"/>
  <c r="K20" i="7"/>
  <c r="J20" i="7"/>
  <c r="I20" i="7" s="1"/>
  <c r="H20" i="7"/>
  <c r="C20" i="7"/>
  <c r="AB19" i="7"/>
  <c r="AD19" i="7" s="1"/>
  <c r="J19" i="7" s="1"/>
  <c r="K19" i="7" s="1"/>
  <c r="Y19" i="7"/>
  <c r="X19" i="7"/>
  <c r="Q19" i="7"/>
  <c r="P19" i="7"/>
  <c r="O19" i="7"/>
  <c r="M19" i="7"/>
  <c r="H19" i="7"/>
  <c r="C19" i="7"/>
  <c r="AB18" i="7"/>
  <c r="AD18" i="7" s="1"/>
  <c r="J18" i="7" s="1"/>
  <c r="Y18" i="7"/>
  <c r="X18" i="7"/>
  <c r="P18" i="7"/>
  <c r="O18" i="7"/>
  <c r="Q18" i="7" s="1"/>
  <c r="M18" i="7"/>
  <c r="H18" i="7"/>
  <c r="C18" i="7"/>
  <c r="AB17" i="7"/>
  <c r="AD17" i="7" s="1"/>
  <c r="Y17" i="7"/>
  <c r="X17" i="7"/>
  <c r="Q17" i="7"/>
  <c r="P17" i="7"/>
  <c r="O17" i="7"/>
  <c r="M17" i="7"/>
  <c r="J17" i="7"/>
  <c r="K17" i="7" s="1"/>
  <c r="H17" i="7"/>
  <c r="C17" i="7"/>
  <c r="AB16" i="7"/>
  <c r="AD16" i="7" s="1"/>
  <c r="Y16" i="7"/>
  <c r="X16" i="7"/>
  <c r="P16" i="7"/>
  <c r="O16" i="7"/>
  <c r="M16" i="7"/>
  <c r="J16" i="7"/>
  <c r="K16" i="7" s="1"/>
  <c r="H16" i="7"/>
  <c r="C16" i="7"/>
  <c r="AB15" i="7"/>
  <c r="AD15" i="7" s="1"/>
  <c r="J15" i="7" s="1"/>
  <c r="Y15" i="7"/>
  <c r="X15" i="7"/>
  <c r="P15" i="7"/>
  <c r="O15" i="7"/>
  <c r="Q15" i="7" s="1"/>
  <c r="M15" i="7"/>
  <c r="H15" i="7"/>
  <c r="C15" i="7"/>
  <c r="AB14" i="7"/>
  <c r="AD14" i="7" s="1"/>
  <c r="J14" i="7" s="1"/>
  <c r="Y14" i="7"/>
  <c r="X14" i="7"/>
  <c r="Q14" i="7"/>
  <c r="P14" i="7"/>
  <c r="O14" i="7"/>
  <c r="M14" i="7"/>
  <c r="H14" i="7"/>
  <c r="C14" i="7"/>
  <c r="AD13" i="7"/>
  <c r="J13" i="7" s="1"/>
  <c r="AB13" i="7"/>
  <c r="Y13" i="7"/>
  <c r="X13" i="7"/>
  <c r="P13" i="7"/>
  <c r="O13" i="7"/>
  <c r="Q13" i="7" s="1"/>
  <c r="M13" i="7"/>
  <c r="H13" i="7"/>
  <c r="C13" i="7"/>
  <c r="AB12" i="7"/>
  <c r="AD12" i="7" s="1"/>
  <c r="Y12" i="7"/>
  <c r="X12" i="7"/>
  <c r="P12" i="7"/>
  <c r="Q12" i="7" s="1"/>
  <c r="O12" i="7"/>
  <c r="M12" i="7"/>
  <c r="J12" i="7"/>
  <c r="K12" i="7" s="1"/>
  <c r="H12" i="7"/>
  <c r="C12" i="7"/>
  <c r="AD11" i="7"/>
  <c r="J11" i="7" s="1"/>
  <c r="AB11" i="7"/>
  <c r="Y11" i="7"/>
  <c r="X11" i="7"/>
  <c r="Q11" i="7"/>
  <c r="P11" i="7"/>
  <c r="O11" i="7"/>
  <c r="M11" i="7"/>
  <c r="H11" i="7"/>
  <c r="C11" i="7"/>
  <c r="AD10" i="7"/>
  <c r="J10" i="7" s="1"/>
  <c r="I10" i="7" s="1"/>
  <c r="AB10" i="7"/>
  <c r="Y10" i="7"/>
  <c r="X10" i="7"/>
  <c r="P10" i="7"/>
  <c r="O10" i="7"/>
  <c r="Q10" i="7" s="1"/>
  <c r="M10" i="7"/>
  <c r="H10" i="7"/>
  <c r="C10" i="7"/>
  <c r="AB9" i="7"/>
  <c r="AD9" i="7" s="1"/>
  <c r="J9" i="7" s="1"/>
  <c r="K9" i="7" s="1"/>
  <c r="Y9" i="7"/>
  <c r="X9" i="7"/>
  <c r="Q9" i="7"/>
  <c r="P9" i="7"/>
  <c r="O9" i="7"/>
  <c r="M9" i="7"/>
  <c r="I9" i="7"/>
  <c r="H9" i="7"/>
  <c r="C9" i="7"/>
  <c r="AB8" i="7"/>
  <c r="AD8" i="7" s="1"/>
  <c r="J8" i="7" s="1"/>
  <c r="Y8" i="7"/>
  <c r="X8" i="7"/>
  <c r="P8" i="7"/>
  <c r="O8" i="7"/>
  <c r="Q8" i="7" s="1"/>
  <c r="M8" i="7"/>
  <c r="H8" i="7"/>
  <c r="C8" i="7"/>
  <c r="AD7" i="7"/>
  <c r="AB7" i="7"/>
  <c r="Y7" i="7"/>
  <c r="X7" i="7"/>
  <c r="P7" i="7"/>
  <c r="O7" i="7"/>
  <c r="Q7" i="7" s="1"/>
  <c r="M7" i="7"/>
  <c r="J7" i="7"/>
  <c r="I7" i="7" s="1"/>
  <c r="H7" i="7"/>
  <c r="C7" i="7"/>
  <c r="AB6" i="7"/>
  <c r="AD6" i="7" s="1"/>
  <c r="J6" i="7" s="1"/>
  <c r="Y6" i="7"/>
  <c r="X6" i="7"/>
  <c r="Q6" i="7"/>
  <c r="P6" i="7"/>
  <c r="O6" i="7"/>
  <c r="M6" i="7"/>
  <c r="H6" i="7"/>
  <c r="C6" i="7"/>
  <c r="AD5" i="7"/>
  <c r="J5" i="7" s="1"/>
  <c r="AB5" i="7"/>
  <c r="Y5" i="7"/>
  <c r="X5" i="7"/>
  <c r="P5" i="7"/>
  <c r="O5" i="7"/>
  <c r="Q5" i="7" s="1"/>
  <c r="M5" i="7"/>
  <c r="H5" i="7"/>
  <c r="C5" i="7"/>
  <c r="AB4" i="7"/>
  <c r="AD4" i="7" s="1"/>
  <c r="J4" i="7" s="1"/>
  <c r="Y4" i="7"/>
  <c r="X4" i="7"/>
  <c r="P4" i="7"/>
  <c r="O4" i="7"/>
  <c r="Q4" i="7" s="1"/>
  <c r="M4" i="7"/>
  <c r="H4" i="7"/>
  <c r="C4" i="7"/>
  <c r="AG3" i="7"/>
  <c r="AF3" i="7"/>
  <c r="W3" i="7"/>
  <c r="X3" i="7" s="1"/>
  <c r="V3" i="7"/>
  <c r="U3" i="7"/>
  <c r="T3" i="7"/>
  <c r="O3" i="7"/>
  <c r="H3" i="7"/>
  <c r="G3" i="7"/>
  <c r="F3" i="7"/>
  <c r="D3" i="7"/>
  <c r="C3" i="7"/>
  <c r="A2" i="7"/>
  <c r="A1" i="7"/>
  <c r="AB32" i="6"/>
  <c r="AD32" i="6" s="1"/>
  <c r="J32" i="6" s="1"/>
  <c r="Y32" i="6"/>
  <c r="X32" i="6"/>
  <c r="V32" i="6"/>
  <c r="U32" i="6"/>
  <c r="T32" i="6"/>
  <c r="P32" i="6"/>
  <c r="O32" i="6"/>
  <c r="Q32" i="6" s="1"/>
  <c r="M32" i="6"/>
  <c r="H32" i="6"/>
  <c r="C32" i="6"/>
  <c r="AB31" i="6"/>
  <c r="AD31" i="6" s="1"/>
  <c r="J31" i="6" s="1"/>
  <c r="Y31" i="6"/>
  <c r="X31" i="6"/>
  <c r="P31" i="6"/>
  <c r="O31" i="6"/>
  <c r="Q31" i="6" s="1"/>
  <c r="M31" i="6"/>
  <c r="H31" i="6"/>
  <c r="C31" i="6"/>
  <c r="AB30" i="6"/>
  <c r="AD30" i="6" s="1"/>
  <c r="J30" i="6" s="1"/>
  <c r="Y30" i="6"/>
  <c r="X30" i="6"/>
  <c r="Q30" i="6"/>
  <c r="P30" i="6"/>
  <c r="O30" i="6"/>
  <c r="M30" i="6"/>
  <c r="H30" i="6"/>
  <c r="C30" i="6"/>
  <c r="AD29" i="6"/>
  <c r="J29" i="6" s="1"/>
  <c r="AB29" i="6"/>
  <c r="Y29" i="6"/>
  <c r="X29" i="6"/>
  <c r="P29" i="6"/>
  <c r="O29" i="6"/>
  <c r="Q29" i="6" s="1"/>
  <c r="M29" i="6"/>
  <c r="H29" i="6"/>
  <c r="C29" i="6"/>
  <c r="AB28" i="6"/>
  <c r="AD28" i="6" s="1"/>
  <c r="Y28" i="6"/>
  <c r="X28" i="6"/>
  <c r="P28" i="6"/>
  <c r="Q28" i="6" s="1"/>
  <c r="O28" i="6"/>
  <c r="M28" i="6"/>
  <c r="J28" i="6"/>
  <c r="K28" i="6" s="1"/>
  <c r="I28" i="6"/>
  <c r="H28" i="6"/>
  <c r="C28" i="6"/>
  <c r="AD27" i="6"/>
  <c r="J27" i="6" s="1"/>
  <c r="AB27" i="6"/>
  <c r="Y27" i="6"/>
  <c r="X27" i="6"/>
  <c r="P27" i="6"/>
  <c r="Q27" i="6" s="1"/>
  <c r="O27" i="6"/>
  <c r="M27" i="6"/>
  <c r="H27" i="6"/>
  <c r="C27" i="6"/>
  <c r="AD26" i="6"/>
  <c r="J26" i="6" s="1"/>
  <c r="I26" i="6" s="1"/>
  <c r="AB26" i="6"/>
  <c r="Y26" i="6"/>
  <c r="X26" i="6"/>
  <c r="P26" i="6"/>
  <c r="O26" i="6"/>
  <c r="Q26" i="6" s="1"/>
  <c r="M26" i="6"/>
  <c r="H26" i="6"/>
  <c r="C26" i="6"/>
  <c r="AB25" i="6"/>
  <c r="AD25" i="6" s="1"/>
  <c r="J25" i="6" s="1"/>
  <c r="K25" i="6" s="1"/>
  <c r="Y25" i="6"/>
  <c r="X25" i="6"/>
  <c r="Q25" i="6"/>
  <c r="P25" i="6"/>
  <c r="O25" i="6"/>
  <c r="M25" i="6"/>
  <c r="H25" i="6"/>
  <c r="C25" i="6"/>
  <c r="AB24" i="6"/>
  <c r="AD24" i="6" s="1"/>
  <c r="J24" i="6" s="1"/>
  <c r="K24" i="6" s="1"/>
  <c r="Y24" i="6"/>
  <c r="X24" i="6"/>
  <c r="V24" i="6"/>
  <c r="U24" i="6"/>
  <c r="T24" i="6"/>
  <c r="Q24" i="6"/>
  <c r="P24" i="6"/>
  <c r="O24" i="6"/>
  <c r="M24" i="6"/>
  <c r="H24" i="6"/>
  <c r="C24" i="6"/>
  <c r="AB23" i="6"/>
  <c r="AD23" i="6" s="1"/>
  <c r="J23" i="6" s="1"/>
  <c r="Y23" i="6"/>
  <c r="X23" i="6"/>
  <c r="P23" i="6"/>
  <c r="O23" i="6"/>
  <c r="M23" i="6"/>
  <c r="H23" i="6"/>
  <c r="C23" i="6"/>
  <c r="AB22" i="6"/>
  <c r="AD22" i="6" s="1"/>
  <c r="J22" i="6" s="1"/>
  <c r="Y22" i="6"/>
  <c r="X22" i="6"/>
  <c r="Q22" i="6"/>
  <c r="P22" i="6"/>
  <c r="O22" i="6"/>
  <c r="M22" i="6"/>
  <c r="H22" i="6"/>
  <c r="C22" i="6"/>
  <c r="AB21" i="6"/>
  <c r="AD21" i="6" s="1"/>
  <c r="J21" i="6" s="1"/>
  <c r="Y21" i="6"/>
  <c r="X21" i="6"/>
  <c r="Q21" i="6"/>
  <c r="P21" i="6"/>
  <c r="O21" i="6"/>
  <c r="M21" i="6"/>
  <c r="H21" i="6"/>
  <c r="C21" i="6"/>
  <c r="AD20" i="6"/>
  <c r="J20" i="6" s="1"/>
  <c r="AB20" i="6"/>
  <c r="Y20" i="6"/>
  <c r="X20" i="6"/>
  <c r="P20" i="6"/>
  <c r="O20" i="6"/>
  <c r="Q20" i="6" s="1"/>
  <c r="M20" i="6"/>
  <c r="H20" i="6"/>
  <c r="C20" i="6"/>
  <c r="AB19" i="6"/>
  <c r="AD19" i="6" s="1"/>
  <c r="Y19" i="6"/>
  <c r="X19" i="6"/>
  <c r="P19" i="6"/>
  <c r="Q19" i="6" s="1"/>
  <c r="O19" i="6"/>
  <c r="M19" i="6"/>
  <c r="J19" i="6"/>
  <c r="K19" i="6" s="1"/>
  <c r="H19" i="6"/>
  <c r="C19" i="6"/>
  <c r="AD18" i="6"/>
  <c r="J18" i="6" s="1"/>
  <c r="AB18" i="6"/>
  <c r="Y18" i="6"/>
  <c r="X18" i="6"/>
  <c r="Q18" i="6"/>
  <c r="P18" i="6"/>
  <c r="O18" i="6"/>
  <c r="M18" i="6"/>
  <c r="H18" i="6"/>
  <c r="C18" i="6"/>
  <c r="AD17" i="6"/>
  <c r="J17" i="6" s="1"/>
  <c r="I17" i="6" s="1"/>
  <c r="AB17" i="6"/>
  <c r="Y17" i="6"/>
  <c r="X17" i="6"/>
  <c r="P17" i="6"/>
  <c r="O17" i="6"/>
  <c r="Q17" i="6" s="1"/>
  <c r="M17" i="6"/>
  <c r="H17" i="6"/>
  <c r="C17" i="6"/>
  <c r="AB16" i="6"/>
  <c r="AD16" i="6" s="1"/>
  <c r="J16" i="6" s="1"/>
  <c r="K16" i="6" s="1"/>
  <c r="Y16" i="6"/>
  <c r="X16" i="6"/>
  <c r="Q16" i="6"/>
  <c r="P16" i="6"/>
  <c r="O16" i="6"/>
  <c r="M16" i="6"/>
  <c r="I16" i="6"/>
  <c r="H16" i="6"/>
  <c r="C16" i="6"/>
  <c r="AB15" i="6"/>
  <c r="AD15" i="6" s="1"/>
  <c r="J15" i="6" s="1"/>
  <c r="Y15" i="6"/>
  <c r="X15" i="6"/>
  <c r="P15" i="6"/>
  <c r="O15" i="6"/>
  <c r="Q15" i="6" s="1"/>
  <c r="M15" i="6"/>
  <c r="H15" i="6"/>
  <c r="C15" i="6"/>
  <c r="AB14" i="6"/>
  <c r="AD14" i="6" s="1"/>
  <c r="J14" i="6" s="1"/>
  <c r="Y14" i="6"/>
  <c r="X14" i="6"/>
  <c r="Q14" i="6"/>
  <c r="P14" i="6"/>
  <c r="O14" i="6"/>
  <c r="M14" i="6"/>
  <c r="H14" i="6"/>
  <c r="C14" i="6"/>
  <c r="AB13" i="6"/>
  <c r="AD13" i="6" s="1"/>
  <c r="J13" i="6" s="1"/>
  <c r="Y13" i="6"/>
  <c r="X13" i="6"/>
  <c r="Q13" i="6"/>
  <c r="P13" i="6"/>
  <c r="O13" i="6"/>
  <c r="M13" i="6"/>
  <c r="H13" i="6"/>
  <c r="C13" i="6"/>
  <c r="AD12" i="6"/>
  <c r="J12" i="6" s="1"/>
  <c r="AB12" i="6"/>
  <c r="Y12" i="6"/>
  <c r="X12" i="6"/>
  <c r="P12" i="6"/>
  <c r="O12" i="6"/>
  <c r="Q12" i="6" s="1"/>
  <c r="M12" i="6"/>
  <c r="H12" i="6"/>
  <c r="C12" i="6"/>
  <c r="AB11" i="6"/>
  <c r="AD11" i="6" s="1"/>
  <c r="Y11" i="6"/>
  <c r="X11" i="6"/>
  <c r="P11" i="6"/>
  <c r="O11" i="6"/>
  <c r="Q11" i="6" s="1"/>
  <c r="M11" i="6"/>
  <c r="J11" i="6"/>
  <c r="K11" i="6" s="1"/>
  <c r="H11" i="6"/>
  <c r="C11" i="6"/>
  <c r="AD10" i="6"/>
  <c r="J10" i="6" s="1"/>
  <c r="AB10" i="6"/>
  <c r="Y10" i="6"/>
  <c r="X10" i="6"/>
  <c r="Q10" i="6"/>
  <c r="P10" i="6"/>
  <c r="O10" i="6"/>
  <c r="M10" i="6"/>
  <c r="H10" i="6"/>
  <c r="C10" i="6"/>
  <c r="AD9" i="6"/>
  <c r="J9" i="6" s="1"/>
  <c r="I9" i="6" s="1"/>
  <c r="AB9" i="6"/>
  <c r="Y9" i="6"/>
  <c r="X9" i="6"/>
  <c r="P9" i="6"/>
  <c r="O9" i="6"/>
  <c r="Q9" i="6" s="1"/>
  <c r="M9" i="6"/>
  <c r="H9" i="6"/>
  <c r="C9" i="6"/>
  <c r="AB8" i="6"/>
  <c r="AD8" i="6" s="1"/>
  <c r="J8" i="6" s="1"/>
  <c r="K8" i="6" s="1"/>
  <c r="Y8" i="6"/>
  <c r="X8" i="6"/>
  <c r="P8" i="6"/>
  <c r="O8" i="6"/>
  <c r="Q8" i="6" s="1"/>
  <c r="M8" i="6"/>
  <c r="H8" i="6"/>
  <c r="C8" i="6"/>
  <c r="AB7" i="6"/>
  <c r="AD7" i="6" s="1"/>
  <c r="J7" i="6" s="1"/>
  <c r="Y7" i="6"/>
  <c r="X7" i="6"/>
  <c r="P7" i="6"/>
  <c r="O7" i="6"/>
  <c r="Q7" i="6" s="1"/>
  <c r="M7" i="6"/>
  <c r="H7" i="6"/>
  <c r="C7" i="6"/>
  <c r="AD6" i="6"/>
  <c r="J6" i="6" s="1"/>
  <c r="AB6" i="6"/>
  <c r="Y6" i="6"/>
  <c r="X6" i="6"/>
  <c r="Q6" i="6"/>
  <c r="P6" i="6"/>
  <c r="O6" i="6"/>
  <c r="M6" i="6"/>
  <c r="H6" i="6"/>
  <c r="C6" i="6"/>
  <c r="AB5" i="6"/>
  <c r="AD5" i="6" s="1"/>
  <c r="J5" i="6" s="1"/>
  <c r="Y5" i="6"/>
  <c r="X5" i="6"/>
  <c r="Q5" i="6"/>
  <c r="P5" i="6"/>
  <c r="O5" i="6"/>
  <c r="M5" i="6"/>
  <c r="H5" i="6"/>
  <c r="C5" i="6"/>
  <c r="AD4" i="6"/>
  <c r="J4" i="6" s="1"/>
  <c r="AB4" i="6"/>
  <c r="Y4" i="6"/>
  <c r="X4" i="6"/>
  <c r="P4" i="6"/>
  <c r="O4" i="6"/>
  <c r="Q4" i="6" s="1"/>
  <c r="M4" i="6"/>
  <c r="H4" i="6"/>
  <c r="C4" i="6"/>
  <c r="AG3" i="6"/>
  <c r="AF3" i="6"/>
  <c r="W3" i="6"/>
  <c r="V3" i="6"/>
  <c r="U3" i="6"/>
  <c r="T3" i="6"/>
  <c r="O3" i="6"/>
  <c r="G3" i="6"/>
  <c r="H3" i="6" s="1"/>
  <c r="F3" i="6"/>
  <c r="D3" i="6"/>
  <c r="X3" i="6" s="1"/>
  <c r="C3" i="6"/>
  <c r="A2" i="6"/>
  <c r="A1" i="6"/>
  <c r="AD32" i="5"/>
  <c r="AB32" i="5"/>
  <c r="Y32" i="5"/>
  <c r="X32" i="5"/>
  <c r="V32" i="5"/>
  <c r="U32" i="5"/>
  <c r="T32" i="5"/>
  <c r="P32" i="5"/>
  <c r="O32" i="5"/>
  <c r="Q32" i="5" s="1"/>
  <c r="M32" i="5"/>
  <c r="J32" i="5"/>
  <c r="K32" i="5" s="1"/>
  <c r="H32" i="5"/>
  <c r="C32" i="5"/>
  <c r="AB31" i="5"/>
  <c r="AD31" i="5" s="1"/>
  <c r="J31" i="5" s="1"/>
  <c r="Y31" i="5"/>
  <c r="X31" i="5"/>
  <c r="Q31" i="5"/>
  <c r="P31" i="5"/>
  <c r="O31" i="5"/>
  <c r="M31" i="5"/>
  <c r="H31" i="5"/>
  <c r="C31" i="5"/>
  <c r="AB30" i="5"/>
  <c r="AD30" i="5" s="1"/>
  <c r="J30" i="5" s="1"/>
  <c r="Y30" i="5"/>
  <c r="X30" i="5"/>
  <c r="Q30" i="5"/>
  <c r="P30" i="5"/>
  <c r="O30" i="5"/>
  <c r="M30" i="5"/>
  <c r="H30" i="5"/>
  <c r="C30" i="5"/>
  <c r="AB29" i="5"/>
  <c r="AD29" i="5" s="1"/>
  <c r="J29" i="5" s="1"/>
  <c r="K29" i="5" s="1"/>
  <c r="Y29" i="5"/>
  <c r="X29" i="5"/>
  <c r="Q29" i="5"/>
  <c r="P29" i="5"/>
  <c r="O29" i="5"/>
  <c r="M29" i="5"/>
  <c r="I29" i="5"/>
  <c r="H29" i="5"/>
  <c r="C29" i="5"/>
  <c r="AD28" i="5"/>
  <c r="J28" i="5" s="1"/>
  <c r="AB28" i="5"/>
  <c r="Y28" i="5"/>
  <c r="X28" i="5"/>
  <c r="P28" i="5"/>
  <c r="O28" i="5"/>
  <c r="M28" i="5"/>
  <c r="H28" i="5"/>
  <c r="C28" i="5"/>
  <c r="AB27" i="5"/>
  <c r="AD27" i="5" s="1"/>
  <c r="J27" i="5" s="1"/>
  <c r="Y27" i="5"/>
  <c r="X27" i="5"/>
  <c r="P27" i="5"/>
  <c r="O27" i="5"/>
  <c r="Q27" i="5" s="1"/>
  <c r="M27" i="5"/>
  <c r="H27" i="5"/>
  <c r="C27" i="5"/>
  <c r="AD26" i="5"/>
  <c r="J26" i="5" s="1"/>
  <c r="AB26" i="5"/>
  <c r="Y26" i="5"/>
  <c r="X26" i="5"/>
  <c r="P26" i="5"/>
  <c r="Q26" i="5" s="1"/>
  <c r="O26" i="5"/>
  <c r="M26" i="5"/>
  <c r="H26" i="5"/>
  <c r="C26" i="5"/>
  <c r="AD25" i="5"/>
  <c r="J25" i="5" s="1"/>
  <c r="I25" i="5" s="1"/>
  <c r="AB25" i="5"/>
  <c r="Y25" i="5"/>
  <c r="X25" i="5"/>
  <c r="P25" i="5"/>
  <c r="O25" i="5"/>
  <c r="Q25" i="5" s="1"/>
  <c r="M25" i="5"/>
  <c r="K25" i="5"/>
  <c r="H25" i="5"/>
  <c r="C25" i="5"/>
  <c r="AB24" i="5"/>
  <c r="AD24" i="5" s="1"/>
  <c r="J24" i="5" s="1"/>
  <c r="I24" i="5" s="1"/>
  <c r="Y24" i="5"/>
  <c r="X24" i="5"/>
  <c r="V24" i="5"/>
  <c r="U24" i="5"/>
  <c r="T24" i="5"/>
  <c r="P24" i="5"/>
  <c r="O24" i="5"/>
  <c r="Q24" i="5" s="1"/>
  <c r="M24" i="5"/>
  <c r="K24" i="5"/>
  <c r="H24" i="5"/>
  <c r="C24" i="5"/>
  <c r="AB23" i="5"/>
  <c r="AD23" i="5" s="1"/>
  <c r="Y23" i="5"/>
  <c r="X23" i="5"/>
  <c r="P23" i="5"/>
  <c r="O23" i="5"/>
  <c r="Q23" i="5" s="1"/>
  <c r="M23" i="5"/>
  <c r="J23" i="5"/>
  <c r="K23" i="5" s="1"/>
  <c r="H23" i="5"/>
  <c r="C23" i="5"/>
  <c r="AB22" i="5"/>
  <c r="AD22" i="5" s="1"/>
  <c r="J22" i="5" s="1"/>
  <c r="Y22" i="5"/>
  <c r="X22" i="5"/>
  <c r="P22" i="5"/>
  <c r="Q22" i="5" s="1"/>
  <c r="O22" i="5"/>
  <c r="M22" i="5"/>
  <c r="H22" i="5"/>
  <c r="C22" i="5"/>
  <c r="AB21" i="5"/>
  <c r="AD21" i="5" s="1"/>
  <c r="J21" i="5" s="1"/>
  <c r="Y21" i="5"/>
  <c r="X21" i="5"/>
  <c r="Q21" i="5"/>
  <c r="P21" i="5"/>
  <c r="O21" i="5"/>
  <c r="M21" i="5"/>
  <c r="H21" i="5"/>
  <c r="C21" i="5"/>
  <c r="AB20" i="5"/>
  <c r="AD20" i="5" s="1"/>
  <c r="J20" i="5" s="1"/>
  <c r="K20" i="5" s="1"/>
  <c r="Y20" i="5"/>
  <c r="X20" i="5"/>
  <c r="Q20" i="5"/>
  <c r="P20" i="5"/>
  <c r="O20" i="5"/>
  <c r="M20" i="5"/>
  <c r="I20" i="5"/>
  <c r="H20" i="5"/>
  <c r="C20" i="5"/>
  <c r="AD19" i="5"/>
  <c r="J19" i="5" s="1"/>
  <c r="AB19" i="5"/>
  <c r="Y19" i="5"/>
  <c r="X19" i="5"/>
  <c r="P19" i="5"/>
  <c r="O19" i="5"/>
  <c r="Q19" i="5" s="1"/>
  <c r="M19" i="5"/>
  <c r="H19" i="5"/>
  <c r="C19" i="5"/>
  <c r="AB18" i="5"/>
  <c r="AD18" i="5" s="1"/>
  <c r="J18" i="5" s="1"/>
  <c r="Y18" i="5"/>
  <c r="X18" i="5"/>
  <c r="P18" i="5"/>
  <c r="O18" i="5"/>
  <c r="Q18" i="5" s="1"/>
  <c r="M18" i="5"/>
  <c r="H18" i="5"/>
  <c r="C18" i="5"/>
  <c r="AD17" i="5"/>
  <c r="J17" i="5" s="1"/>
  <c r="AB17" i="5"/>
  <c r="Y17" i="5"/>
  <c r="X17" i="5"/>
  <c r="P17" i="5"/>
  <c r="Q17" i="5" s="1"/>
  <c r="O17" i="5"/>
  <c r="M17" i="5"/>
  <c r="H17" i="5"/>
  <c r="C17" i="5"/>
  <c r="AD16" i="5"/>
  <c r="J16" i="5" s="1"/>
  <c r="I16" i="5" s="1"/>
  <c r="AB16" i="5"/>
  <c r="Y16" i="5"/>
  <c r="X16" i="5"/>
  <c r="P16" i="5"/>
  <c r="O16" i="5"/>
  <c r="Q16" i="5" s="1"/>
  <c r="M16" i="5"/>
  <c r="K16" i="5"/>
  <c r="H16" i="5"/>
  <c r="C16" i="5"/>
  <c r="AB15" i="5"/>
  <c r="AD15" i="5" s="1"/>
  <c r="Y15" i="5"/>
  <c r="X15" i="5"/>
  <c r="P15" i="5"/>
  <c r="O15" i="5"/>
  <c r="Q15" i="5" s="1"/>
  <c r="M15" i="5"/>
  <c r="J15" i="5"/>
  <c r="K15" i="5" s="1"/>
  <c r="H15" i="5"/>
  <c r="C15" i="5"/>
  <c r="AB14" i="5"/>
  <c r="AD14" i="5" s="1"/>
  <c r="J14" i="5" s="1"/>
  <c r="Y14" i="5"/>
  <c r="X14" i="5"/>
  <c r="Q14" i="5"/>
  <c r="P14" i="5"/>
  <c r="O14" i="5"/>
  <c r="M14" i="5"/>
  <c r="H14" i="5"/>
  <c r="C14" i="5"/>
  <c r="AB13" i="5"/>
  <c r="AD13" i="5" s="1"/>
  <c r="J13" i="5" s="1"/>
  <c r="Y13" i="5"/>
  <c r="X13" i="5"/>
  <c r="Q13" i="5"/>
  <c r="P13" i="5"/>
  <c r="O13" i="5"/>
  <c r="M13" i="5"/>
  <c r="H13" i="5"/>
  <c r="C13" i="5"/>
  <c r="AB12" i="5"/>
  <c r="AD12" i="5" s="1"/>
  <c r="J12" i="5" s="1"/>
  <c r="K12" i="5" s="1"/>
  <c r="Y12" i="5"/>
  <c r="X12" i="5"/>
  <c r="Q12" i="5"/>
  <c r="P12" i="5"/>
  <c r="O12" i="5"/>
  <c r="M12" i="5"/>
  <c r="I12" i="5"/>
  <c r="H12" i="5"/>
  <c r="C12" i="5"/>
  <c r="AD11" i="5"/>
  <c r="J11" i="5" s="1"/>
  <c r="AB11" i="5"/>
  <c r="Y11" i="5"/>
  <c r="X11" i="5"/>
  <c r="P11" i="5"/>
  <c r="O11" i="5"/>
  <c r="M11" i="5"/>
  <c r="H11" i="5"/>
  <c r="C11" i="5"/>
  <c r="AB10" i="5"/>
  <c r="AD10" i="5" s="1"/>
  <c r="J10" i="5" s="1"/>
  <c r="Y10" i="5"/>
  <c r="X10" i="5"/>
  <c r="P10" i="5"/>
  <c r="Q10" i="5" s="1"/>
  <c r="O10" i="5"/>
  <c r="M10" i="5"/>
  <c r="H10" i="5"/>
  <c r="C10" i="5"/>
  <c r="AD9" i="5"/>
  <c r="J9" i="5" s="1"/>
  <c r="AB9" i="5"/>
  <c r="Y9" i="5"/>
  <c r="X9" i="5"/>
  <c r="P9" i="5"/>
  <c r="Q9" i="5" s="1"/>
  <c r="O9" i="5"/>
  <c r="M9" i="5"/>
  <c r="H9" i="5"/>
  <c r="C9" i="5"/>
  <c r="AD8" i="5"/>
  <c r="J8" i="5" s="1"/>
  <c r="I8" i="5" s="1"/>
  <c r="AB8" i="5"/>
  <c r="Y8" i="5"/>
  <c r="X8" i="5"/>
  <c r="P8" i="5"/>
  <c r="O8" i="5"/>
  <c r="Q8" i="5" s="1"/>
  <c r="M8" i="5"/>
  <c r="H8" i="5"/>
  <c r="C8" i="5"/>
  <c r="AB7" i="5"/>
  <c r="AD7" i="5" s="1"/>
  <c r="J7" i="5" s="1"/>
  <c r="Y7" i="5"/>
  <c r="X7" i="5"/>
  <c r="P7" i="5"/>
  <c r="O7" i="5"/>
  <c r="Q7" i="5" s="1"/>
  <c r="M7" i="5"/>
  <c r="H7" i="5"/>
  <c r="C7" i="5"/>
  <c r="AB6" i="5"/>
  <c r="AD6" i="5" s="1"/>
  <c r="J6" i="5" s="1"/>
  <c r="Y6" i="5"/>
  <c r="X6" i="5"/>
  <c r="P6" i="5"/>
  <c r="O6" i="5"/>
  <c r="Q6" i="5" s="1"/>
  <c r="M6" i="5"/>
  <c r="H6" i="5"/>
  <c r="C6" i="5"/>
  <c r="AD5" i="5"/>
  <c r="J5" i="5" s="1"/>
  <c r="AB5" i="5"/>
  <c r="Y5" i="5"/>
  <c r="X5" i="5"/>
  <c r="Q5" i="5"/>
  <c r="P5" i="5"/>
  <c r="O5" i="5"/>
  <c r="M5" i="5"/>
  <c r="H5" i="5"/>
  <c r="C5" i="5"/>
  <c r="AB4" i="5"/>
  <c r="AD4" i="5" s="1"/>
  <c r="Y4" i="5"/>
  <c r="X4" i="5"/>
  <c r="Q4" i="5"/>
  <c r="P4" i="5"/>
  <c r="O4" i="5"/>
  <c r="M4" i="5"/>
  <c r="H4" i="5"/>
  <c r="C4" i="5"/>
  <c r="AG3" i="5"/>
  <c r="AF3" i="5"/>
  <c r="W3" i="5"/>
  <c r="V3" i="5"/>
  <c r="U3" i="5"/>
  <c r="T3" i="5"/>
  <c r="O3" i="5"/>
  <c r="G3" i="5"/>
  <c r="F3" i="5"/>
  <c r="D3" i="5"/>
  <c r="C3" i="5"/>
  <c r="A2" i="5"/>
  <c r="A1" i="5"/>
  <c r="AB32" i="4"/>
  <c r="AD32" i="4" s="1"/>
  <c r="J32" i="4" s="1"/>
  <c r="I32" i="4" s="1"/>
  <c r="Y32" i="4"/>
  <c r="X32" i="4"/>
  <c r="V32" i="4"/>
  <c r="U32" i="4"/>
  <c r="T32" i="4"/>
  <c r="P32" i="4"/>
  <c r="O32" i="4"/>
  <c r="Q32" i="4" s="1"/>
  <c r="M32" i="4"/>
  <c r="K32" i="4"/>
  <c r="H32" i="4"/>
  <c r="C32" i="4"/>
  <c r="AB31" i="4"/>
  <c r="AD31" i="4" s="1"/>
  <c r="Y31" i="4"/>
  <c r="X31" i="4"/>
  <c r="P31" i="4"/>
  <c r="O31" i="4"/>
  <c r="Q31" i="4" s="1"/>
  <c r="M31" i="4"/>
  <c r="J31" i="4"/>
  <c r="K31" i="4" s="1"/>
  <c r="I31" i="4"/>
  <c r="H31" i="4"/>
  <c r="C31" i="4"/>
  <c r="AB30" i="4"/>
  <c r="AD30" i="4" s="1"/>
  <c r="J30" i="4" s="1"/>
  <c r="Y30" i="4"/>
  <c r="X30" i="4"/>
  <c r="P30" i="4"/>
  <c r="O30" i="4"/>
  <c r="Q30" i="4" s="1"/>
  <c r="M30" i="4"/>
  <c r="H30" i="4"/>
  <c r="C30" i="4"/>
  <c r="AB29" i="4"/>
  <c r="AD29" i="4" s="1"/>
  <c r="J29" i="4" s="1"/>
  <c r="Y29" i="4"/>
  <c r="X29" i="4"/>
  <c r="Q29" i="4"/>
  <c r="P29" i="4"/>
  <c r="O29" i="4"/>
  <c r="M29" i="4"/>
  <c r="H29" i="4"/>
  <c r="C29" i="4"/>
  <c r="AB28" i="4"/>
  <c r="AD28" i="4" s="1"/>
  <c r="J28" i="4" s="1"/>
  <c r="K28" i="4" s="1"/>
  <c r="Y28" i="4"/>
  <c r="X28" i="4"/>
  <c r="Q28" i="4"/>
  <c r="P28" i="4"/>
  <c r="O28" i="4"/>
  <c r="M28" i="4"/>
  <c r="H28" i="4"/>
  <c r="C28" i="4"/>
  <c r="AD27" i="4"/>
  <c r="J27" i="4" s="1"/>
  <c r="AB27" i="4"/>
  <c r="Y27" i="4"/>
  <c r="X27" i="4"/>
  <c r="P27" i="4"/>
  <c r="O27" i="4"/>
  <c r="Q27" i="4" s="1"/>
  <c r="M27" i="4"/>
  <c r="H27" i="4"/>
  <c r="C27" i="4"/>
  <c r="AB26" i="4"/>
  <c r="AD26" i="4" s="1"/>
  <c r="J26" i="4" s="1"/>
  <c r="Y26" i="4"/>
  <c r="X26" i="4"/>
  <c r="P26" i="4"/>
  <c r="Q26" i="4" s="1"/>
  <c r="O26" i="4"/>
  <c r="M26" i="4"/>
  <c r="H26" i="4"/>
  <c r="C26" i="4"/>
  <c r="AD25" i="4"/>
  <c r="J25" i="4" s="1"/>
  <c r="AB25" i="4"/>
  <c r="Y25" i="4"/>
  <c r="X25" i="4"/>
  <c r="P25" i="4"/>
  <c r="Q25" i="4" s="1"/>
  <c r="O25" i="4"/>
  <c r="M25" i="4"/>
  <c r="H25" i="4"/>
  <c r="C25" i="4"/>
  <c r="AD24" i="4"/>
  <c r="J24" i="4" s="1"/>
  <c r="AB24" i="4"/>
  <c r="Y24" i="4"/>
  <c r="X24" i="4"/>
  <c r="V24" i="4"/>
  <c r="U24" i="4"/>
  <c r="T24" i="4"/>
  <c r="Q24" i="4"/>
  <c r="P24" i="4"/>
  <c r="O24" i="4"/>
  <c r="M24" i="4"/>
  <c r="H24" i="4"/>
  <c r="C24" i="4"/>
  <c r="AD23" i="4"/>
  <c r="J23" i="4" s="1"/>
  <c r="I23" i="4" s="1"/>
  <c r="AB23" i="4"/>
  <c r="Y23" i="4"/>
  <c r="X23" i="4"/>
  <c r="P23" i="4"/>
  <c r="O23" i="4"/>
  <c r="Q23" i="4" s="1"/>
  <c r="M23" i="4"/>
  <c r="H23" i="4"/>
  <c r="C23" i="4"/>
  <c r="AB22" i="4"/>
  <c r="AD22" i="4" s="1"/>
  <c r="J22" i="4" s="1"/>
  <c r="Y22" i="4"/>
  <c r="X22" i="4"/>
  <c r="P22" i="4"/>
  <c r="O22" i="4"/>
  <c r="Q22" i="4" s="1"/>
  <c r="M22" i="4"/>
  <c r="H22" i="4"/>
  <c r="C22" i="4"/>
  <c r="AB21" i="4"/>
  <c r="AD21" i="4" s="1"/>
  <c r="J21" i="4" s="1"/>
  <c r="Y21" i="4"/>
  <c r="X21" i="4"/>
  <c r="P21" i="4"/>
  <c r="O21" i="4"/>
  <c r="Q21" i="4" s="1"/>
  <c r="M21" i="4"/>
  <c r="H21" i="4"/>
  <c r="C21" i="4"/>
  <c r="AB20" i="4"/>
  <c r="AD20" i="4" s="1"/>
  <c r="J20" i="4" s="1"/>
  <c r="Y20" i="4"/>
  <c r="X20" i="4"/>
  <c r="Q20" i="4"/>
  <c r="P20" i="4"/>
  <c r="O20" i="4"/>
  <c r="M20" i="4"/>
  <c r="H20" i="4"/>
  <c r="C20" i="4"/>
  <c r="AB19" i="4"/>
  <c r="AD19" i="4" s="1"/>
  <c r="J19" i="4" s="1"/>
  <c r="K19" i="4" s="1"/>
  <c r="Y19" i="4"/>
  <c r="X19" i="4"/>
  <c r="Q19" i="4"/>
  <c r="P19" i="4"/>
  <c r="O19" i="4"/>
  <c r="M19" i="4"/>
  <c r="H19" i="4"/>
  <c r="C19" i="4"/>
  <c r="AD18" i="4"/>
  <c r="J18" i="4" s="1"/>
  <c r="K18" i="4" s="1"/>
  <c r="AB18" i="4"/>
  <c r="Y18" i="4"/>
  <c r="X18" i="4"/>
  <c r="P18" i="4"/>
  <c r="O18" i="4"/>
  <c r="Q18" i="4" s="1"/>
  <c r="M18" i="4"/>
  <c r="I18" i="4"/>
  <c r="H18" i="4"/>
  <c r="C18" i="4"/>
  <c r="AB17" i="4"/>
  <c r="AD17" i="4" s="1"/>
  <c r="J17" i="4" s="1"/>
  <c r="Y17" i="4"/>
  <c r="X17" i="4"/>
  <c r="P17" i="4"/>
  <c r="Q17" i="4" s="1"/>
  <c r="O17" i="4"/>
  <c r="M17" i="4"/>
  <c r="H17" i="4"/>
  <c r="C17" i="4"/>
  <c r="AD16" i="4"/>
  <c r="J16" i="4" s="1"/>
  <c r="I16" i="4" s="1"/>
  <c r="AB16" i="4"/>
  <c r="Y16" i="4"/>
  <c r="X16" i="4"/>
  <c r="P16" i="4"/>
  <c r="Q16" i="4" s="1"/>
  <c r="O16" i="4"/>
  <c r="M16" i="4"/>
  <c r="H16" i="4"/>
  <c r="C16" i="4"/>
  <c r="AD15" i="4"/>
  <c r="J15" i="4" s="1"/>
  <c r="I15" i="4" s="1"/>
  <c r="AB15" i="4"/>
  <c r="Y15" i="4"/>
  <c r="X15" i="4"/>
  <c r="P15" i="4"/>
  <c r="O15" i="4"/>
  <c r="Q15" i="4" s="1"/>
  <c r="M15" i="4"/>
  <c r="K15" i="4"/>
  <c r="H15" i="4"/>
  <c r="C15" i="4"/>
  <c r="AB14" i="4"/>
  <c r="AD14" i="4" s="1"/>
  <c r="Y14" i="4"/>
  <c r="X14" i="4"/>
  <c r="P14" i="4"/>
  <c r="O14" i="4"/>
  <c r="Q14" i="4" s="1"/>
  <c r="M14" i="4"/>
  <c r="J14" i="4"/>
  <c r="K14" i="4" s="1"/>
  <c r="H14" i="4"/>
  <c r="C14" i="4"/>
  <c r="AB13" i="4"/>
  <c r="AD13" i="4" s="1"/>
  <c r="J13" i="4" s="1"/>
  <c r="Y13" i="4"/>
  <c r="X13" i="4"/>
  <c r="Q13" i="4"/>
  <c r="P13" i="4"/>
  <c r="O13" i="4"/>
  <c r="M13" i="4"/>
  <c r="H13" i="4"/>
  <c r="C13" i="4"/>
  <c r="AD12" i="4"/>
  <c r="J12" i="4" s="1"/>
  <c r="AB12" i="4"/>
  <c r="Y12" i="4"/>
  <c r="X12" i="4"/>
  <c r="P12" i="4"/>
  <c r="O12" i="4"/>
  <c r="Q12" i="4" s="1"/>
  <c r="M12" i="4"/>
  <c r="H12" i="4"/>
  <c r="C12" i="4"/>
  <c r="AB11" i="4"/>
  <c r="AD11" i="4" s="1"/>
  <c r="J11" i="4" s="1"/>
  <c r="Y11" i="4"/>
  <c r="X11" i="4"/>
  <c r="Q11" i="4"/>
  <c r="P11" i="4"/>
  <c r="O11" i="4"/>
  <c r="M11" i="4"/>
  <c r="H11" i="4"/>
  <c r="C11" i="4"/>
  <c r="AD10" i="4"/>
  <c r="J10" i="4" s="1"/>
  <c r="I10" i="4" s="1"/>
  <c r="AB10" i="4"/>
  <c r="Y10" i="4"/>
  <c r="X10" i="4"/>
  <c r="P10" i="4"/>
  <c r="O10" i="4"/>
  <c r="Q10" i="4" s="1"/>
  <c r="M10" i="4"/>
  <c r="H10" i="4"/>
  <c r="C10" i="4"/>
  <c r="AB9" i="4"/>
  <c r="AD9" i="4" s="1"/>
  <c r="J9" i="4" s="1"/>
  <c r="Y9" i="4"/>
  <c r="X9" i="4"/>
  <c r="P9" i="4"/>
  <c r="O9" i="4"/>
  <c r="M9" i="4"/>
  <c r="H9" i="4"/>
  <c r="C9" i="4"/>
  <c r="AD8" i="4"/>
  <c r="J8" i="4" s="1"/>
  <c r="I8" i="4" s="1"/>
  <c r="AB8" i="4"/>
  <c r="Y8" i="4"/>
  <c r="X8" i="4"/>
  <c r="P8" i="4"/>
  <c r="O8" i="4"/>
  <c r="Q8" i="4" s="1"/>
  <c r="M8" i="4"/>
  <c r="H8" i="4"/>
  <c r="C8" i="4"/>
  <c r="AB7" i="4"/>
  <c r="AD7" i="4" s="1"/>
  <c r="J7" i="4" s="1"/>
  <c r="Y7" i="4"/>
  <c r="X7" i="4"/>
  <c r="P7" i="4"/>
  <c r="O7" i="4"/>
  <c r="M7" i="4"/>
  <c r="H7" i="4"/>
  <c r="C7" i="4"/>
  <c r="AB6" i="4"/>
  <c r="AD6" i="4" s="1"/>
  <c r="J6" i="4" s="1"/>
  <c r="Y6" i="4"/>
  <c r="X6" i="4"/>
  <c r="P6" i="4"/>
  <c r="O6" i="4"/>
  <c r="Q6" i="4" s="1"/>
  <c r="M6" i="4"/>
  <c r="H6" i="4"/>
  <c r="C6" i="4"/>
  <c r="AB5" i="4"/>
  <c r="AD5" i="4" s="1"/>
  <c r="J5" i="4" s="1"/>
  <c r="Y5" i="4"/>
  <c r="X5" i="4"/>
  <c r="P5" i="4"/>
  <c r="Q5" i="4" s="1"/>
  <c r="O5" i="4"/>
  <c r="M5" i="4"/>
  <c r="H5" i="4"/>
  <c r="C5" i="4"/>
  <c r="AB4" i="4"/>
  <c r="AD4" i="4" s="1"/>
  <c r="Y4" i="4"/>
  <c r="X4" i="4"/>
  <c r="Q4" i="4"/>
  <c r="P4" i="4"/>
  <c r="O4" i="4"/>
  <c r="M4" i="4"/>
  <c r="H4" i="4"/>
  <c r="C4" i="4"/>
  <c r="AG3" i="4"/>
  <c r="AF3" i="4"/>
  <c r="W3" i="4"/>
  <c r="X3" i="4" s="1"/>
  <c r="V3" i="4"/>
  <c r="U3" i="4"/>
  <c r="T3" i="4"/>
  <c r="O3" i="4"/>
  <c r="G3" i="4"/>
  <c r="H3" i="4" s="1"/>
  <c r="F3" i="4"/>
  <c r="D3" i="4"/>
  <c r="C3" i="4"/>
  <c r="A2" i="4"/>
  <c r="A1" i="4"/>
  <c r="AB32" i="3"/>
  <c r="AD32" i="3" s="1"/>
  <c r="J32" i="3" s="1"/>
  <c r="Y32" i="3"/>
  <c r="X32" i="3"/>
  <c r="V32" i="3"/>
  <c r="U32" i="3"/>
  <c r="T32" i="3"/>
  <c r="P32" i="3"/>
  <c r="O32" i="3"/>
  <c r="Q32" i="3" s="1"/>
  <c r="M32" i="3"/>
  <c r="H32" i="3"/>
  <c r="C32" i="3"/>
  <c r="AB31" i="3"/>
  <c r="AD31" i="3" s="1"/>
  <c r="J31" i="3" s="1"/>
  <c r="Y31" i="3"/>
  <c r="X31" i="3"/>
  <c r="P31" i="3"/>
  <c r="O31" i="3"/>
  <c r="M31" i="3"/>
  <c r="H31" i="3"/>
  <c r="C31" i="3"/>
  <c r="AD30" i="3"/>
  <c r="J30" i="3" s="1"/>
  <c r="AB30" i="3"/>
  <c r="Y30" i="3"/>
  <c r="X30" i="3"/>
  <c r="P30" i="3"/>
  <c r="O30" i="3"/>
  <c r="Q30" i="3" s="1"/>
  <c r="M30" i="3"/>
  <c r="H30" i="3"/>
  <c r="C30" i="3"/>
  <c r="AB29" i="3"/>
  <c r="AD29" i="3" s="1"/>
  <c r="Y29" i="3"/>
  <c r="X29" i="3"/>
  <c r="Q29" i="3"/>
  <c r="P29" i="3"/>
  <c r="O29" i="3"/>
  <c r="M29" i="3"/>
  <c r="J29" i="3"/>
  <c r="H29" i="3"/>
  <c r="C29" i="3"/>
  <c r="AD28" i="3"/>
  <c r="J28" i="3" s="1"/>
  <c r="AB28" i="3"/>
  <c r="Y28" i="3"/>
  <c r="X28" i="3"/>
  <c r="P28" i="3"/>
  <c r="O28" i="3"/>
  <c r="Q28" i="3" s="1"/>
  <c r="M28" i="3"/>
  <c r="H28" i="3"/>
  <c r="C28" i="3"/>
  <c r="AB27" i="3"/>
  <c r="AD27" i="3" s="1"/>
  <c r="J27" i="3" s="1"/>
  <c r="Y27" i="3"/>
  <c r="X27" i="3"/>
  <c r="Q27" i="3"/>
  <c r="P27" i="3"/>
  <c r="O27" i="3"/>
  <c r="M27" i="3"/>
  <c r="H27" i="3"/>
  <c r="C27" i="3"/>
  <c r="AD26" i="3"/>
  <c r="J26" i="3" s="1"/>
  <c r="I26" i="3" s="1"/>
  <c r="AB26" i="3"/>
  <c r="Y26" i="3"/>
  <c r="X26" i="3"/>
  <c r="P26" i="3"/>
  <c r="O26" i="3"/>
  <c r="Q26" i="3" s="1"/>
  <c r="M26" i="3"/>
  <c r="H26" i="3"/>
  <c r="C26" i="3"/>
  <c r="AB25" i="3"/>
  <c r="AD25" i="3" s="1"/>
  <c r="J25" i="3" s="1"/>
  <c r="Y25" i="3"/>
  <c r="X25" i="3"/>
  <c r="P25" i="3"/>
  <c r="Q25" i="3" s="1"/>
  <c r="O25" i="3"/>
  <c r="M25" i="3"/>
  <c r="H25" i="3"/>
  <c r="C25" i="3"/>
  <c r="AD24" i="3"/>
  <c r="J24" i="3" s="1"/>
  <c r="AB24" i="3"/>
  <c r="Y24" i="3"/>
  <c r="X24" i="3"/>
  <c r="V24" i="3"/>
  <c r="U24" i="3"/>
  <c r="T24" i="3"/>
  <c r="P24" i="3"/>
  <c r="Q24" i="3" s="1"/>
  <c r="O24" i="3"/>
  <c r="M24" i="3"/>
  <c r="H24" i="3"/>
  <c r="C24" i="3"/>
  <c r="AD23" i="3"/>
  <c r="J23" i="3" s="1"/>
  <c r="K23" i="3" s="1"/>
  <c r="AB23" i="3"/>
  <c r="Y23" i="3"/>
  <c r="X23" i="3"/>
  <c r="P23" i="3"/>
  <c r="O23" i="3"/>
  <c r="Q23" i="3" s="1"/>
  <c r="M23" i="3"/>
  <c r="I23" i="3"/>
  <c r="H23" i="3"/>
  <c r="C23" i="3"/>
  <c r="AB22" i="3"/>
  <c r="AD22" i="3" s="1"/>
  <c r="J22" i="3" s="1"/>
  <c r="Y22" i="3"/>
  <c r="X22" i="3"/>
  <c r="P22" i="3"/>
  <c r="O22" i="3"/>
  <c r="Q22" i="3" s="1"/>
  <c r="M22" i="3"/>
  <c r="H22" i="3"/>
  <c r="C22" i="3"/>
  <c r="AB21" i="3"/>
  <c r="AD21" i="3" s="1"/>
  <c r="J21" i="3" s="1"/>
  <c r="Y21" i="3"/>
  <c r="X21" i="3"/>
  <c r="Q21" i="3"/>
  <c r="P21" i="3"/>
  <c r="O21" i="3"/>
  <c r="M21" i="3"/>
  <c r="H21" i="3"/>
  <c r="C21" i="3"/>
  <c r="AB20" i="3"/>
  <c r="AD20" i="3" s="1"/>
  <c r="Y20" i="3"/>
  <c r="X20" i="3"/>
  <c r="P20" i="3"/>
  <c r="O20" i="3"/>
  <c r="Q20" i="3" s="1"/>
  <c r="M20" i="3"/>
  <c r="J20" i="3"/>
  <c r="H20" i="3"/>
  <c r="C20" i="3"/>
  <c r="AD19" i="3"/>
  <c r="J19" i="3" s="1"/>
  <c r="AB19" i="3"/>
  <c r="Y19" i="3"/>
  <c r="X19" i="3"/>
  <c r="Q19" i="3"/>
  <c r="P19" i="3"/>
  <c r="O19" i="3"/>
  <c r="M19" i="3"/>
  <c r="H19" i="3"/>
  <c r="C19" i="3"/>
  <c r="AB18" i="3"/>
  <c r="AD18" i="3" s="1"/>
  <c r="Y18" i="3"/>
  <c r="X18" i="3"/>
  <c r="P18" i="3"/>
  <c r="Q18" i="3" s="1"/>
  <c r="O18" i="3"/>
  <c r="M18" i="3"/>
  <c r="J18" i="3"/>
  <c r="K18" i="3" s="1"/>
  <c r="H18" i="3"/>
  <c r="C18" i="3"/>
  <c r="AD17" i="3"/>
  <c r="J17" i="3" s="1"/>
  <c r="I17" i="3" s="1"/>
  <c r="AB17" i="3"/>
  <c r="Y17" i="3"/>
  <c r="X17" i="3"/>
  <c r="Q17" i="3"/>
  <c r="P17" i="3"/>
  <c r="O17" i="3"/>
  <c r="M17" i="3"/>
  <c r="K17" i="3"/>
  <c r="H17" i="3"/>
  <c r="C17" i="3"/>
  <c r="AD16" i="3"/>
  <c r="AB16" i="3"/>
  <c r="Y16" i="3"/>
  <c r="X16" i="3"/>
  <c r="P16" i="3"/>
  <c r="O16" i="3"/>
  <c r="M16" i="3"/>
  <c r="K16" i="3"/>
  <c r="J16" i="3"/>
  <c r="I16" i="3" s="1"/>
  <c r="H16" i="3"/>
  <c r="C16" i="3"/>
  <c r="AD15" i="3"/>
  <c r="J15" i="3" s="1"/>
  <c r="I15" i="3" s="1"/>
  <c r="AB15" i="3"/>
  <c r="Y15" i="3"/>
  <c r="X15" i="3"/>
  <c r="Q15" i="3"/>
  <c r="P15" i="3"/>
  <c r="O15" i="3"/>
  <c r="M15" i="3"/>
  <c r="K15" i="3"/>
  <c r="H15" i="3"/>
  <c r="C15" i="3"/>
  <c r="AD14" i="3"/>
  <c r="AB14" i="3"/>
  <c r="Y14" i="3"/>
  <c r="X14" i="3"/>
  <c r="P14" i="3"/>
  <c r="O14" i="3"/>
  <c r="M14" i="3"/>
  <c r="K14" i="3"/>
  <c r="J14" i="3"/>
  <c r="I14" i="3" s="1"/>
  <c r="H14" i="3"/>
  <c r="C14" i="3"/>
  <c r="AB13" i="3"/>
  <c r="AD13" i="3" s="1"/>
  <c r="J13" i="3" s="1"/>
  <c r="Y13" i="3"/>
  <c r="X13" i="3"/>
  <c r="Q13" i="3"/>
  <c r="P13" i="3"/>
  <c r="O13" i="3"/>
  <c r="M13" i="3"/>
  <c r="H13" i="3"/>
  <c r="C13" i="3"/>
  <c r="AB12" i="3"/>
  <c r="AD12" i="3" s="1"/>
  <c r="Y12" i="3"/>
  <c r="X12" i="3"/>
  <c r="P12" i="3"/>
  <c r="O12" i="3"/>
  <c r="Q12" i="3" s="1"/>
  <c r="M12" i="3"/>
  <c r="J12" i="3"/>
  <c r="H12" i="3"/>
  <c r="C12" i="3"/>
  <c r="AB11" i="3"/>
  <c r="AD11" i="3" s="1"/>
  <c r="J11" i="3" s="1"/>
  <c r="Y11" i="3"/>
  <c r="X11" i="3"/>
  <c r="Q11" i="3"/>
  <c r="P11" i="3"/>
  <c r="O11" i="3"/>
  <c r="M11" i="3"/>
  <c r="H11" i="3"/>
  <c r="C11" i="3"/>
  <c r="AB10" i="3"/>
  <c r="AD10" i="3" s="1"/>
  <c r="J10" i="3" s="1"/>
  <c r="Y10" i="3"/>
  <c r="X10" i="3"/>
  <c r="P10" i="3"/>
  <c r="Q10" i="3" s="1"/>
  <c r="O10" i="3"/>
  <c r="M10" i="3"/>
  <c r="H10" i="3"/>
  <c r="C10" i="3"/>
  <c r="AD9" i="3"/>
  <c r="J9" i="3" s="1"/>
  <c r="AB9" i="3"/>
  <c r="Y9" i="3"/>
  <c r="X9" i="3"/>
  <c r="P9" i="3"/>
  <c r="Q9" i="3" s="1"/>
  <c r="O9" i="3"/>
  <c r="M9" i="3"/>
  <c r="K9" i="3"/>
  <c r="I9" i="3"/>
  <c r="H9" i="3"/>
  <c r="C9" i="3"/>
  <c r="AB8" i="3"/>
  <c r="AD8" i="3" s="1"/>
  <c r="J8" i="3" s="1"/>
  <c r="Y8" i="3"/>
  <c r="X8" i="3"/>
  <c r="P8" i="3"/>
  <c r="Q8" i="3" s="1"/>
  <c r="O8" i="3"/>
  <c r="M8" i="3"/>
  <c r="H8" i="3"/>
  <c r="C8" i="3"/>
  <c r="AD7" i="3"/>
  <c r="J7" i="3" s="1"/>
  <c r="AB7" i="3"/>
  <c r="Y7" i="3"/>
  <c r="X7" i="3"/>
  <c r="P7" i="3"/>
  <c r="Q7" i="3" s="1"/>
  <c r="O7" i="3"/>
  <c r="M7" i="3"/>
  <c r="K7" i="3"/>
  <c r="I7" i="3"/>
  <c r="H7" i="3"/>
  <c r="C7" i="3"/>
  <c r="AB6" i="3"/>
  <c r="AD6" i="3" s="1"/>
  <c r="J6" i="3" s="1"/>
  <c r="Y6" i="3"/>
  <c r="X6" i="3"/>
  <c r="P6" i="3"/>
  <c r="O6" i="3"/>
  <c r="Q6" i="3" s="1"/>
  <c r="M6" i="3"/>
  <c r="H6" i="3"/>
  <c r="C6" i="3"/>
  <c r="AD5" i="3"/>
  <c r="J5" i="3" s="1"/>
  <c r="AB5" i="3"/>
  <c r="Y5" i="3"/>
  <c r="X5" i="3"/>
  <c r="P5" i="3"/>
  <c r="O5" i="3"/>
  <c r="Q5" i="3" s="1"/>
  <c r="M5" i="3"/>
  <c r="H5" i="3"/>
  <c r="C5" i="3"/>
  <c r="AB4" i="3"/>
  <c r="AD4" i="3" s="1"/>
  <c r="Y4" i="3"/>
  <c r="X4" i="3"/>
  <c r="Q4" i="3"/>
  <c r="P4" i="3"/>
  <c r="O4" i="3"/>
  <c r="M4" i="3"/>
  <c r="H4" i="3"/>
  <c r="C4" i="3"/>
  <c r="AG3" i="3"/>
  <c r="AF3" i="3"/>
  <c r="W3" i="3"/>
  <c r="V3" i="3"/>
  <c r="U3" i="3"/>
  <c r="T3" i="3"/>
  <c r="O3" i="3"/>
  <c r="G3" i="3"/>
  <c r="F3" i="3"/>
  <c r="H3" i="3" s="1"/>
  <c r="D3" i="3"/>
  <c r="C3" i="3"/>
  <c r="A2" i="3"/>
  <c r="A1" i="3"/>
  <c r="AB32" i="2"/>
  <c r="AD32" i="2" s="1"/>
  <c r="J32" i="2" s="1"/>
  <c r="Y32" i="2"/>
  <c r="X32" i="2"/>
  <c r="V32" i="2"/>
  <c r="U32" i="2"/>
  <c r="T32" i="2"/>
  <c r="P32" i="2"/>
  <c r="O32" i="2"/>
  <c r="M32" i="2"/>
  <c r="H32" i="2"/>
  <c r="C32" i="2"/>
  <c r="AD31" i="2"/>
  <c r="J31" i="2" s="1"/>
  <c r="I31" i="2" s="1"/>
  <c r="AB31" i="2"/>
  <c r="Y31" i="2"/>
  <c r="X31" i="2"/>
  <c r="P31" i="2"/>
  <c r="O31" i="2"/>
  <c r="Q31" i="2" s="1"/>
  <c r="M31" i="2"/>
  <c r="K31" i="2"/>
  <c r="H31" i="2"/>
  <c r="C31" i="2"/>
  <c r="AB30" i="2"/>
  <c r="AD30" i="2" s="1"/>
  <c r="J30" i="2" s="1"/>
  <c r="Y30" i="2"/>
  <c r="X30" i="2"/>
  <c r="P30" i="2"/>
  <c r="O30" i="2"/>
  <c r="M30" i="2"/>
  <c r="H30" i="2"/>
  <c r="C30" i="2"/>
  <c r="AD29" i="2"/>
  <c r="J29" i="2" s="1"/>
  <c r="AB29" i="2"/>
  <c r="Y29" i="2"/>
  <c r="X29" i="2"/>
  <c r="P29" i="2"/>
  <c r="O29" i="2"/>
  <c r="Q29" i="2" s="1"/>
  <c r="M29" i="2"/>
  <c r="H29" i="2"/>
  <c r="C29" i="2"/>
  <c r="AB28" i="2"/>
  <c r="AD28" i="2" s="1"/>
  <c r="J28" i="2" s="1"/>
  <c r="Y28" i="2"/>
  <c r="X28" i="2"/>
  <c r="Q28" i="2"/>
  <c r="P28" i="2"/>
  <c r="O28" i="2"/>
  <c r="M28" i="2"/>
  <c r="H28" i="2"/>
  <c r="C28" i="2"/>
  <c r="AB27" i="2"/>
  <c r="AD27" i="2" s="1"/>
  <c r="J27" i="2" s="1"/>
  <c r="Y27" i="2"/>
  <c r="X27" i="2"/>
  <c r="P27" i="2"/>
  <c r="O27" i="2"/>
  <c r="Q27" i="2" s="1"/>
  <c r="M27" i="2"/>
  <c r="H27" i="2"/>
  <c r="C27" i="2"/>
  <c r="AB26" i="2"/>
  <c r="AD26" i="2" s="1"/>
  <c r="J26" i="2" s="1"/>
  <c r="Y26" i="2"/>
  <c r="X26" i="2"/>
  <c r="P26" i="2"/>
  <c r="Q26" i="2" s="1"/>
  <c r="O26" i="2"/>
  <c r="M26" i="2"/>
  <c r="H26" i="2"/>
  <c r="C26" i="2"/>
  <c r="AD25" i="2"/>
  <c r="J25" i="2" s="1"/>
  <c r="K25" i="2" s="1"/>
  <c r="AB25" i="2"/>
  <c r="Y25" i="2"/>
  <c r="X25" i="2"/>
  <c r="P25" i="2"/>
  <c r="O25" i="2"/>
  <c r="Q25" i="2" s="1"/>
  <c r="M25" i="2"/>
  <c r="I25" i="2"/>
  <c r="H25" i="2"/>
  <c r="C25" i="2"/>
  <c r="AB24" i="2"/>
  <c r="AD24" i="2" s="1"/>
  <c r="J24" i="2" s="1"/>
  <c r="Y24" i="2"/>
  <c r="X24" i="2"/>
  <c r="V24" i="2"/>
  <c r="U24" i="2"/>
  <c r="T24" i="2"/>
  <c r="Q24" i="2"/>
  <c r="P24" i="2"/>
  <c r="O24" i="2"/>
  <c r="M24" i="2"/>
  <c r="H24" i="2"/>
  <c r="C24" i="2"/>
  <c r="AD23" i="2"/>
  <c r="AB23" i="2"/>
  <c r="Y23" i="2"/>
  <c r="X23" i="2"/>
  <c r="P23" i="2"/>
  <c r="O23" i="2"/>
  <c r="Q23" i="2" s="1"/>
  <c r="M23" i="2"/>
  <c r="K23" i="2"/>
  <c r="J23" i="2"/>
  <c r="I23" i="2" s="1"/>
  <c r="H23" i="2"/>
  <c r="C23" i="2"/>
  <c r="AB22" i="2"/>
  <c r="AD22" i="2" s="1"/>
  <c r="J22" i="2" s="1"/>
  <c r="Y22" i="2"/>
  <c r="X22" i="2"/>
  <c r="Q22" i="2"/>
  <c r="P22" i="2"/>
  <c r="O22" i="2"/>
  <c r="M22" i="2"/>
  <c r="H22" i="2"/>
  <c r="C22" i="2"/>
  <c r="AB21" i="2"/>
  <c r="AD21" i="2" s="1"/>
  <c r="J21" i="2" s="1"/>
  <c r="Y21" i="2"/>
  <c r="X21" i="2"/>
  <c r="P21" i="2"/>
  <c r="Q21" i="2" s="1"/>
  <c r="O21" i="2"/>
  <c r="M21" i="2"/>
  <c r="H21" i="2"/>
  <c r="C21" i="2"/>
  <c r="AB20" i="2"/>
  <c r="AD20" i="2" s="1"/>
  <c r="J20" i="2" s="1"/>
  <c r="Y20" i="2"/>
  <c r="X20" i="2"/>
  <c r="P20" i="2"/>
  <c r="O20" i="2"/>
  <c r="Q20" i="2" s="1"/>
  <c r="M20" i="2"/>
  <c r="H20" i="2"/>
  <c r="C20" i="2"/>
  <c r="AB19" i="2"/>
  <c r="AD19" i="2" s="1"/>
  <c r="Y19" i="2"/>
  <c r="X19" i="2"/>
  <c r="P19" i="2"/>
  <c r="Q19" i="2" s="1"/>
  <c r="O19" i="2"/>
  <c r="M19" i="2"/>
  <c r="J19" i="2"/>
  <c r="K19" i="2" s="1"/>
  <c r="I19" i="2"/>
  <c r="H19" i="2"/>
  <c r="C19" i="2"/>
  <c r="AD18" i="2"/>
  <c r="J18" i="2" s="1"/>
  <c r="AB18" i="2"/>
  <c r="Y18" i="2"/>
  <c r="X18" i="2"/>
  <c r="P18" i="2"/>
  <c r="O18" i="2"/>
  <c r="Q18" i="2" s="1"/>
  <c r="M18" i="2"/>
  <c r="H18" i="2"/>
  <c r="C18" i="2"/>
  <c r="AB17" i="2"/>
  <c r="AD17" i="2" s="1"/>
  <c r="J17" i="2" s="1"/>
  <c r="Y17" i="2"/>
  <c r="X17" i="2"/>
  <c r="Q17" i="2"/>
  <c r="P17" i="2"/>
  <c r="O17" i="2"/>
  <c r="M17" i="2"/>
  <c r="H17" i="2"/>
  <c r="C17" i="2"/>
  <c r="AD16" i="2"/>
  <c r="J16" i="2" s="1"/>
  <c r="AB16" i="2"/>
  <c r="Y16" i="2"/>
  <c r="X16" i="2"/>
  <c r="P16" i="2"/>
  <c r="O16" i="2"/>
  <c r="Q16" i="2" s="1"/>
  <c r="M16" i="2"/>
  <c r="H16" i="2"/>
  <c r="C16" i="2"/>
  <c r="AB15" i="2"/>
  <c r="AD15" i="2" s="1"/>
  <c r="J15" i="2" s="1"/>
  <c r="Y15" i="2"/>
  <c r="X15" i="2"/>
  <c r="P15" i="2"/>
  <c r="O15" i="2"/>
  <c r="Q15" i="2" s="1"/>
  <c r="M15" i="2"/>
  <c r="H15" i="2"/>
  <c r="C15" i="2"/>
  <c r="AB14" i="2"/>
  <c r="AD14" i="2" s="1"/>
  <c r="J14" i="2" s="1"/>
  <c r="Y14" i="2"/>
  <c r="X14" i="2"/>
  <c r="Q14" i="2"/>
  <c r="P14" i="2"/>
  <c r="O14" i="2"/>
  <c r="M14" i="2"/>
  <c r="H14" i="2"/>
  <c r="C14" i="2"/>
  <c r="AD13" i="2"/>
  <c r="J13" i="2" s="1"/>
  <c r="AB13" i="2"/>
  <c r="Y13" i="2"/>
  <c r="X13" i="2"/>
  <c r="P13" i="2"/>
  <c r="O13" i="2"/>
  <c r="Q13" i="2" s="1"/>
  <c r="M13" i="2"/>
  <c r="H13" i="2"/>
  <c r="C13" i="2"/>
  <c r="AB12" i="2"/>
  <c r="AD12" i="2" s="1"/>
  <c r="J12" i="2" s="1"/>
  <c r="Y12" i="2"/>
  <c r="X12" i="2"/>
  <c r="Q12" i="2"/>
  <c r="P12" i="2"/>
  <c r="O12" i="2"/>
  <c r="M12" i="2"/>
  <c r="H12" i="2"/>
  <c r="C12" i="2"/>
  <c r="AB11" i="2"/>
  <c r="AD11" i="2" s="1"/>
  <c r="J11" i="2" s="1"/>
  <c r="Y11" i="2"/>
  <c r="X11" i="2"/>
  <c r="P11" i="2"/>
  <c r="Q11" i="2" s="1"/>
  <c r="O11" i="2"/>
  <c r="M11" i="2"/>
  <c r="H11" i="2"/>
  <c r="C11" i="2"/>
  <c r="AD10" i="2"/>
  <c r="J10" i="2" s="1"/>
  <c r="AB10" i="2"/>
  <c r="Y10" i="2"/>
  <c r="X10" i="2"/>
  <c r="P10" i="2"/>
  <c r="O10" i="2"/>
  <c r="Q10" i="2" s="1"/>
  <c r="M10" i="2"/>
  <c r="H10" i="2"/>
  <c r="C10" i="2"/>
  <c r="AB9" i="2"/>
  <c r="AD9" i="2" s="1"/>
  <c r="J9" i="2" s="1"/>
  <c r="Y9" i="2"/>
  <c r="X9" i="2"/>
  <c r="Q9" i="2"/>
  <c r="P9" i="2"/>
  <c r="O9" i="2"/>
  <c r="M9" i="2"/>
  <c r="H9" i="2"/>
  <c r="C9" i="2"/>
  <c r="AD8" i="2"/>
  <c r="J8" i="2" s="1"/>
  <c r="AB8" i="2"/>
  <c r="Y8" i="2"/>
  <c r="X8" i="2"/>
  <c r="P8" i="2"/>
  <c r="O8" i="2"/>
  <c r="Q8" i="2" s="1"/>
  <c r="M8" i="2"/>
  <c r="H8" i="2"/>
  <c r="C8" i="2"/>
  <c r="AB7" i="2"/>
  <c r="AD7" i="2" s="1"/>
  <c r="J7" i="2" s="1"/>
  <c r="Y7" i="2"/>
  <c r="X7" i="2"/>
  <c r="P7" i="2"/>
  <c r="O7" i="2"/>
  <c r="Q7" i="2" s="1"/>
  <c r="M7" i="2"/>
  <c r="H7" i="2"/>
  <c r="C7" i="2"/>
  <c r="AB6" i="2"/>
  <c r="AD6" i="2" s="1"/>
  <c r="J6" i="2" s="1"/>
  <c r="Y6" i="2"/>
  <c r="X6" i="2"/>
  <c r="Q6" i="2"/>
  <c r="P6" i="2"/>
  <c r="O6" i="2"/>
  <c r="M6" i="2"/>
  <c r="H6" i="2"/>
  <c r="C6" i="2"/>
  <c r="AD5" i="2"/>
  <c r="J5" i="2" s="1"/>
  <c r="AB5" i="2"/>
  <c r="Y5" i="2"/>
  <c r="X5" i="2"/>
  <c r="P5" i="2"/>
  <c r="O5" i="2"/>
  <c r="Q5" i="2" s="1"/>
  <c r="M5" i="2"/>
  <c r="H5" i="2"/>
  <c r="C5" i="2"/>
  <c r="AB4" i="2"/>
  <c r="AD4" i="2" s="1"/>
  <c r="Y4" i="2"/>
  <c r="X4" i="2"/>
  <c r="Q4" i="2"/>
  <c r="P4" i="2"/>
  <c r="O4" i="2"/>
  <c r="M4" i="2"/>
  <c r="H4" i="2"/>
  <c r="C4" i="2"/>
  <c r="AG3" i="2"/>
  <c r="AF3" i="2"/>
  <c r="W3" i="2"/>
  <c r="X3" i="2" s="1"/>
  <c r="V3" i="2"/>
  <c r="U3" i="2"/>
  <c r="T3" i="2"/>
  <c r="O3" i="2"/>
  <c r="G3" i="2"/>
  <c r="H3" i="2" s="1"/>
  <c r="F3" i="2"/>
  <c r="D3" i="2"/>
  <c r="C3" i="2"/>
  <c r="A2" i="2"/>
  <c r="A1" i="2"/>
  <c r="AB32" i="1"/>
  <c r="AD32" i="1" s="1"/>
  <c r="J32" i="1" s="1"/>
  <c r="Y32" i="1"/>
  <c r="X32" i="1"/>
  <c r="V32" i="1"/>
  <c r="U32" i="1"/>
  <c r="T32" i="1"/>
  <c r="P32" i="1"/>
  <c r="O32" i="1"/>
  <c r="Q32" i="1" s="1"/>
  <c r="M32" i="1"/>
  <c r="H32" i="1"/>
  <c r="C32" i="1"/>
  <c r="AB31" i="1"/>
  <c r="AD31" i="1" s="1"/>
  <c r="J31" i="1" s="1"/>
  <c r="Y31" i="1"/>
  <c r="X31" i="1"/>
  <c r="P31" i="1"/>
  <c r="O31" i="1"/>
  <c r="Q31" i="1" s="1"/>
  <c r="M31" i="1"/>
  <c r="H31" i="1"/>
  <c r="C31" i="1"/>
  <c r="AB30" i="1"/>
  <c r="AD30" i="1" s="1"/>
  <c r="J30" i="1" s="1"/>
  <c r="Y30" i="1"/>
  <c r="X30" i="1"/>
  <c r="Q30" i="1"/>
  <c r="P30" i="1"/>
  <c r="O30" i="1"/>
  <c r="M30" i="1"/>
  <c r="H30" i="1"/>
  <c r="C30" i="1"/>
  <c r="AD29" i="1"/>
  <c r="J29" i="1" s="1"/>
  <c r="AB29" i="1"/>
  <c r="Y29" i="1"/>
  <c r="X29" i="1"/>
  <c r="P29" i="1"/>
  <c r="O29" i="1"/>
  <c r="Q29" i="1" s="1"/>
  <c r="M29" i="1"/>
  <c r="H29" i="1"/>
  <c r="C29" i="1"/>
  <c r="AB28" i="1"/>
  <c r="AD28" i="1" s="1"/>
  <c r="J28" i="1" s="1"/>
  <c r="Y28" i="1"/>
  <c r="X28" i="1"/>
  <c r="Q28" i="1"/>
  <c r="P28" i="1"/>
  <c r="O28" i="1"/>
  <c r="M28" i="1"/>
  <c r="H28" i="1"/>
  <c r="C28" i="1"/>
  <c r="AB27" i="1"/>
  <c r="AD27" i="1" s="1"/>
  <c r="J27" i="1" s="1"/>
  <c r="Y27" i="1"/>
  <c r="X27" i="1"/>
  <c r="P27" i="1"/>
  <c r="Q27" i="1" s="1"/>
  <c r="O27" i="1"/>
  <c r="M27" i="1"/>
  <c r="H27" i="1"/>
  <c r="C27" i="1"/>
  <c r="AD26" i="1"/>
  <c r="J26" i="1" s="1"/>
  <c r="AB26" i="1"/>
  <c r="Y26" i="1"/>
  <c r="X26" i="1"/>
  <c r="P26" i="1"/>
  <c r="O26" i="1"/>
  <c r="Q26" i="1" s="1"/>
  <c r="M26" i="1"/>
  <c r="H26" i="1"/>
  <c r="C26" i="1"/>
  <c r="AB25" i="1"/>
  <c r="AD25" i="1" s="1"/>
  <c r="J25" i="1" s="1"/>
  <c r="Y25" i="1"/>
  <c r="X25" i="1"/>
  <c r="Q25" i="1"/>
  <c r="P25" i="1"/>
  <c r="O25" i="1"/>
  <c r="M25" i="1"/>
  <c r="H25" i="1"/>
  <c r="C25" i="1"/>
  <c r="AD24" i="1"/>
  <c r="J24" i="1" s="1"/>
  <c r="AB24" i="1"/>
  <c r="Y24" i="1"/>
  <c r="X24" i="1"/>
  <c r="V24" i="1"/>
  <c r="U24" i="1"/>
  <c r="T24" i="1"/>
  <c r="Q24" i="1"/>
  <c r="P24" i="1"/>
  <c r="O24" i="1"/>
  <c r="M24" i="1"/>
  <c r="H24" i="1"/>
  <c r="C24" i="1"/>
  <c r="AD23" i="1"/>
  <c r="J23" i="1" s="1"/>
  <c r="AB23" i="1"/>
  <c r="Y23" i="1"/>
  <c r="X23" i="1"/>
  <c r="P23" i="1"/>
  <c r="O23" i="1"/>
  <c r="Q23" i="1" s="1"/>
  <c r="M23" i="1"/>
  <c r="H23" i="1"/>
  <c r="C23" i="1"/>
  <c r="AB22" i="1"/>
  <c r="AD22" i="1" s="1"/>
  <c r="J22" i="1" s="1"/>
  <c r="Y22" i="1"/>
  <c r="X22" i="1"/>
  <c r="P22" i="1"/>
  <c r="O22" i="1"/>
  <c r="Q22" i="1" s="1"/>
  <c r="M22" i="1"/>
  <c r="H22" i="1"/>
  <c r="C22" i="1"/>
  <c r="AB21" i="1"/>
  <c r="AD21" i="1" s="1"/>
  <c r="J21" i="1" s="1"/>
  <c r="Y21" i="1"/>
  <c r="X21" i="1"/>
  <c r="Q21" i="1"/>
  <c r="P21" i="1"/>
  <c r="O21" i="1"/>
  <c r="M21" i="1"/>
  <c r="H21" i="1"/>
  <c r="C21" i="1"/>
  <c r="AD20" i="1"/>
  <c r="J20" i="1" s="1"/>
  <c r="AB20" i="1"/>
  <c r="Y20" i="1"/>
  <c r="X20" i="1"/>
  <c r="P20" i="1"/>
  <c r="O20" i="1"/>
  <c r="Q20" i="1" s="1"/>
  <c r="M20" i="1"/>
  <c r="H20" i="1"/>
  <c r="C20" i="1"/>
  <c r="AB19" i="1"/>
  <c r="AD19" i="1" s="1"/>
  <c r="J19" i="1" s="1"/>
  <c r="Y19" i="1"/>
  <c r="X19" i="1"/>
  <c r="Q19" i="1"/>
  <c r="P19" i="1"/>
  <c r="O19" i="1"/>
  <c r="M19" i="1"/>
  <c r="H19" i="1"/>
  <c r="C19" i="1"/>
  <c r="AB18" i="1"/>
  <c r="AD18" i="1" s="1"/>
  <c r="J18" i="1" s="1"/>
  <c r="Y18" i="1"/>
  <c r="X18" i="1"/>
  <c r="P18" i="1"/>
  <c r="Q18" i="1" s="1"/>
  <c r="O18" i="1"/>
  <c r="M18" i="1"/>
  <c r="H18" i="1"/>
  <c r="C18" i="1"/>
  <c r="AD17" i="1"/>
  <c r="J17" i="1" s="1"/>
  <c r="AB17" i="1"/>
  <c r="Y17" i="1"/>
  <c r="X17" i="1"/>
  <c r="P17" i="1"/>
  <c r="O17" i="1"/>
  <c r="Q17" i="1" s="1"/>
  <c r="M17" i="1"/>
  <c r="H17" i="1"/>
  <c r="C17" i="1"/>
  <c r="AB16" i="1"/>
  <c r="AD16" i="1" s="1"/>
  <c r="J16" i="1" s="1"/>
  <c r="Y16" i="1"/>
  <c r="X16" i="1"/>
  <c r="Q16" i="1"/>
  <c r="P16" i="1"/>
  <c r="O16" i="1"/>
  <c r="M16" i="1"/>
  <c r="H16" i="1"/>
  <c r="C16" i="1"/>
  <c r="AD15" i="1"/>
  <c r="J15" i="1" s="1"/>
  <c r="AB15" i="1"/>
  <c r="Y15" i="1"/>
  <c r="X15" i="1"/>
  <c r="P15" i="1"/>
  <c r="O15" i="1"/>
  <c r="Q15" i="1" s="1"/>
  <c r="M15" i="1"/>
  <c r="H15" i="1"/>
  <c r="C15" i="1"/>
  <c r="AB14" i="1"/>
  <c r="AD14" i="1" s="1"/>
  <c r="J14" i="1" s="1"/>
  <c r="Y14" i="1"/>
  <c r="X14" i="1"/>
  <c r="P14" i="1"/>
  <c r="O14" i="1"/>
  <c r="Q14" i="1" s="1"/>
  <c r="M14" i="1"/>
  <c r="H14" i="1"/>
  <c r="C14" i="1"/>
  <c r="AB13" i="1"/>
  <c r="AD13" i="1" s="1"/>
  <c r="J13" i="1" s="1"/>
  <c r="Y13" i="1"/>
  <c r="X13" i="1"/>
  <c r="Q13" i="1"/>
  <c r="P13" i="1"/>
  <c r="O13" i="1"/>
  <c r="M13" i="1"/>
  <c r="H13" i="1"/>
  <c r="C13" i="1"/>
  <c r="AD12" i="1"/>
  <c r="J12" i="1" s="1"/>
  <c r="AB12" i="1"/>
  <c r="Y12" i="1"/>
  <c r="X12" i="1"/>
  <c r="P12" i="1"/>
  <c r="O12" i="1"/>
  <c r="Q12" i="1" s="1"/>
  <c r="M12" i="1"/>
  <c r="H12" i="1"/>
  <c r="C12" i="1"/>
  <c r="AB11" i="1"/>
  <c r="AD11" i="1" s="1"/>
  <c r="J11" i="1" s="1"/>
  <c r="Y11" i="1"/>
  <c r="X11" i="1"/>
  <c r="Q11" i="1"/>
  <c r="P11" i="1"/>
  <c r="O11" i="1"/>
  <c r="M11" i="1"/>
  <c r="H11" i="1"/>
  <c r="C11" i="1"/>
  <c r="AB10" i="1"/>
  <c r="AD10" i="1" s="1"/>
  <c r="J10" i="1" s="1"/>
  <c r="Y10" i="1"/>
  <c r="X10" i="1"/>
  <c r="P10" i="1"/>
  <c r="Q10" i="1" s="1"/>
  <c r="O10" i="1"/>
  <c r="M10" i="1"/>
  <c r="H10" i="1"/>
  <c r="C10" i="1"/>
  <c r="AD9" i="1"/>
  <c r="J9" i="1" s="1"/>
  <c r="AB9" i="1"/>
  <c r="Y9" i="1"/>
  <c r="X9" i="1"/>
  <c r="P9" i="1"/>
  <c r="O9" i="1"/>
  <c r="Q9" i="1" s="1"/>
  <c r="M9" i="1"/>
  <c r="H9" i="1"/>
  <c r="C9" i="1"/>
  <c r="AB8" i="1"/>
  <c r="AD8" i="1" s="1"/>
  <c r="J8" i="1" s="1"/>
  <c r="Y8" i="1"/>
  <c r="X8" i="1"/>
  <c r="Q8" i="1"/>
  <c r="P8" i="1"/>
  <c r="O8" i="1"/>
  <c r="M8" i="1"/>
  <c r="H8" i="1"/>
  <c r="C8" i="1"/>
  <c r="AD7" i="1"/>
  <c r="J7" i="1" s="1"/>
  <c r="AB7" i="1"/>
  <c r="Y7" i="1"/>
  <c r="X7" i="1"/>
  <c r="P7" i="1"/>
  <c r="O7" i="1"/>
  <c r="Q7" i="1" s="1"/>
  <c r="M7" i="1"/>
  <c r="H7" i="1"/>
  <c r="C7" i="1"/>
  <c r="AB6" i="1"/>
  <c r="AD6" i="1" s="1"/>
  <c r="J6" i="1" s="1"/>
  <c r="Y6" i="1"/>
  <c r="X6" i="1"/>
  <c r="P6" i="1"/>
  <c r="O6" i="1"/>
  <c r="Q6" i="1" s="1"/>
  <c r="M6" i="1"/>
  <c r="H6" i="1"/>
  <c r="C6" i="1"/>
  <c r="AB5" i="1"/>
  <c r="AD5" i="1" s="1"/>
  <c r="Y5" i="1"/>
  <c r="X5" i="1"/>
  <c r="Q5" i="1"/>
  <c r="P5" i="1"/>
  <c r="O5" i="1"/>
  <c r="M5" i="1"/>
  <c r="H5" i="1"/>
  <c r="C5" i="1"/>
  <c r="AD4" i="1"/>
  <c r="J4" i="1" s="1"/>
  <c r="AB4" i="1"/>
  <c r="Y4" i="1"/>
  <c r="X4" i="1"/>
  <c r="P4" i="1"/>
  <c r="O4" i="1"/>
  <c r="Q4" i="1" s="1"/>
  <c r="M4" i="1"/>
  <c r="H4" i="1"/>
  <c r="C4" i="1"/>
  <c r="AG3" i="1"/>
  <c r="AF3" i="1"/>
  <c r="X3" i="1"/>
  <c r="W3" i="1"/>
  <c r="V3" i="1"/>
  <c r="U3" i="1"/>
  <c r="T3" i="1"/>
  <c r="O3" i="1"/>
  <c r="H3" i="1"/>
  <c r="G3" i="1"/>
  <c r="F3" i="1"/>
  <c r="D3" i="1"/>
  <c r="C3" i="1"/>
  <c r="A2" i="1"/>
  <c r="A1" i="1"/>
  <c r="K18" i="1" l="1"/>
  <c r="I18" i="1"/>
  <c r="AD3" i="2"/>
  <c r="J4" i="2"/>
  <c r="I15" i="2"/>
  <c r="K15" i="2"/>
  <c r="K28" i="2"/>
  <c r="I28" i="2"/>
  <c r="I22" i="3"/>
  <c r="K22" i="3"/>
  <c r="K27" i="3"/>
  <c r="I27" i="3"/>
  <c r="K32" i="3"/>
  <c r="I32" i="3"/>
  <c r="I15" i="7"/>
  <c r="K15" i="7"/>
  <c r="I27" i="8"/>
  <c r="K27" i="8"/>
  <c r="I16" i="15"/>
  <c r="K16" i="15"/>
  <c r="K4" i="1"/>
  <c r="I4" i="1"/>
  <c r="J3" i="1"/>
  <c r="K30" i="1"/>
  <c r="I30" i="1"/>
  <c r="I12" i="2"/>
  <c r="K12" i="2"/>
  <c r="I22" i="2"/>
  <c r="K22" i="2"/>
  <c r="I6" i="3"/>
  <c r="K6" i="3"/>
  <c r="I19" i="3"/>
  <c r="K19" i="3"/>
  <c r="K24" i="3"/>
  <c r="I24" i="3"/>
  <c r="J4" i="4"/>
  <c r="AD3" i="4"/>
  <c r="I6" i="4"/>
  <c r="K6" i="4"/>
  <c r="I6" i="1"/>
  <c r="K6" i="1"/>
  <c r="K14" i="2"/>
  <c r="I14" i="2"/>
  <c r="K21" i="3"/>
  <c r="I21" i="3"/>
  <c r="I8" i="1"/>
  <c r="K8" i="1"/>
  <c r="I19" i="1"/>
  <c r="K19" i="1"/>
  <c r="K24" i="1"/>
  <c r="I24" i="1"/>
  <c r="K5" i="2"/>
  <c r="I5" i="2"/>
  <c r="K16" i="2"/>
  <c r="I16" i="2"/>
  <c r="I29" i="2"/>
  <c r="K29" i="2"/>
  <c r="I30" i="2"/>
  <c r="K30" i="2"/>
  <c r="K8" i="3"/>
  <c r="I8" i="3"/>
  <c r="I28" i="3"/>
  <c r="K28" i="3"/>
  <c r="K11" i="4"/>
  <c r="I11" i="4"/>
  <c r="K24" i="7"/>
  <c r="I24" i="7"/>
  <c r="I28" i="12"/>
  <c r="K28" i="12"/>
  <c r="I27" i="14"/>
  <c r="K27" i="14"/>
  <c r="AD3" i="1"/>
  <c r="J5" i="1"/>
  <c r="K16" i="1"/>
  <c r="I16" i="1"/>
  <c r="I27" i="2"/>
  <c r="K27" i="2"/>
  <c r="K32" i="2"/>
  <c r="I32" i="2"/>
  <c r="K17" i="4"/>
  <c r="I17" i="4"/>
  <c r="K18" i="5"/>
  <c r="I18" i="5"/>
  <c r="I30" i="5"/>
  <c r="K30" i="5"/>
  <c r="I22" i="6"/>
  <c r="K22" i="6"/>
  <c r="I9" i="13"/>
  <c r="K9" i="13"/>
  <c r="K26" i="13"/>
  <c r="I26" i="13"/>
  <c r="I9" i="1"/>
  <c r="K9" i="1"/>
  <c r="I25" i="1"/>
  <c r="K25" i="1"/>
  <c r="K32" i="1"/>
  <c r="I32" i="1"/>
  <c r="K6" i="2"/>
  <c r="I6" i="2"/>
  <c r="I7" i="2"/>
  <c r="K7" i="2"/>
  <c r="K17" i="2"/>
  <c r="I17" i="2"/>
  <c r="I12" i="4"/>
  <c r="K12" i="4"/>
  <c r="K26" i="4"/>
  <c r="I26" i="4"/>
  <c r="I13" i="5"/>
  <c r="K13" i="5"/>
  <c r="I31" i="6"/>
  <c r="K31" i="6"/>
  <c r="I8" i="12"/>
  <c r="K8" i="12"/>
  <c r="K23" i="15"/>
  <c r="I23" i="15"/>
  <c r="K13" i="2"/>
  <c r="I13" i="2"/>
  <c r="K26" i="2"/>
  <c r="I26" i="2"/>
  <c r="K13" i="3"/>
  <c r="I13" i="3"/>
  <c r="K9" i="4"/>
  <c r="I9" i="4"/>
  <c r="I6" i="6"/>
  <c r="K6" i="6"/>
  <c r="J3" i="6"/>
  <c r="K17" i="1"/>
  <c r="I17" i="1"/>
  <c r="K10" i="1"/>
  <c r="I10" i="1"/>
  <c r="K20" i="1"/>
  <c r="I20" i="1"/>
  <c r="K27" i="1"/>
  <c r="I27" i="1"/>
  <c r="I18" i="2"/>
  <c r="K18" i="2"/>
  <c r="K13" i="4"/>
  <c r="I13" i="4"/>
  <c r="I20" i="4"/>
  <c r="K20" i="4"/>
  <c r="K22" i="4"/>
  <c r="I22" i="4"/>
  <c r="I21" i="5"/>
  <c r="K21" i="5"/>
  <c r="K27" i="5"/>
  <c r="I27" i="5"/>
  <c r="AD3" i="8"/>
  <c r="J4" i="8"/>
  <c r="I16" i="9"/>
  <c r="K16" i="9"/>
  <c r="I10" i="14"/>
  <c r="K10" i="14"/>
  <c r="K15" i="1"/>
  <c r="I15" i="1"/>
  <c r="I31" i="1"/>
  <c r="K31" i="1"/>
  <c r="K5" i="3"/>
  <c r="I5" i="3"/>
  <c r="K25" i="3"/>
  <c r="I25" i="3"/>
  <c r="K5" i="4"/>
  <c r="I5" i="4"/>
  <c r="I7" i="4"/>
  <c r="K7" i="4"/>
  <c r="K10" i="5"/>
  <c r="I10" i="5"/>
  <c r="I14" i="6"/>
  <c r="K14" i="6"/>
  <c r="K29" i="7"/>
  <c r="I29" i="7"/>
  <c r="K7" i="1"/>
  <c r="I7" i="1"/>
  <c r="K11" i="1"/>
  <c r="I11" i="1"/>
  <c r="K21" i="1"/>
  <c r="I21" i="1"/>
  <c r="I22" i="1"/>
  <c r="K22" i="1"/>
  <c r="I26" i="1"/>
  <c r="K26" i="1"/>
  <c r="K8" i="2"/>
  <c r="I8" i="2"/>
  <c r="K12" i="1"/>
  <c r="I12" i="1"/>
  <c r="K23" i="1"/>
  <c r="I23" i="1"/>
  <c r="I28" i="1"/>
  <c r="K28" i="1"/>
  <c r="K9" i="2"/>
  <c r="I9" i="2"/>
  <c r="K10" i="3"/>
  <c r="I10" i="3"/>
  <c r="K30" i="3"/>
  <c r="I30" i="3"/>
  <c r="I31" i="3"/>
  <c r="K31" i="3"/>
  <c r="I5" i="5"/>
  <c r="K5" i="5"/>
  <c r="K7" i="5"/>
  <c r="I7" i="5"/>
  <c r="J3" i="7"/>
  <c r="K4" i="7"/>
  <c r="I4" i="7"/>
  <c r="I15" i="8"/>
  <c r="K15" i="8"/>
  <c r="I19" i="8"/>
  <c r="K19" i="8"/>
  <c r="I20" i="13"/>
  <c r="K20" i="13"/>
  <c r="K13" i="1"/>
  <c r="I13" i="1"/>
  <c r="I14" i="1"/>
  <c r="K14" i="1"/>
  <c r="K29" i="1"/>
  <c r="I29" i="1"/>
  <c r="I10" i="2"/>
  <c r="K10" i="2"/>
  <c r="K11" i="2"/>
  <c r="I11" i="2"/>
  <c r="I20" i="2"/>
  <c r="K20" i="2"/>
  <c r="I21" i="2"/>
  <c r="K21" i="2"/>
  <c r="I24" i="2"/>
  <c r="K24" i="2"/>
  <c r="AD3" i="3"/>
  <c r="K11" i="3"/>
  <c r="I11" i="3"/>
  <c r="I29" i="4"/>
  <c r="K29" i="4"/>
  <c r="K26" i="3"/>
  <c r="K32" i="6"/>
  <c r="I32" i="6"/>
  <c r="K18" i="8"/>
  <c r="I18" i="8"/>
  <c r="K25" i="18"/>
  <c r="I25" i="18"/>
  <c r="K17" i="26"/>
  <c r="I17" i="26"/>
  <c r="K5" i="31"/>
  <c r="I5" i="31"/>
  <c r="K16" i="4"/>
  <c r="K4" i="11"/>
  <c r="J3" i="11"/>
  <c r="K9" i="12"/>
  <c r="I9" i="12"/>
  <c r="K13" i="12"/>
  <c r="I13" i="12"/>
  <c r="K30" i="12"/>
  <c r="I30" i="12"/>
  <c r="K7" i="14"/>
  <c r="I7" i="14"/>
  <c r="K7" i="15"/>
  <c r="I7" i="15"/>
  <c r="K8" i="15"/>
  <c r="I8" i="15"/>
  <c r="AD3" i="21"/>
  <c r="J6" i="21"/>
  <c r="I22" i="21"/>
  <c r="K22" i="21"/>
  <c r="I19" i="23"/>
  <c r="K19" i="23"/>
  <c r="K15" i="25"/>
  <c r="I15" i="25"/>
  <c r="K17" i="25"/>
  <c r="I17" i="25"/>
  <c r="K26" i="25"/>
  <c r="I26" i="25"/>
  <c r="K27" i="25"/>
  <c r="I27" i="25"/>
  <c r="I7" i="26"/>
  <c r="K7" i="26"/>
  <c r="K12" i="27"/>
  <c r="I12" i="27"/>
  <c r="K5" i="28"/>
  <c r="I5" i="28"/>
  <c r="I9" i="28"/>
  <c r="K9" i="28"/>
  <c r="K30" i="28"/>
  <c r="I30" i="28"/>
  <c r="K22" i="29"/>
  <c r="I22" i="29"/>
  <c r="K28" i="29"/>
  <c r="I28" i="29"/>
  <c r="I19" i="31"/>
  <c r="K19" i="31"/>
  <c r="I13" i="33"/>
  <c r="K13" i="33"/>
  <c r="K29" i="33"/>
  <c r="I29" i="33"/>
  <c r="K10" i="4"/>
  <c r="K24" i="11"/>
  <c r="I24" i="11"/>
  <c r="K30" i="23"/>
  <c r="I30" i="23"/>
  <c r="K11" i="26"/>
  <c r="I11" i="26"/>
  <c r="K30" i="6"/>
  <c r="I30" i="6"/>
  <c r="K22" i="10"/>
  <c r="J4" i="3"/>
  <c r="Q14" i="3"/>
  <c r="Q16" i="3"/>
  <c r="I19" i="4"/>
  <c r="H3" i="5"/>
  <c r="K14" i="5"/>
  <c r="I14" i="5"/>
  <c r="K31" i="5"/>
  <c r="I31" i="5"/>
  <c r="K4" i="6"/>
  <c r="I4" i="6"/>
  <c r="I8" i="6"/>
  <c r="K18" i="6"/>
  <c r="I18" i="6"/>
  <c r="K23" i="6"/>
  <c r="I23" i="6"/>
  <c r="I25" i="6"/>
  <c r="K6" i="7"/>
  <c r="I6" i="7"/>
  <c r="K10" i="7"/>
  <c r="K22" i="7"/>
  <c r="K26" i="7"/>
  <c r="I26" i="7"/>
  <c r="K32" i="7"/>
  <c r="I32" i="7"/>
  <c r="I8" i="8"/>
  <c r="I17" i="8"/>
  <c r="K20" i="8"/>
  <c r="I20" i="8"/>
  <c r="K21" i="8"/>
  <c r="I21" i="8"/>
  <c r="K20" i="9"/>
  <c r="I20" i="9"/>
  <c r="K19" i="10"/>
  <c r="I19" i="10"/>
  <c r="K30" i="10"/>
  <c r="I30" i="10"/>
  <c r="K6" i="11"/>
  <c r="I6" i="11"/>
  <c r="K32" i="11"/>
  <c r="I32" i="11"/>
  <c r="I31" i="12"/>
  <c r="I18" i="14"/>
  <c r="K31" i="14"/>
  <c r="I31" i="14"/>
  <c r="I7" i="18"/>
  <c r="K7" i="18"/>
  <c r="K19" i="20"/>
  <c r="I19" i="20"/>
  <c r="K8" i="4"/>
  <c r="K6" i="5"/>
  <c r="I6" i="5"/>
  <c r="K17" i="5"/>
  <c r="I17" i="5"/>
  <c r="K25" i="32"/>
  <c r="I25" i="32"/>
  <c r="K29" i="3"/>
  <c r="I29" i="3"/>
  <c r="K23" i="4"/>
  <c r="AD3" i="5"/>
  <c r="J4" i="5"/>
  <c r="K11" i="5"/>
  <c r="I11" i="5"/>
  <c r="K28" i="5"/>
  <c r="I28" i="5"/>
  <c r="K5" i="6"/>
  <c r="I5" i="6"/>
  <c r="K9" i="6"/>
  <c r="K11" i="7"/>
  <c r="I11" i="7"/>
  <c r="K23" i="7"/>
  <c r="I23" i="7"/>
  <c r="K25" i="7"/>
  <c r="I25" i="7"/>
  <c r="I11" i="8"/>
  <c r="K11" i="8"/>
  <c r="J4" i="10"/>
  <c r="AD3" i="10"/>
  <c r="K13" i="10"/>
  <c r="I13" i="10"/>
  <c r="K24" i="10"/>
  <c r="I24" i="10"/>
  <c r="K29" i="11"/>
  <c r="I29" i="11"/>
  <c r="K28" i="14"/>
  <c r="I28" i="14"/>
  <c r="K12" i="3"/>
  <c r="I12" i="3"/>
  <c r="AD3" i="7"/>
  <c r="I10" i="11"/>
  <c r="K10" i="11"/>
  <c r="I18" i="15"/>
  <c r="K18" i="15"/>
  <c r="I20" i="32"/>
  <c r="K20" i="32"/>
  <c r="K17" i="6"/>
  <c r="K5" i="7"/>
  <c r="I5" i="7"/>
  <c r="I19" i="7"/>
  <c r="K24" i="8"/>
  <c r="X3" i="3"/>
  <c r="K22" i="5"/>
  <c r="I22" i="5"/>
  <c r="K10" i="6"/>
  <c r="I10" i="6"/>
  <c r="K15" i="6"/>
  <c r="I15" i="6"/>
  <c r="K26" i="6"/>
  <c r="I10" i="8"/>
  <c r="K12" i="8"/>
  <c r="I12" i="8"/>
  <c r="I28" i="8"/>
  <c r="K28" i="8"/>
  <c r="I6" i="9"/>
  <c r="K5" i="10"/>
  <c r="I5" i="10"/>
  <c r="K17" i="10"/>
  <c r="I15" i="11"/>
  <c r="K23" i="11"/>
  <c r="I23" i="11"/>
  <c r="I30" i="11"/>
  <c r="Q4" i="12"/>
  <c r="I5" i="12"/>
  <c r="K15" i="12"/>
  <c r="I15" i="12"/>
  <c r="K21" i="12"/>
  <c r="I21" i="12"/>
  <c r="K13" i="13"/>
  <c r="I13" i="13"/>
  <c r="K14" i="13"/>
  <c r="I14" i="13"/>
  <c r="K24" i="14"/>
  <c r="K29" i="6"/>
  <c r="I29" i="6"/>
  <c r="K32" i="10"/>
  <c r="I32" i="10"/>
  <c r="K25" i="11"/>
  <c r="I25" i="11"/>
  <c r="I6" i="15"/>
  <c r="K6" i="15"/>
  <c r="I9" i="16"/>
  <c r="K9" i="16"/>
  <c r="K32" i="30"/>
  <c r="I32" i="30"/>
  <c r="I28" i="4"/>
  <c r="K5" i="9"/>
  <c r="I5" i="9"/>
  <c r="Q31" i="3"/>
  <c r="I14" i="4"/>
  <c r="K30" i="4"/>
  <c r="I30" i="4"/>
  <c r="K8" i="5"/>
  <c r="I15" i="5"/>
  <c r="K19" i="5"/>
  <c r="I19" i="5"/>
  <c r="I32" i="5"/>
  <c r="I19" i="6"/>
  <c r="K20" i="6"/>
  <c r="I20" i="6"/>
  <c r="I24" i="6"/>
  <c r="K27" i="6"/>
  <c r="I27" i="6"/>
  <c r="K8" i="7"/>
  <c r="I8" i="7"/>
  <c r="K23" i="8"/>
  <c r="I23" i="8"/>
  <c r="K14" i="9"/>
  <c r="I14" i="9"/>
  <c r="I21" i="9"/>
  <c r="K22" i="9"/>
  <c r="I22" i="9"/>
  <c r="K31" i="9"/>
  <c r="I31" i="9"/>
  <c r="K6" i="10"/>
  <c r="I6" i="10"/>
  <c r="K7" i="10"/>
  <c r="I7" i="10"/>
  <c r="K15" i="10"/>
  <c r="I15" i="10"/>
  <c r="K28" i="10"/>
  <c r="I28" i="10"/>
  <c r="I7" i="11"/>
  <c r="I18" i="11"/>
  <c r="K18" i="11"/>
  <c r="K22" i="11"/>
  <c r="I22" i="11"/>
  <c r="K16" i="12"/>
  <c r="I16" i="12"/>
  <c r="AD3" i="13"/>
  <c r="J4" i="13"/>
  <c r="K10" i="13"/>
  <c r="I10" i="13"/>
  <c r="J4" i="15"/>
  <c r="AD3" i="15"/>
  <c r="K17" i="16"/>
  <c r="I17" i="16"/>
  <c r="K31" i="16"/>
  <c r="I31" i="16"/>
  <c r="I23" i="18"/>
  <c r="K23" i="18"/>
  <c r="K13" i="6"/>
  <c r="I13" i="6"/>
  <c r="K23" i="10"/>
  <c r="I23" i="10"/>
  <c r="K17" i="12"/>
  <c r="I17" i="12"/>
  <c r="K29" i="23"/>
  <c r="I29" i="23"/>
  <c r="K8" i="26"/>
  <c r="I8" i="26"/>
  <c r="AD3" i="31"/>
  <c r="I21" i="33"/>
  <c r="K21" i="33"/>
  <c r="K25" i="4"/>
  <c r="I25" i="4"/>
  <c r="Q30" i="2"/>
  <c r="Q32" i="2"/>
  <c r="I18" i="3"/>
  <c r="K20" i="3"/>
  <c r="I20" i="3"/>
  <c r="K21" i="4"/>
  <c r="I21" i="4"/>
  <c r="K27" i="4"/>
  <c r="I27" i="4"/>
  <c r="K9" i="5"/>
  <c r="I9" i="5"/>
  <c r="Q11" i="5"/>
  <c r="K26" i="5"/>
  <c r="I26" i="5"/>
  <c r="Q28" i="5"/>
  <c r="K21" i="6"/>
  <c r="I21" i="6"/>
  <c r="Q23" i="6"/>
  <c r="K7" i="7"/>
  <c r="I12" i="7"/>
  <c r="K13" i="7"/>
  <c r="I13" i="7"/>
  <c r="I17" i="7"/>
  <c r="I18" i="7"/>
  <c r="K18" i="7"/>
  <c r="K28" i="7"/>
  <c r="I28" i="7"/>
  <c r="K30" i="8"/>
  <c r="I30" i="8"/>
  <c r="I32" i="8"/>
  <c r="K32" i="8"/>
  <c r="K10" i="9"/>
  <c r="I10" i="9"/>
  <c r="K27" i="9"/>
  <c r="I27" i="9"/>
  <c r="Q11" i="11"/>
  <c r="I27" i="11"/>
  <c r="K27" i="11"/>
  <c r="K14" i="14"/>
  <c r="I14" i="14"/>
  <c r="K15" i="14"/>
  <c r="I15" i="14"/>
  <c r="K32" i="14"/>
  <c r="I32" i="14"/>
  <c r="I14" i="16"/>
  <c r="K14" i="16"/>
  <c r="K19" i="17"/>
  <c r="I19" i="17"/>
  <c r="K16" i="18"/>
  <c r="I16" i="18"/>
  <c r="Q7" i="4"/>
  <c r="Q9" i="4"/>
  <c r="K24" i="4"/>
  <c r="I24" i="4"/>
  <c r="X3" i="5"/>
  <c r="I23" i="5"/>
  <c r="AD3" i="6"/>
  <c r="K7" i="6"/>
  <c r="I7" i="6"/>
  <c r="I11" i="6"/>
  <c r="K12" i="6"/>
  <c r="I12" i="6"/>
  <c r="K14" i="7"/>
  <c r="I14" i="7"/>
  <c r="Q16" i="7"/>
  <c r="I31" i="7"/>
  <c r="Q5" i="8"/>
  <c r="K7" i="8"/>
  <c r="I7" i="8"/>
  <c r="K16" i="8"/>
  <c r="I16" i="8"/>
  <c r="I29" i="8"/>
  <c r="J4" i="9"/>
  <c r="AD3" i="9"/>
  <c r="I8" i="9"/>
  <c r="K8" i="9"/>
  <c r="K11" i="10"/>
  <c r="I11" i="10"/>
  <c r="AD3" i="11"/>
  <c r="Q16" i="11"/>
  <c r="K20" i="11"/>
  <c r="I20" i="11"/>
  <c r="I25" i="12"/>
  <c r="K26" i="12"/>
  <c r="I26" i="12"/>
  <c r="K6" i="13"/>
  <c r="I6" i="13"/>
  <c r="K11" i="14"/>
  <c r="I11" i="14"/>
  <c r="I21" i="14"/>
  <c r="K21" i="14"/>
  <c r="Q4" i="16"/>
  <c r="J3" i="16"/>
  <c r="K8" i="16"/>
  <c r="I8" i="16"/>
  <c r="K31" i="11"/>
  <c r="I31" i="11"/>
  <c r="K27" i="13"/>
  <c r="I27" i="13"/>
  <c r="K30" i="13"/>
  <c r="I30" i="13"/>
  <c r="AD3" i="14"/>
  <c r="K17" i="15"/>
  <c r="I17" i="15"/>
  <c r="K32" i="15"/>
  <c r="I32" i="15"/>
  <c r="K15" i="16"/>
  <c r="I15" i="16"/>
  <c r="K28" i="16"/>
  <c r="I28" i="16"/>
  <c r="I27" i="17"/>
  <c r="K27" i="17"/>
  <c r="J8" i="20"/>
  <c r="AD3" i="20"/>
  <c r="K20" i="20"/>
  <c r="I20" i="20"/>
  <c r="K28" i="21"/>
  <c r="I28" i="21"/>
  <c r="K24" i="9"/>
  <c r="K18" i="13"/>
  <c r="I18" i="13"/>
  <c r="K21" i="13"/>
  <c r="I21" i="13"/>
  <c r="K19" i="14"/>
  <c r="I19" i="14"/>
  <c r="K22" i="14"/>
  <c r="I22" i="14"/>
  <c r="I14" i="17"/>
  <c r="K14" i="17"/>
  <c r="K28" i="17"/>
  <c r="I28" i="17"/>
  <c r="J11" i="18"/>
  <c r="K7" i="19"/>
  <c r="I7" i="19"/>
  <c r="K12" i="19"/>
  <c r="I12" i="19"/>
  <c r="I16" i="7"/>
  <c r="Q29" i="7"/>
  <c r="I5" i="8"/>
  <c r="I26" i="8"/>
  <c r="Q7" i="10"/>
  <c r="K7" i="12"/>
  <c r="I7" i="12"/>
  <c r="K7" i="13"/>
  <c r="K8" i="13"/>
  <c r="I8" i="13"/>
  <c r="K24" i="13"/>
  <c r="I24" i="13"/>
  <c r="K8" i="14"/>
  <c r="K9" i="14"/>
  <c r="I9" i="14"/>
  <c r="K25" i="14"/>
  <c r="K26" i="14"/>
  <c r="I26" i="14"/>
  <c r="Q4" i="15"/>
  <c r="I24" i="15"/>
  <c r="K24" i="15"/>
  <c r="I30" i="15"/>
  <c r="K7" i="17"/>
  <c r="I7" i="17"/>
  <c r="K23" i="17"/>
  <c r="I23" i="17"/>
  <c r="K32" i="17"/>
  <c r="I32" i="17"/>
  <c r="K6" i="18"/>
  <c r="I6" i="18"/>
  <c r="K8" i="18"/>
  <c r="I8" i="18"/>
  <c r="K12" i="9"/>
  <c r="I12" i="9"/>
  <c r="K29" i="9"/>
  <c r="I29" i="9"/>
  <c r="I32" i="9"/>
  <c r="K21" i="10"/>
  <c r="I21" i="10"/>
  <c r="K8" i="11"/>
  <c r="I8" i="11"/>
  <c r="K25" i="13"/>
  <c r="I25" i="13"/>
  <c r="I30" i="16"/>
  <c r="K30" i="16"/>
  <c r="K16" i="17"/>
  <c r="I16" i="17"/>
  <c r="K24" i="17"/>
  <c r="I24" i="17"/>
  <c r="K25" i="17"/>
  <c r="I25" i="17"/>
  <c r="K30" i="17"/>
  <c r="I30" i="17"/>
  <c r="K9" i="18"/>
  <c r="I9" i="18"/>
  <c r="I26" i="18"/>
  <c r="K26" i="18"/>
  <c r="I8" i="19"/>
  <c r="K8" i="19"/>
  <c r="I9" i="8"/>
  <c r="Q21" i="8"/>
  <c r="Q14" i="9"/>
  <c r="Q31" i="9"/>
  <c r="Q23" i="10"/>
  <c r="K16" i="11"/>
  <c r="I16" i="11"/>
  <c r="Q25" i="11"/>
  <c r="AD3" i="12"/>
  <c r="J4" i="12"/>
  <c r="Q9" i="12"/>
  <c r="K19" i="12"/>
  <c r="K23" i="12"/>
  <c r="I23" i="12"/>
  <c r="K15" i="13"/>
  <c r="K16" i="13"/>
  <c r="I16" i="13"/>
  <c r="I22" i="13"/>
  <c r="Q27" i="13"/>
  <c r="K5" i="14"/>
  <c r="K16" i="14"/>
  <c r="K17" i="14"/>
  <c r="I17" i="14"/>
  <c r="I23" i="14"/>
  <c r="I10" i="15"/>
  <c r="Q10" i="16"/>
  <c r="I12" i="16"/>
  <c r="K12" i="16"/>
  <c r="K12" i="17"/>
  <c r="I12" i="17"/>
  <c r="Q28" i="17"/>
  <c r="I31" i="17"/>
  <c r="K31" i="17"/>
  <c r="K22" i="18"/>
  <c r="I22" i="18"/>
  <c r="J3" i="19"/>
  <c r="K4" i="19"/>
  <c r="I4" i="19"/>
  <c r="Q22" i="9"/>
  <c r="Q8" i="11"/>
  <c r="K14" i="11"/>
  <c r="I14" i="11"/>
  <c r="Q26" i="12"/>
  <c r="K32" i="12"/>
  <c r="I32" i="12"/>
  <c r="Q18" i="13"/>
  <c r="K32" i="13"/>
  <c r="K6" i="14"/>
  <c r="I6" i="14"/>
  <c r="Q19" i="14"/>
  <c r="Q9" i="15"/>
  <c r="I25" i="15"/>
  <c r="K25" i="15"/>
  <c r="I13" i="16"/>
  <c r="K13" i="16"/>
  <c r="I21" i="16"/>
  <c r="K21" i="16"/>
  <c r="Q12" i="18"/>
  <c r="Q21" i="18"/>
  <c r="J4" i="14"/>
  <c r="I21" i="15"/>
  <c r="I32" i="16"/>
  <c r="I24" i="18"/>
  <c r="I30" i="19"/>
  <c r="K30" i="19"/>
  <c r="K10" i="20"/>
  <c r="I10" i="20"/>
  <c r="I22" i="20"/>
  <c r="K22" i="20"/>
  <c r="I31" i="20"/>
  <c r="K31" i="20"/>
  <c r="K22" i="16"/>
  <c r="I22" i="16"/>
  <c r="K21" i="18"/>
  <c r="I21" i="18"/>
  <c r="K28" i="18"/>
  <c r="I28" i="18"/>
  <c r="K6" i="19"/>
  <c r="I6" i="19"/>
  <c r="I24" i="19"/>
  <c r="K24" i="19"/>
  <c r="K11" i="22"/>
  <c r="I11" i="22"/>
  <c r="I13" i="15"/>
  <c r="I15" i="15"/>
  <c r="K19" i="15"/>
  <c r="Q12" i="16"/>
  <c r="Q15" i="16"/>
  <c r="J5" i="17"/>
  <c r="AD3" i="17"/>
  <c r="I13" i="17"/>
  <c r="K5" i="18"/>
  <c r="I5" i="18"/>
  <c r="Q8" i="18"/>
  <c r="I14" i="19"/>
  <c r="K15" i="19"/>
  <c r="I15" i="19"/>
  <c r="I5" i="20"/>
  <c r="J3" i="20"/>
  <c r="I6" i="20"/>
  <c r="K6" i="20"/>
  <c r="K20" i="21"/>
  <c r="I20" i="21"/>
  <c r="I14" i="23"/>
  <c r="K14" i="23"/>
  <c r="K26" i="15"/>
  <c r="I26" i="15"/>
  <c r="I22" i="17"/>
  <c r="K22" i="17"/>
  <c r="K12" i="18"/>
  <c r="I12" i="18"/>
  <c r="I16" i="19"/>
  <c r="K16" i="19"/>
  <c r="K27" i="19"/>
  <c r="I27" i="19"/>
  <c r="I14" i="21"/>
  <c r="K14" i="21"/>
  <c r="K18" i="22"/>
  <c r="I18" i="22"/>
  <c r="I19" i="22"/>
  <c r="K19" i="22"/>
  <c r="K24" i="22"/>
  <c r="I24" i="22"/>
  <c r="K29" i="22"/>
  <c r="I29" i="22"/>
  <c r="I17" i="24"/>
  <c r="K17" i="24"/>
  <c r="K18" i="24"/>
  <c r="I18" i="24"/>
  <c r="K9" i="15"/>
  <c r="K11" i="15"/>
  <c r="Q19" i="15"/>
  <c r="I22" i="15"/>
  <c r="K10" i="16"/>
  <c r="I10" i="16"/>
  <c r="K23" i="16"/>
  <c r="K25" i="16"/>
  <c r="K14" i="18"/>
  <c r="I14" i="18"/>
  <c r="I17" i="19"/>
  <c r="K17" i="19"/>
  <c r="K18" i="19"/>
  <c r="I18" i="19"/>
  <c r="K32" i="20"/>
  <c r="I32" i="20"/>
  <c r="X3" i="17"/>
  <c r="I11" i="17"/>
  <c r="Q4" i="18"/>
  <c r="I20" i="18"/>
  <c r="X3" i="19"/>
  <c r="I5" i="19"/>
  <c r="I10" i="19"/>
  <c r="H3" i="20"/>
  <c r="K11" i="20"/>
  <c r="I11" i="20"/>
  <c r="K24" i="20"/>
  <c r="I24" i="20"/>
  <c r="K28" i="20"/>
  <c r="I28" i="20"/>
  <c r="K16" i="21"/>
  <c r="I16" i="21"/>
  <c r="K29" i="21"/>
  <c r="I29" i="21"/>
  <c r="I14" i="22"/>
  <c r="K14" i="22"/>
  <c r="K32" i="22"/>
  <c r="I32" i="22"/>
  <c r="K5" i="23"/>
  <c r="I5" i="23"/>
  <c r="I23" i="26"/>
  <c r="K23" i="26"/>
  <c r="K18" i="27"/>
  <c r="I18" i="27"/>
  <c r="K21" i="19"/>
  <c r="I21" i="19"/>
  <c r="I21" i="20"/>
  <c r="K21" i="20"/>
  <c r="I27" i="20"/>
  <c r="K15" i="21"/>
  <c r="K24" i="21"/>
  <c r="I24" i="21"/>
  <c r="K25" i="21"/>
  <c r="I25" i="21"/>
  <c r="K12" i="25"/>
  <c r="I12" i="25"/>
  <c r="K23" i="25"/>
  <c r="I23" i="25"/>
  <c r="Q19" i="17"/>
  <c r="I20" i="17"/>
  <c r="K32" i="18"/>
  <c r="K20" i="19"/>
  <c r="Q6" i="20"/>
  <c r="Q31" i="20"/>
  <c r="K12" i="21"/>
  <c r="I12" i="21"/>
  <c r="K10" i="22"/>
  <c r="I10" i="22"/>
  <c r="AD3" i="24"/>
  <c r="J4" i="24"/>
  <c r="K21" i="24"/>
  <c r="I21" i="24"/>
  <c r="K22" i="24"/>
  <c r="I22" i="24"/>
  <c r="K10" i="25"/>
  <c r="I19" i="16"/>
  <c r="Q11" i="17"/>
  <c r="Q20" i="18"/>
  <c r="I25" i="19"/>
  <c r="K25" i="19"/>
  <c r="K23" i="20"/>
  <c r="I23" i="20"/>
  <c r="K5" i="22"/>
  <c r="I5" i="22"/>
  <c r="K21" i="23"/>
  <c r="I21" i="23"/>
  <c r="K24" i="23"/>
  <c r="I24" i="23"/>
  <c r="K31" i="24"/>
  <c r="I31" i="24"/>
  <c r="AD3" i="19"/>
  <c r="Q21" i="19"/>
  <c r="I14" i="20"/>
  <c r="K14" i="20"/>
  <c r="Q7" i="21"/>
  <c r="X3" i="22"/>
  <c r="I7" i="22"/>
  <c r="K13" i="21"/>
  <c r="I13" i="21"/>
  <c r="Q6" i="22"/>
  <c r="J3" i="23"/>
  <c r="K4" i="23"/>
  <c r="I4" i="23"/>
  <c r="K6" i="24"/>
  <c r="I6" i="24"/>
  <c r="K13" i="24"/>
  <c r="I13" i="24"/>
  <c r="J5" i="25"/>
  <c r="AD3" i="25"/>
  <c r="K32" i="25"/>
  <c r="I32" i="25"/>
  <c r="K19" i="26"/>
  <c r="I19" i="26"/>
  <c r="K28" i="19"/>
  <c r="I28" i="19"/>
  <c r="K12" i="20"/>
  <c r="I12" i="20"/>
  <c r="K23" i="21"/>
  <c r="K30" i="21"/>
  <c r="I30" i="21"/>
  <c r="I11" i="23"/>
  <c r="K11" i="23"/>
  <c r="I9" i="24"/>
  <c r="K9" i="24"/>
  <c r="K7" i="25"/>
  <c r="I7" i="25"/>
  <c r="K20" i="25"/>
  <c r="I20" i="25"/>
  <c r="K24" i="25"/>
  <c r="I24" i="25"/>
  <c r="K21" i="21"/>
  <c r="I21" i="21"/>
  <c r="Q25" i="21"/>
  <c r="Q32" i="21"/>
  <c r="Q14" i="22"/>
  <c r="I15" i="22"/>
  <c r="I20" i="22"/>
  <c r="Q30" i="19"/>
  <c r="I31" i="19"/>
  <c r="K4" i="20"/>
  <c r="I4" i="20"/>
  <c r="Q14" i="20"/>
  <c r="I15" i="20"/>
  <c r="I18" i="20"/>
  <c r="Q23" i="20"/>
  <c r="K29" i="20"/>
  <c r="I29" i="20"/>
  <c r="I4" i="21"/>
  <c r="Q16" i="21"/>
  <c r="Q23" i="21"/>
  <c r="K27" i="21"/>
  <c r="I27" i="21"/>
  <c r="AD3" i="22"/>
  <c r="Q19" i="22"/>
  <c r="I21" i="22"/>
  <c r="K27" i="22"/>
  <c r="I27" i="22"/>
  <c r="K28" i="22"/>
  <c r="I28" i="22"/>
  <c r="I32" i="23"/>
  <c r="K32" i="23"/>
  <c r="K24" i="24"/>
  <c r="I24" i="24"/>
  <c r="K14" i="28"/>
  <c r="I14" i="28"/>
  <c r="K5" i="21"/>
  <c r="I5" i="21"/>
  <c r="K18" i="21"/>
  <c r="I18" i="21"/>
  <c r="J3" i="22"/>
  <c r="K4" i="22"/>
  <c r="I6" i="22"/>
  <c r="K6" i="22"/>
  <c r="K12" i="22"/>
  <c r="I12" i="22"/>
  <c r="Q15" i="22"/>
  <c r="K12" i="23"/>
  <c r="I12" i="23"/>
  <c r="K16" i="24"/>
  <c r="I16" i="24"/>
  <c r="Q19" i="25"/>
  <c r="I32" i="26"/>
  <c r="K32" i="26"/>
  <c r="I16" i="27"/>
  <c r="K16" i="27"/>
  <c r="I24" i="27"/>
  <c r="K24" i="27"/>
  <c r="I25" i="27"/>
  <c r="K25" i="27"/>
  <c r="K13" i="28"/>
  <c r="I13" i="28"/>
  <c r="K5" i="24"/>
  <c r="I5" i="24"/>
  <c r="K10" i="24"/>
  <c r="I10" i="24"/>
  <c r="K25" i="24"/>
  <c r="I25" i="24"/>
  <c r="H3" i="25"/>
  <c r="K8" i="25"/>
  <c r="I8" i="25"/>
  <c r="K22" i="25"/>
  <c r="I22" i="25"/>
  <c r="I15" i="26"/>
  <c r="K15" i="26"/>
  <c r="I8" i="27"/>
  <c r="K8" i="27"/>
  <c r="I17" i="28"/>
  <c r="K17" i="28"/>
  <c r="K19" i="29"/>
  <c r="I19" i="29"/>
  <c r="K14" i="30"/>
  <c r="I14" i="30"/>
  <c r="I18" i="30"/>
  <c r="K18" i="30"/>
  <c r="K19" i="30"/>
  <c r="I19" i="30"/>
  <c r="K20" i="30"/>
  <c r="I20" i="30"/>
  <c r="X3" i="23"/>
  <c r="I17" i="23"/>
  <c r="K23" i="24"/>
  <c r="I23" i="24"/>
  <c r="J3" i="25"/>
  <c r="K4" i="25"/>
  <c r="Q11" i="25"/>
  <c r="I24" i="26"/>
  <c r="K28" i="26"/>
  <c r="I28" i="26"/>
  <c r="K14" i="27"/>
  <c r="I14" i="27"/>
  <c r="I26" i="28"/>
  <c r="K26" i="28"/>
  <c r="K14" i="29"/>
  <c r="I14" i="29"/>
  <c r="I18" i="29"/>
  <c r="K18" i="29"/>
  <c r="K20" i="23"/>
  <c r="I20" i="23"/>
  <c r="I14" i="24"/>
  <c r="K15" i="24"/>
  <c r="I15" i="24"/>
  <c r="K30" i="24"/>
  <c r="I30" i="24"/>
  <c r="K9" i="25"/>
  <c r="I9" i="25"/>
  <c r="K19" i="25"/>
  <c r="I19" i="25"/>
  <c r="Q12" i="27"/>
  <c r="K20" i="27"/>
  <c r="I20" i="27"/>
  <c r="Q17" i="23"/>
  <c r="K7" i="24"/>
  <c r="I7" i="24"/>
  <c r="Q18" i="24"/>
  <c r="K27" i="24"/>
  <c r="I27" i="24"/>
  <c r="K14" i="25"/>
  <c r="I14" i="25"/>
  <c r="K21" i="26"/>
  <c r="I21" i="26"/>
  <c r="K10" i="27"/>
  <c r="I10" i="27"/>
  <c r="K29" i="27"/>
  <c r="I29" i="27"/>
  <c r="K19" i="28"/>
  <c r="I19" i="28"/>
  <c r="Q21" i="28"/>
  <c r="I10" i="29"/>
  <c r="K10" i="29"/>
  <c r="Q8" i="22"/>
  <c r="Q25" i="22"/>
  <c r="AD3" i="23"/>
  <c r="Q9" i="23"/>
  <c r="K8" i="24"/>
  <c r="I8" i="24"/>
  <c r="K6" i="25"/>
  <c r="I6" i="25"/>
  <c r="K11" i="25"/>
  <c r="I11" i="25"/>
  <c r="K16" i="25"/>
  <c r="I16" i="25"/>
  <c r="K4" i="26"/>
  <c r="K13" i="26"/>
  <c r="I13" i="26"/>
  <c r="K6" i="27"/>
  <c r="I6" i="27"/>
  <c r="K22" i="27"/>
  <c r="I22" i="27"/>
  <c r="K10" i="28"/>
  <c r="I10" i="28"/>
  <c r="K15" i="28"/>
  <c r="I15" i="28"/>
  <c r="I5" i="29"/>
  <c r="J3" i="29"/>
  <c r="K6" i="29"/>
  <c r="I6" i="29"/>
  <c r="K5" i="26"/>
  <c r="I5" i="26"/>
  <c r="Q7" i="26"/>
  <c r="K9" i="26"/>
  <c r="I9" i="26"/>
  <c r="Q11" i="26"/>
  <c r="K11" i="28"/>
  <c r="I11" i="28"/>
  <c r="K24" i="28"/>
  <c r="K20" i="29"/>
  <c r="I20" i="29"/>
  <c r="K24" i="29"/>
  <c r="I24" i="29"/>
  <c r="I5" i="30"/>
  <c r="K5" i="30"/>
  <c r="I14" i="31"/>
  <c r="K14" i="31"/>
  <c r="I12" i="32"/>
  <c r="K12" i="32"/>
  <c r="K13" i="32"/>
  <c r="I13" i="32"/>
  <c r="K14" i="32"/>
  <c r="I14" i="32"/>
  <c r="I5" i="33"/>
  <c r="K5" i="33"/>
  <c r="K6" i="33"/>
  <c r="I6" i="33"/>
  <c r="K7" i="33"/>
  <c r="I7" i="33"/>
  <c r="I30" i="33"/>
  <c r="K30" i="33"/>
  <c r="I6" i="28"/>
  <c r="K7" i="28"/>
  <c r="I7" i="28"/>
  <c r="Q9" i="28"/>
  <c r="I31" i="28"/>
  <c r="AD3" i="29"/>
  <c r="I15" i="29"/>
  <c r="K16" i="29"/>
  <c r="I16" i="29"/>
  <c r="Q18" i="29"/>
  <c r="K32" i="29"/>
  <c r="I32" i="29"/>
  <c r="J3" i="30"/>
  <c r="K4" i="30"/>
  <c r="I4" i="30"/>
  <c r="I10" i="30"/>
  <c r="K10" i="30"/>
  <c r="AD3" i="27"/>
  <c r="Q5" i="28"/>
  <c r="K28" i="28"/>
  <c r="I28" i="28"/>
  <c r="Q30" i="28"/>
  <c r="K12" i="29"/>
  <c r="I12" i="29"/>
  <c r="Q14" i="29"/>
  <c r="K26" i="30"/>
  <c r="I26" i="30"/>
  <c r="I29" i="32"/>
  <c r="K29" i="32"/>
  <c r="I32" i="24"/>
  <c r="I31" i="25"/>
  <c r="K31" i="25"/>
  <c r="J6" i="26"/>
  <c r="AD3" i="26"/>
  <c r="K26" i="26"/>
  <c r="I26" i="26"/>
  <c r="K30" i="26"/>
  <c r="I30" i="26"/>
  <c r="K27" i="27"/>
  <c r="I27" i="27"/>
  <c r="K31" i="27"/>
  <c r="I31" i="27"/>
  <c r="K8" i="29"/>
  <c r="I8" i="29"/>
  <c r="K11" i="30"/>
  <c r="I11" i="30"/>
  <c r="K23" i="31"/>
  <c r="I23" i="31"/>
  <c r="I28" i="31"/>
  <c r="K28" i="31"/>
  <c r="K29" i="31"/>
  <c r="I29" i="31"/>
  <c r="K30" i="31"/>
  <c r="I30" i="31"/>
  <c r="K17" i="33"/>
  <c r="I17" i="33"/>
  <c r="I25" i="33"/>
  <c r="K25" i="33"/>
  <c r="J4" i="27"/>
  <c r="K21" i="28"/>
  <c r="I21" i="28"/>
  <c r="K32" i="28"/>
  <c r="I32" i="28"/>
  <c r="K4" i="29"/>
  <c r="I4" i="29"/>
  <c r="I26" i="29"/>
  <c r="K26" i="29"/>
  <c r="K17" i="31"/>
  <c r="I17" i="31"/>
  <c r="K9" i="32"/>
  <c r="I9" i="32"/>
  <c r="K10" i="32"/>
  <c r="I10" i="32"/>
  <c r="K29" i="25"/>
  <c r="I29" i="25"/>
  <c r="Q31" i="25"/>
  <c r="I5" i="27"/>
  <c r="I9" i="27"/>
  <c r="I13" i="27"/>
  <c r="I17" i="27"/>
  <c r="I21" i="27"/>
  <c r="J4" i="28"/>
  <c r="AD3" i="28"/>
  <c r="I22" i="28"/>
  <c r="K23" i="28"/>
  <c r="I23" i="28"/>
  <c r="K6" i="30"/>
  <c r="I6" i="30"/>
  <c r="Q8" i="30"/>
  <c r="K31" i="30"/>
  <c r="I31" i="30"/>
  <c r="K21" i="32"/>
  <c r="I21" i="32"/>
  <c r="K22" i="32"/>
  <c r="I22" i="32"/>
  <c r="K32" i="32"/>
  <c r="AD3" i="33"/>
  <c r="J4" i="33"/>
  <c r="K11" i="33"/>
  <c r="I11" i="33"/>
  <c r="K24" i="33"/>
  <c r="K24" i="30"/>
  <c r="I24" i="30"/>
  <c r="K25" i="30"/>
  <c r="I25" i="30"/>
  <c r="I11" i="31"/>
  <c r="K11" i="31"/>
  <c r="K12" i="31"/>
  <c r="I12" i="31"/>
  <c r="K13" i="31"/>
  <c r="I13" i="31"/>
  <c r="K18" i="31"/>
  <c r="I18" i="31"/>
  <c r="K7" i="32"/>
  <c r="K8" i="32"/>
  <c r="I8" i="32"/>
  <c r="K27" i="32"/>
  <c r="I27" i="32"/>
  <c r="K12" i="33"/>
  <c r="I12" i="33"/>
  <c r="K19" i="33"/>
  <c r="I19" i="33"/>
  <c r="Q23" i="29"/>
  <c r="K16" i="30"/>
  <c r="I16" i="30"/>
  <c r="K21" i="30"/>
  <c r="K22" i="30"/>
  <c r="I22" i="30"/>
  <c r="K6" i="31"/>
  <c r="K7" i="31"/>
  <c r="I7" i="31"/>
  <c r="K26" i="31"/>
  <c r="I26" i="31"/>
  <c r="K31" i="31"/>
  <c r="K16" i="32"/>
  <c r="I16" i="32"/>
  <c r="K28" i="32"/>
  <c r="I28" i="32"/>
  <c r="I18" i="33"/>
  <c r="K20" i="33"/>
  <c r="I20" i="33"/>
  <c r="K31" i="33"/>
  <c r="I31" i="33"/>
  <c r="K30" i="29"/>
  <c r="I30" i="29"/>
  <c r="K8" i="30"/>
  <c r="I8" i="30"/>
  <c r="K17" i="30"/>
  <c r="I17" i="30"/>
  <c r="K15" i="31"/>
  <c r="I15" i="31"/>
  <c r="K20" i="31"/>
  <c r="I20" i="31"/>
  <c r="K21" i="31"/>
  <c r="I21" i="31"/>
  <c r="K27" i="31"/>
  <c r="I27" i="31"/>
  <c r="K11" i="32"/>
  <c r="I11" i="32"/>
  <c r="K18" i="32"/>
  <c r="I18" i="32"/>
  <c r="K14" i="33"/>
  <c r="I14" i="33"/>
  <c r="K15" i="33"/>
  <c r="I15" i="33"/>
  <c r="K26" i="33"/>
  <c r="I26" i="33"/>
  <c r="AD3" i="30"/>
  <c r="K9" i="31"/>
  <c r="I9" i="31"/>
  <c r="K32" i="31"/>
  <c r="I32" i="31"/>
  <c r="AD3" i="32"/>
  <c r="I17" i="32"/>
  <c r="K19" i="32"/>
  <c r="I19" i="32"/>
  <c r="K30" i="32"/>
  <c r="I30" i="32"/>
  <c r="K31" i="32"/>
  <c r="I31" i="32"/>
  <c r="X3" i="33"/>
  <c r="K22" i="33"/>
  <c r="I22" i="33"/>
  <c r="K23" i="33"/>
  <c r="I23" i="33"/>
  <c r="Q32" i="29"/>
  <c r="K12" i="30"/>
  <c r="I12" i="30"/>
  <c r="I27" i="30"/>
  <c r="K27" i="30"/>
  <c r="K28" i="30"/>
  <c r="I28" i="30"/>
  <c r="K29" i="30"/>
  <c r="I29" i="30"/>
  <c r="K10" i="31"/>
  <c r="I10" i="31"/>
  <c r="I4" i="32"/>
  <c r="J3" i="32"/>
  <c r="K4" i="32"/>
  <c r="K5" i="32"/>
  <c r="I5" i="32"/>
  <c r="K6" i="32"/>
  <c r="I6" i="32"/>
  <c r="K24" i="32"/>
  <c r="I24" i="32"/>
  <c r="K9" i="33"/>
  <c r="I9" i="33"/>
  <c r="K28" i="33"/>
  <c r="I28" i="33"/>
  <c r="K32" i="33"/>
  <c r="I32" i="33"/>
  <c r="J4" i="31"/>
  <c r="K3" i="25" l="1"/>
  <c r="I3" i="25"/>
  <c r="I11" i="18"/>
  <c r="K11" i="18"/>
  <c r="K3" i="32"/>
  <c r="I3" i="32"/>
  <c r="I4" i="24"/>
  <c r="J3" i="24"/>
  <c r="K4" i="24"/>
  <c r="I3" i="1"/>
  <c r="K3" i="1"/>
  <c r="K3" i="30"/>
  <c r="I3" i="30"/>
  <c r="I3" i="23"/>
  <c r="K3" i="23"/>
  <c r="K4" i="15"/>
  <c r="I4" i="15"/>
  <c r="J3" i="15"/>
  <c r="I3" i="6"/>
  <c r="K3" i="6"/>
  <c r="I6" i="26"/>
  <c r="K6" i="26"/>
  <c r="J3" i="5"/>
  <c r="K4" i="5"/>
  <c r="I4" i="5"/>
  <c r="J3" i="31"/>
  <c r="K4" i="31"/>
  <c r="I4" i="31"/>
  <c r="I5" i="25"/>
  <c r="K5" i="25"/>
  <c r="I8" i="20"/>
  <c r="K8" i="20"/>
  <c r="I4" i="9"/>
  <c r="J3" i="9"/>
  <c r="K4" i="9"/>
  <c r="K4" i="3"/>
  <c r="I4" i="3"/>
  <c r="J3" i="3"/>
  <c r="I6" i="21"/>
  <c r="K6" i="21"/>
  <c r="J3" i="21"/>
  <c r="K3" i="29"/>
  <c r="I3" i="29"/>
  <c r="K5" i="17"/>
  <c r="I5" i="17"/>
  <c r="J3" i="27"/>
  <c r="K4" i="27"/>
  <c r="I4" i="27"/>
  <c r="J3" i="18"/>
  <c r="K3" i="11"/>
  <c r="I3" i="11"/>
  <c r="J3" i="8"/>
  <c r="I4" i="8"/>
  <c r="K4" i="8"/>
  <c r="I4" i="4"/>
  <c r="J3" i="4"/>
  <c r="K4" i="4"/>
  <c r="I4" i="2"/>
  <c r="J3" i="2"/>
  <c r="K4" i="2"/>
  <c r="I4" i="10"/>
  <c r="J3" i="10"/>
  <c r="K4" i="10"/>
  <c r="J3" i="33"/>
  <c r="K4" i="33"/>
  <c r="I4" i="33"/>
  <c r="I4" i="28"/>
  <c r="J3" i="28"/>
  <c r="K4" i="28"/>
  <c r="J3" i="26"/>
  <c r="K3" i="22"/>
  <c r="I3" i="22"/>
  <c r="J3" i="17"/>
  <c r="J3" i="14"/>
  <c r="K4" i="14"/>
  <c r="I4" i="14"/>
  <c r="K3" i="19"/>
  <c r="I3" i="19"/>
  <c r="I4" i="13"/>
  <c r="K4" i="13"/>
  <c r="J3" i="13"/>
  <c r="I3" i="20"/>
  <c r="K3" i="20"/>
  <c r="J3" i="12"/>
  <c r="I4" i="12"/>
  <c r="K4" i="12"/>
  <c r="K3" i="16"/>
  <c r="I3" i="16"/>
  <c r="K3" i="7"/>
  <c r="I3" i="7"/>
  <c r="K5" i="1"/>
  <c r="I5" i="1"/>
  <c r="I3" i="21" l="1"/>
  <c r="K3" i="21"/>
  <c r="K3" i="24"/>
  <c r="I3" i="24"/>
  <c r="K3" i="10"/>
  <c r="I3" i="10"/>
  <c r="I3" i="3"/>
  <c r="K3" i="3"/>
  <c r="I3" i="17"/>
  <c r="K3" i="17"/>
  <c r="K3" i="27"/>
  <c r="I3" i="27"/>
  <c r="K3" i="12"/>
  <c r="I3" i="12"/>
  <c r="K3" i="28"/>
  <c r="I3" i="28"/>
  <c r="K3" i="8"/>
  <c r="I3" i="8"/>
  <c r="K3" i="18"/>
  <c r="I3" i="18"/>
  <c r="K3" i="4"/>
  <c r="I3" i="4"/>
  <c r="I3" i="26"/>
  <c r="K3" i="26"/>
  <c r="K3" i="2"/>
  <c r="I3" i="2"/>
  <c r="K3" i="13"/>
  <c r="I3" i="13"/>
  <c r="K3" i="33"/>
  <c r="I3" i="33"/>
  <c r="K3" i="5"/>
  <c r="I3" i="5"/>
  <c r="K3" i="14"/>
  <c r="I3" i="14"/>
  <c r="K3" i="9"/>
  <c r="I3" i="9"/>
  <c r="I3" i="31"/>
  <c r="K3" i="31"/>
  <c r="I3" i="15"/>
  <c r="K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2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3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4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6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7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8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9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A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B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C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D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E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F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0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1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2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3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4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5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6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7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8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9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A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B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C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D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E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1F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2000-000001000000}">
      <text>
        <r>
          <rPr>
            <sz val="11"/>
            <color rgb="FF000000"/>
            <rFont val="Calibri"/>
          </rPr>
          <t>Cassidy:
Break Even Price</t>
        </r>
      </text>
    </comment>
  </commentList>
</comments>
</file>

<file path=xl/sharedStrings.xml><?xml version="1.0" encoding="utf-8"?>
<sst xmlns="http://schemas.openxmlformats.org/spreadsheetml/2006/main" count="4780" uniqueCount="768">
  <si>
    <t>Price</t>
  </si>
  <si>
    <t>AMZ
Sales</t>
  </si>
  <si>
    <t>Non-AMZ 
Sales</t>
  </si>
  <si>
    <t>Revenue</t>
  </si>
  <si>
    <t>PPC Spend</t>
  </si>
  <si>
    <t>% 
Ad Spend</t>
  </si>
  <si>
    <t>Margin
(Incl. Storage)</t>
  </si>
  <si>
    <t>Net Profit 
(Incl. Storage)</t>
  </si>
  <si>
    <t>Profit / 
Piece</t>
  </si>
  <si>
    <t>Sessions</t>
  </si>
  <si>
    <t>Conversion
Rate</t>
  </si>
  <si>
    <t>QTY</t>
  </si>
  <si>
    <t>AMZ
7D Velocity</t>
  </si>
  <si>
    <t>Non-AMZ
7D Velocity</t>
  </si>
  <si>
    <t>DOH</t>
  </si>
  <si>
    <t>DOH of Comp Inv</t>
  </si>
  <si>
    <t>Sell
Through</t>
  </si>
  <si>
    <t>In 
Transit</t>
  </si>
  <si>
    <t>Arrival Date</t>
  </si>
  <si>
    <t xml:space="preserve">PPC
Sales </t>
  </si>
  <si>
    <t>% PPC Sales</t>
  </si>
  <si>
    <t>Cost per PPC Sale</t>
  </si>
  <si>
    <t>PPC Sales 
(Other SKUs)</t>
  </si>
  <si>
    <t>Size Tier</t>
  </si>
  <si>
    <t>Storage Per 
Cubic Ft.</t>
  </si>
  <si>
    <t xml:space="preserve">Volume </t>
  </si>
  <si>
    <t>Storage
Cost</t>
  </si>
  <si>
    <t>FBA 
Fee</t>
  </si>
  <si>
    <t>Blended 
Landed Cost</t>
  </si>
  <si>
    <t>Coupons</t>
  </si>
  <si>
    <t>PL-IL-KCHB12X16-BR</t>
  </si>
  <si>
    <t>Totals</t>
  </si>
  <si>
    <t>12/28 to 1/3</t>
  </si>
  <si>
    <t>maintain, will look at the listing optimization this week</t>
  </si>
  <si>
    <t/>
  </si>
  <si>
    <t>UsLargeStandardSize</t>
  </si>
  <si>
    <t>1/4 to 1/10</t>
  </si>
  <si>
    <t>min $14.99</t>
  </si>
  <si>
    <t>1/11 to 1/17</t>
  </si>
  <si>
    <t>no incoming inventory, target 8, min $16.99</t>
  </si>
  <si>
    <t xml:space="preserve">:  -  :  -  AGL167: 32 - 02/20/21 :  -  :  -  :  -  :  -  :  -  :  -  :  - :  -  :  -  :  -  :  -  :  -  :  -  :  -  :  -  :  - </t>
  </si>
  <si>
    <t>1/18 to 1/24</t>
  </si>
  <si>
    <t>us storage over 200, can sell at 20% margin, min $14.99, target 13</t>
  </si>
  <si>
    <t xml:space="preserve">:  -  :  -  AGL167: 32 - 02/20/21 #353: 800 - 03/01/21 :  -  :  -  :  -  :  -  :  -  :  - :  -  :  -  :  -  :  -  :  -  :  -  :  -  :  -  :  - </t>
  </si>
  <si>
    <t>1/25 to 1/31</t>
  </si>
  <si>
    <t>min $16.59</t>
  </si>
  <si>
    <t xml:space="preserve"> | AGL167: 32 - 02/20/21 | #353: 800 - 03/02/21</t>
  </si>
  <si>
    <t>2/1 to 2/7</t>
  </si>
  <si>
    <t>a bulk order, maintain</t>
  </si>
  <si>
    <t xml:space="preserve"> | AGL167: 32 - 03/02/21 | #353-1: 208 - 03/06/21 | #353-2;SW: 592 - 03/16/21</t>
  </si>
  <si>
    <t>2/8 to 2/14</t>
  </si>
  <si>
    <t>Decreasing min to 15.99 - 224 units coming from SW as of 2/11</t>
  </si>
  <si>
    <t xml:space="preserve"> | #353-1: 208 - 03/11/21 | #353-2;SW: 592 - 03/21/21</t>
  </si>
  <si>
    <t>2/15 to 2/21</t>
  </si>
  <si>
    <t>Continue with PPeak</t>
  </si>
  <si>
    <t xml:space="preserve"> | #353-1: 208 - 03/10/21 | #353-2;SW: 592 - 03/20/21</t>
  </si>
  <si>
    <t>2/22 to 2/28</t>
  </si>
  <si>
    <t>3/1 to 3/7</t>
  </si>
  <si>
    <t>Dropped min to 14.99 and updated target to 10</t>
  </si>
  <si>
    <t>3/8 to 3/14</t>
  </si>
  <si>
    <t xml:space="preserve"> | #383: 576 - TBD</t>
  </si>
  <si>
    <t>3/15 to 3/21</t>
  </si>
  <si>
    <t>Increasing min to 16.99</t>
  </si>
  <si>
    <t>#383: 576 - 04/29/21</t>
  </si>
  <si>
    <t>3/22 to 3/28</t>
  </si>
  <si>
    <t>SW shipment should hit any day now</t>
  </si>
  <si>
    <t>3/29 to 4/4</t>
  </si>
  <si>
    <t>Out - SW shipment should hit soon</t>
  </si>
  <si>
    <t>#383: 576 - 04/23/21</t>
  </si>
  <si>
    <t>4/5 to 4/11</t>
  </si>
  <si>
    <t>#383: 576 - 04/25/21</t>
  </si>
  <si>
    <t>4/12 to 4/18</t>
  </si>
  <si>
    <t>Decreasing min to 14.99</t>
  </si>
  <si>
    <t>#383: 576 - 04/27/21</t>
  </si>
  <si>
    <t>4/19 to 4/25</t>
  </si>
  <si>
    <t>4/26 to 5/2</t>
  </si>
  <si>
    <t>5/3 to 5/9</t>
  </si>
  <si>
    <t>5/10 to 5/16</t>
  </si>
  <si>
    <t>13.99-19.99 to see if we can run these faster/improve sell through</t>
  </si>
  <si>
    <t>5/17 to 5/23</t>
  </si>
  <si>
    <t>Sales increasing and almost at target - continuing with low PPeak range (high conversion)</t>
  </si>
  <si>
    <t>5/24 to 5/30</t>
  </si>
  <si>
    <t>Continue with PPeak - sales at target and good DOH</t>
  </si>
  <si>
    <t>5/31 to 6/6</t>
  </si>
  <si>
    <t>6/7 to 6/13</t>
  </si>
  <si>
    <t>6/14 to 6/20</t>
  </si>
  <si>
    <t>Continue with PPeak - sales up and more in US storage</t>
  </si>
  <si>
    <t>No Transit or Factory Storage, 672 In Production 60-100 days from Earliest Arrival</t>
  </si>
  <si>
    <t>6/21 to 6/27</t>
  </si>
  <si>
    <t>| S210702  - 400 units 08/25</t>
  </si>
  <si>
    <t>6/28 to 7/4</t>
  </si>
  <si>
    <t>Increasing min to 15.99</t>
  </si>
  <si>
    <t>| S210707  - 672 units 08/31</t>
  </si>
  <si>
    <t>7/5 to 7/11</t>
  </si>
  <si>
    <t>Reaching out to IA to get US storage sent in</t>
  </si>
  <si>
    <t>| S210707  - 672 units 09/17</t>
  </si>
  <si>
    <t>7/12 to 7/18</t>
  </si>
  <si>
    <t>Continue with PPeak - having units sent in from US storage</t>
  </si>
  <si>
    <t>PL-IL-KCHB12X16-WH</t>
  </si>
  <si>
    <t xml:space="preserve">
AGL167: 32 - 02/20/21</t>
  </si>
  <si>
    <t>min $15.59</t>
  </si>
  <si>
    <t xml:space="preserve"> AGL167: 32 - 02/20/21</t>
  </si>
  <si>
    <t>maintain</t>
  </si>
  <si>
    <t>min $15.99</t>
  </si>
  <si>
    <t xml:space="preserve">:  -  :  -  AGL167: 32 - 02/20/21 #353: 496 - 03/01/21 :  -  :  -  :  -  :  -  :  -  :  - :  -  :  -  :  -  :  -  :  -  :  -  :  -  :  -  :  - </t>
  </si>
  <si>
    <t>min $14.49</t>
  </si>
  <si>
    <t xml:space="preserve"> | AGL167: 32 - 02/20/21 | #353: 544 - 03/02/21</t>
  </si>
  <si>
    <t xml:space="preserve"> | AGL167: 32 - 03/02/21 | #353-1: 128 - 03/06/21 | #353-2;SW: 416 - 03/16/21</t>
  </si>
  <si>
    <t>Out (more incoming from SW)</t>
  </si>
  <si>
    <t xml:space="preserve"> | #353-1: 128 - 03/11/21 | #353-2;SW: 416 - 03/21/21</t>
  </si>
  <si>
    <t xml:space="preserve"> | #353-1: 128 - 03/10/21 | #353-2;SW: 416 - 03/20/21</t>
  </si>
  <si>
    <t>Setting min to 14.99</t>
  </si>
  <si>
    <t>Enabled PPC (both $5 budgets)</t>
  </si>
  <si>
    <t>Optimizing PPC and increasing min to 15.99</t>
  </si>
  <si>
    <t xml:space="preserve">Optimizing PPC  </t>
  </si>
  <si>
    <t>Optimizing PPC (SW shipment should be in soon)</t>
  </si>
  <si>
    <t>Pausing PPC</t>
  </si>
  <si>
    <t>13.99-27.99</t>
  </si>
  <si>
    <t>13.99-19.99 to improve velocity</t>
  </si>
  <si>
    <t xml:space="preserve"> | AGL 216: 128 - TBD</t>
  </si>
  <si>
    <t>Continue at 13.99-19.99 to get sales up</t>
  </si>
  <si>
    <t>Continue at 13.99-19.99 to get to target</t>
  </si>
  <si>
    <t xml:space="preserve"> | AGL216: 128 - TBD</t>
  </si>
  <si>
    <t>Continue with PPeak - sell through improving and margin/DOH good</t>
  </si>
  <si>
    <t xml:space="preserve"> | AGL216: 128 - 07/05/21</t>
  </si>
  <si>
    <t>Increasing min to 14.99</t>
  </si>
  <si>
    <t>Continue with PPeak (sales slowing since increasing min last week)</t>
  </si>
  <si>
    <t>| AGL216  - 128 units 08/09</t>
  </si>
  <si>
    <t>PL-IL-KCHB12X16-WHW</t>
  </si>
  <si>
    <t>no inventory coming, maintain</t>
  </si>
  <si>
    <t>min $18.99, target 2</t>
  </si>
  <si>
    <t xml:space="preserve">:  -  :  -  :  -  :  -  :  -  :  -  :  -  :  -  :  -  :  - :  -  :  -  :  -  :  -  :  -  :  -  :  -  :  -  :  - </t>
  </si>
  <si>
    <t>target 5, min $15.99</t>
  </si>
  <si>
    <t xml:space="preserve">:  -  :  -  :  -  #353: 224 - 03/01/21 :  -  :  -  :  -  :  -  :  -  :  - :  -  :  -  :  -  :  -  :  -  :  -  :  -  :  -  :  - </t>
  </si>
  <si>
    <t>price it $15.49, wait ppeak to update it based on velocity</t>
  </si>
  <si>
    <t xml:space="preserve"> | #353: 224 - 03/02/21</t>
  </si>
  <si>
    <t xml:space="preserve"> | #353-1: 112 - 03/06/21 | #353-2;SW: 112 - 03/16/21</t>
  </si>
  <si>
    <t xml:space="preserve">Continue with PPeak - 96 units coming from SW as of 2/11 </t>
  </si>
  <si>
    <t xml:space="preserve"> | #353-1: 112 - 03/11/21 | #353-2;SW: 112 - 03/21/21</t>
  </si>
  <si>
    <t>Increasing min to 16.50</t>
  </si>
  <si>
    <t xml:space="preserve"> | #353-1: 112 - 03/10/21 | #353-2;SW: 112 - 03/20/21</t>
  </si>
  <si>
    <t>Decreasing min to 15.99</t>
  </si>
  <si>
    <t>Dropping min to 14.99 (going to try this and see if velocity increases/profit increases, if it doesnt then im going to try a higher price with a coupon)</t>
  </si>
  <si>
    <t xml:space="preserve"> | AGL 216: 240 - TBD</t>
  </si>
  <si>
    <t xml:space="preserve"> | AGL216: 240 - TBD</t>
  </si>
  <si>
    <t>Continue with PPeak - sell through, margin, and DOH good</t>
  </si>
  <si>
    <t xml:space="preserve"> | AGL216: 240 - 07/05/21</t>
  </si>
  <si>
    <t>| AGL216  - 240 units 08/09</t>
  </si>
  <si>
    <t>| S210707  - 160 units 08/31| AGL216  - 240 units 08/09</t>
  </si>
  <si>
    <t>Decreasing min to 13.99</t>
  </si>
  <si>
    <t>| AGL216  - 240 units 08/09| S210707  - 160 units 09/17</t>
  </si>
  <si>
    <t>Increasing min back to 14.99</t>
  </si>
  <si>
    <t>PL-IL-KCHB18X22-BR</t>
  </si>
  <si>
    <t xml:space="preserve">
AGL166: 130 - 02/20/21</t>
  </si>
  <si>
    <t xml:space="preserve"> AGL166: 130 - 02/20/21</t>
  </si>
  <si>
    <t xml:space="preserve">:  -  AGL166: 130 - 02/20/21 :  -  :  -  :  -  :  -  :  -  :  -  :  -  :  - :  -  :  -  :  -  :  -  :  -  :  -  :  -  :  -  :  - </t>
  </si>
  <si>
    <t xml:space="preserve">:  -  AGL166: 130 - 02/26/21 :  -  :  -  :  -  :  -  :  -  :  -  :  -  :  - :  -  :  -  :  -  :  -  :  -  :  -  :  -  :  -  :  - </t>
  </si>
  <si>
    <t xml:space="preserve"> | AGL166: 130 - 03/02/21</t>
  </si>
  <si>
    <t xml:space="preserve"> | AGL166: 130 - 03/07/21</t>
  </si>
  <si>
    <t>AGL166: 130 - 03/07/21</t>
  </si>
  <si>
    <t>AGL166: 130 - 03/18/21</t>
  </si>
  <si>
    <t>AGL166: 130 - 03/13/21</t>
  </si>
  <si>
    <t>Reconnected PPeak 23.99-29.99</t>
  </si>
  <si>
    <t>UsSmallOversize</t>
  </si>
  <si>
    <t>Decreasing min to 22.99</t>
  </si>
  <si>
    <t>Increasing min to 24.99</t>
  </si>
  <si>
    <t>25.99-31.99</t>
  </si>
  <si>
    <t xml:space="preserve"> | AGL 195: 170 - 06/12/21</t>
  </si>
  <si>
    <t>23.99-29.99 to improve sell through</t>
  </si>
  <si>
    <t xml:space="preserve"> | AGL 195: 170 - TBD</t>
  </si>
  <si>
    <t>Continue with PPeak since restock is about to hit</t>
  </si>
  <si>
    <t xml:space="preserve"> | AGL195: 170 - 06/18/21</t>
  </si>
  <si>
    <t>Out</t>
  </si>
  <si>
    <t>| AGL195  - 170 units 06/26</t>
  </si>
  <si>
    <t>23.99-29.99</t>
  </si>
  <si>
    <t>No Transit, But 442 At Factory 50-75 days from Earliest Arrival</t>
  </si>
  <si>
    <t>PL-IL-KCHB18X22-GR</t>
  </si>
  <si>
    <t>AGL166: 130 - 03/07/21 | #368: 60 - TBD</t>
  </si>
  <si>
    <t>AGL166: 130 - 03/18/21 | #368: 60 - TBD</t>
  </si>
  <si>
    <t>AGL166: 130 - 03/13/21 | #368: 60 - 04/17/21</t>
  </si>
  <si>
    <t>Reconnected PPeak 23.99-29.99 - enabled auto PPC</t>
  </si>
  <si>
    <t xml:space="preserve"> | #368: 60 - 04/17/21</t>
  </si>
  <si>
    <t>Auto PPC was waste - enabling manual</t>
  </si>
  <si>
    <t>Optimizing PPC</t>
  </si>
  <si>
    <t xml:space="preserve"> | #368: 60 - 04/13/21</t>
  </si>
  <si>
    <t>Optimizing PPC dropping min to 22.99</t>
  </si>
  <si>
    <t xml:space="preserve"> | #368: 60 - </t>
  </si>
  <si>
    <t>Maintain</t>
  </si>
  <si>
    <t>21.99-29.99</t>
  </si>
  <si>
    <t>Pausing PPeak and setting to 19.99 to get DOH down and sell through up</t>
  </si>
  <si>
    <t>Continue with price scheduling at 19.99 to improve sell through and DOH</t>
  </si>
  <si>
    <t>Sales improving but not quick enough - adding a $1 off coupon</t>
  </si>
  <si>
    <t>Maintain - sales increasing and DOH reasonable</t>
  </si>
  <si>
    <t>Disabling price scheduling</t>
  </si>
  <si>
    <t>Price scheduling again at 19.99</t>
  </si>
  <si>
    <t>No Transit, But 199 At Factory 50-75 days from Earliest Arrival</t>
  </si>
  <si>
    <t>Continue with price scheduling at 19.99 to improve DOH</t>
  </si>
  <si>
    <t>Continue with price scheduling - sales probably down due to holiday</t>
  </si>
  <si>
    <t>PPeak 23.99-29.99</t>
  </si>
  <si>
    <t>PL-IL-KCHB18X22-WH</t>
  </si>
  <si>
    <t xml:space="preserve">
AGL166: 120 - 02/20/21</t>
  </si>
  <si>
    <t xml:space="preserve"> AGL166: 120 - 02/20/21</t>
  </si>
  <si>
    <t xml:space="preserve">:  -  AGL166: 120 - 02/20/21 :  -  :  -  :  -  :  -  :  -  :  -  :  -  :  - :  -  :  -  :  -  :  -  :  -  :  -  :  -  :  -  :  - </t>
  </si>
  <si>
    <t xml:space="preserve">:  -  AGL166: 120 - 02/26/21 :  -  :  -  :  -  :  -  :  -  :  -  :  -  :  - :  -  :  -  :  -  :  -  :  -  :  -  :  -  :  -  :  - </t>
  </si>
  <si>
    <t xml:space="preserve"> | AGL166: 120 - 03/02/21</t>
  </si>
  <si>
    <t xml:space="preserve"> | AGL166: 120 - 03/07/21</t>
  </si>
  <si>
    <t>AGL166: 120 - 03/07/21</t>
  </si>
  <si>
    <t>AGL166: 120 - 03/18/21</t>
  </si>
  <si>
    <t>AGL166: 120 - 03/13/21</t>
  </si>
  <si>
    <t>Enabled manual PPC with $5 budget</t>
  </si>
  <si>
    <t>Pausing PPC and decreasing min to 22.99</t>
  </si>
  <si>
    <t>Continue with price scheduling at 19.99 to improve sell through</t>
  </si>
  <si>
    <t>Increasing to 21.99 to improve margin</t>
  </si>
  <si>
    <t>Maintain at 21.99</t>
  </si>
  <si>
    <t>Maintain at 21.99 to sell through</t>
  </si>
  <si>
    <t>No Transit, But 244 At Factory 50-75 days from Earliest Arrival</t>
  </si>
  <si>
    <t>PPeak 27.99-31.99</t>
  </si>
  <si>
    <t>PPeak 28.99-35.99</t>
  </si>
  <si>
    <t>PL-IL-KCHB20X30-BR</t>
  </si>
  <si>
    <t>AGL166: 130 - 03/07/21 | #368: 112 - TBD</t>
  </si>
  <si>
    <t>AGL166: 130 - 03/18/21 | #368: 112 - TBD</t>
  </si>
  <si>
    <t>AGL166: 130 - 03/13/21 | #368: 112 - 04/17/21</t>
  </si>
  <si>
    <t>Reconnected PPeak 27.99-35.99</t>
  </si>
  <si>
    <t xml:space="preserve"> | #368: 70 - 04/17/21</t>
  </si>
  <si>
    <t xml:space="preserve"> | #368: 70 - 04/13/21</t>
  </si>
  <si>
    <t xml:space="preserve"> | #368: 70 - </t>
  </si>
  <si>
    <t>Optimizing PPC and increasing min to 28.99</t>
  </si>
  <si>
    <t>Pausing PPC increasing PPeak to 29.99-35.99</t>
  </si>
  <si>
    <t>29.99-35.99</t>
  </si>
  <si>
    <t>27.99-35.99 to get sell through up</t>
  </si>
  <si>
    <t>28.99-35.99 to get some more $$$ out of last units</t>
  </si>
  <si>
    <t>| AGL256 Going To 3PL - 57 units 08/17</t>
  </si>
  <si>
    <t>| AGL256 Going To 3PL - 57 units 08/25</t>
  </si>
  <si>
    <t>| AGL256 Going To 3PL - 57 units 08/31</t>
  </si>
  <si>
    <t>| AGL256 Deliverr - 57 units 09/17</t>
  </si>
  <si>
    <t>PL-IL-KCHB20X30-GR</t>
  </si>
  <si>
    <t xml:space="preserve">
AGL166: 100 - 02/20/21</t>
  </si>
  <si>
    <t xml:space="preserve"> AGL166: 100 - 02/20/21</t>
  </si>
  <si>
    <t xml:space="preserve">:  -  AGL166: 100 - 02/20/21 :  -  :  -  :  -  :  -  :  -  :  -  :  -  :  - :  -  :  -  :  -  :  -  :  -  :  -  :  -  :  -  :  - </t>
  </si>
  <si>
    <t xml:space="preserve">:  -  AGL166: 100 - 02/26/21 :  -  :  -  :  -  :  -  :  -  :  -  :  -  :  - :  -  :  -  :  -  :  -  :  -  :  -  :  -  :  -  :  - </t>
  </si>
  <si>
    <t xml:space="preserve"> | AGL166: 100 - 03/02/21</t>
  </si>
  <si>
    <t xml:space="preserve"> | AGL166: 100 - 03/07/21</t>
  </si>
  <si>
    <t>AGL166: 100 - 03/07/21</t>
  </si>
  <si>
    <t>AGL166: 100 - 03/07/21 | #368: 26 - TBD</t>
  </si>
  <si>
    <t>AGL166: 100 - 03/18/21 | #368: 26 - TBD</t>
  </si>
  <si>
    <t>AGL166: 100 - 03/13/21 | #368: 26 - 04/17/21</t>
  </si>
  <si>
    <t>Reconnected PPeak 27.99-35.99 - enabled auto PPC</t>
  </si>
  <si>
    <t xml:space="preserve"> | #368: 26 - 04/17/21</t>
  </si>
  <si>
    <t xml:space="preserve"> | #368: 26 - 04/13/21</t>
  </si>
  <si>
    <t>Pausing PPC - adding a $1 off coupon</t>
  </si>
  <si>
    <t xml:space="preserve"> | #368: 26 - </t>
  </si>
  <si>
    <t>Lowering min to 26.99</t>
  </si>
  <si>
    <t>Pausing PPeak and setting to 25.99 to get DOH down and sell through up</t>
  </si>
  <si>
    <t>Continue price scheduling at 25.99 to improve sell through and DOH</t>
  </si>
  <si>
    <t>Price scheduling more than doubled sales WoW - maintain</t>
  </si>
  <si>
    <t>Replacement sent out? Continue with price scheduling at 25.99 to get sell through up</t>
  </si>
  <si>
    <t>Pausing PPC (waste)</t>
  </si>
  <si>
    <t>Continue at 25.99</t>
  </si>
  <si>
    <t>No Transit, But 162 At Factory 50-75 days from Earliest Arrival</t>
  </si>
  <si>
    <t>PPeak 27.99-35.99</t>
  </si>
  <si>
    <t>PPeak 29.99-35.99</t>
  </si>
  <si>
    <t>PPeak 31.99-37.99</t>
  </si>
  <si>
    <t>PL-IL-KCHB20X30-WH</t>
  </si>
  <si>
    <t>AGL166: 100 - 03/07/21 | #368: 23 - TBD</t>
  </si>
  <si>
    <t>AGL166: 100 - 03/18/21 | #368: 23 - TBD</t>
  </si>
  <si>
    <t>AGL166: 100 - 03/13/21 | #368: 23 - 04/17/21</t>
  </si>
  <si>
    <t xml:space="preserve"> | #368: 23 - 04/17/21</t>
  </si>
  <si>
    <t>Continue with PPeak (should get increased sessions next week with other SKU PPC)</t>
  </si>
  <si>
    <t xml:space="preserve"> | #368: 23 - 04/13/21</t>
  </si>
  <si>
    <t xml:space="preserve"> | #368: 23 - </t>
  </si>
  <si>
    <t>Increasing min to 28.99</t>
  </si>
  <si>
    <t>29.99-35.99 (replacement sent)</t>
  </si>
  <si>
    <t>Maintin at 27.99-35.99 to sell through last units</t>
  </si>
  <si>
    <t>Increasing min to 28.99 to get margin up</t>
  </si>
  <si>
    <t>No Transit, But 170 At Factory 50-75 days from Earliest Arrival</t>
  </si>
  <si>
    <t>PL-IL-MB21X30-BK-FN</t>
  </si>
  <si>
    <t>Out - restock tomorrow</t>
  </si>
  <si>
    <t>AGL154: 28 - 01/28/21</t>
  </si>
  <si>
    <t>Added SKU back onto PPeak 37.99-47.99</t>
  </si>
  <si>
    <t>Decreased min to 35.99</t>
  </si>
  <si>
    <t xml:space="preserve">AGL154: 28 - 01/28/21 :  -  :  -  :  -  :  -  :  -  :  -  :  -  :  -  :  - :  -  :  -  :  -  :  -  :  -  :  -  :  -  :  -  :  - </t>
  </si>
  <si>
    <t>Increased min to 37.99</t>
  </si>
  <si>
    <t>AGL154: 28 - 02/15/21</t>
  </si>
  <si>
    <t>Increased min to 38.99</t>
  </si>
  <si>
    <t>AGL154: 28 - 03/04/21</t>
  </si>
  <si>
    <t>Increased min to 39.99</t>
  </si>
  <si>
    <t>Increasing PPeak 41.99-49.99</t>
  </si>
  <si>
    <t>Increased min to 43.99</t>
  </si>
  <si>
    <t>1 unit left - maintain</t>
  </si>
  <si>
    <t>Out (closed)</t>
  </si>
  <si>
    <t xml:space="preserve"> | AGL 195: 200 - 06/12/21</t>
  </si>
  <si>
    <t xml:space="preserve"> | AGL 195: 200 - TBD</t>
  </si>
  <si>
    <t xml:space="preserve"> | AGL195: 200 - 06/18/21</t>
  </si>
  <si>
    <t xml:space="preserve"> | AGL195: 200 - 06/18/21 | AGL229: 100 - 08/23/21</t>
  </si>
  <si>
    <t>| AGL256 Going To 3PL - 57 units 08/17| AGL195  - 200 units 06/26| AGL229  - 100 units 08/23</t>
  </si>
  <si>
    <t>| AGL256 Going To 3PL - 57 units 08/25| AGL195  - 200 units 06/26| AGL229  - 100 units 08/23</t>
  </si>
  <si>
    <t>| AGL256 Going To 3PL - 57 units 08/31| AGL195  - 200 units 06/26| AGL229  - 100 units 08/23</t>
  </si>
  <si>
    <t>37.99-49.99</t>
  </si>
  <si>
    <t>| AGL229  - 100 units 08/22| AGL256 Deliverr - 57 units 09/17</t>
  </si>
  <si>
    <t>41.99-49.99</t>
  </si>
  <si>
    <t>PL-IL-MB21X30-CHR-FN</t>
  </si>
  <si>
    <t xml:space="preserve">
AGL166: 40 - 02/20/21</t>
  </si>
  <si>
    <t xml:space="preserve"> AGL166: 40 - 02/20/21</t>
  </si>
  <si>
    <t xml:space="preserve">:  -  AGL166: 40 - 02/20/21 :  -  :  -  :  -  :  -  :  -  :  -  :  -  :  - :  -  :  -  :  -  :  -  :  -  :  -  :  -  :  -  :  - </t>
  </si>
  <si>
    <t>Increased min to 36.99</t>
  </si>
  <si>
    <t xml:space="preserve">:  -  AGL166: 40 - 02/26/21 :  -  :  -  :  -  :  -  :  -  :  -  :  -  :  - :  -  :  -  :  -  :  -  :  -  :  -  :  -  :  -  :  - </t>
  </si>
  <si>
    <t xml:space="preserve"> | AGL166: 23 - 03/02/21</t>
  </si>
  <si>
    <t xml:space="preserve"> | AGL166: 23 - 03/07/21</t>
  </si>
  <si>
    <t>Increased min to 40.99</t>
  </si>
  <si>
    <t>AGL166: 23 - 03/07/21</t>
  </si>
  <si>
    <t>Increasing PPeak 42.99-49.99</t>
  </si>
  <si>
    <t>AGL166: 23 - 03/18/21</t>
  </si>
  <si>
    <t>Increased min to 44.99</t>
  </si>
  <si>
    <t>AGL166: 23 - 03/13/21</t>
  </si>
  <si>
    <t>Increasing PPeak 45.99-51.99</t>
  </si>
  <si>
    <t>Increasing PPeak 49.99-53.99</t>
  </si>
  <si>
    <t>2 units left - maintain</t>
  </si>
  <si>
    <t xml:space="preserve"> | AGL 195: 213 - 06/12/21</t>
  </si>
  <si>
    <t xml:space="preserve"> | AGL 195: 213 - TBD</t>
  </si>
  <si>
    <t xml:space="preserve"> | AGL195: 213 - 06/18/21</t>
  </si>
  <si>
    <t xml:space="preserve"> | AGL195: 213 - 06/18/21 | AGL229: 120 - 08/23/21</t>
  </si>
  <si>
    <t>| AGL256 Going To 3PL - 59 units 08/17| AGL195  - 213 units 06/26| AGL229  - 120 units 08/23</t>
  </si>
  <si>
    <t>| AGL256 Going To 3PL - 59 units 08/25| AGL195  - 213 units 06/26| AGL229  - 120 units 08/23</t>
  </si>
  <si>
    <t>| AGL256 Going To 3PL - 59 units 08/31| AGL195  - 213 units 06/26| AGL229  - 120 units 08/23</t>
  </si>
  <si>
    <t>39.99-49.99</t>
  </si>
  <si>
    <t>| AGL229  - 120 units 08/22| AGL256 Deliverr - 59 units 09/17</t>
  </si>
  <si>
    <t>43.99-49.99</t>
  </si>
  <si>
    <t>PL-IL-MB21X30-OAK-FN</t>
  </si>
  <si>
    <t>AGL154: 22 - 01/28/21</t>
  </si>
  <si>
    <t>Decreased min to 35.99 and enabled PPC</t>
  </si>
  <si>
    <t>Optimizing PPC (decreased budget)</t>
  </si>
  <si>
    <t>AGL154: 22 - 02/15/21</t>
  </si>
  <si>
    <t>Increased min to 38.99 and optimizing PPC</t>
  </si>
  <si>
    <t>AGL154: 22 - 03/04/21</t>
  </si>
  <si>
    <t>Trimming PPC</t>
  </si>
  <si>
    <t>Pausing PPC and lowering min to 37.99</t>
  </si>
  <si>
    <t>Increasing min to 39.99</t>
  </si>
  <si>
    <t>Increasing min to 41.99</t>
  </si>
  <si>
    <t>Increasing min to 47.99</t>
  </si>
  <si>
    <t xml:space="preserve"> | AGL229: 100 - 08/23/21</t>
  </si>
  <si>
    <t>| AGL229  - 100 units 08/23</t>
  </si>
  <si>
    <t>| AGL229  - 100 units 08/22</t>
  </si>
  <si>
    <t>PL-IL-MB21X30-WH-FN</t>
  </si>
  <si>
    <t>2 left with restock tomorrow - maintain</t>
  </si>
  <si>
    <t xml:space="preserve">
AGL166: 30 - 02/20/21</t>
  </si>
  <si>
    <t xml:space="preserve"> AGL166: 30 - 02/20/21</t>
  </si>
  <si>
    <t xml:space="preserve"> | AGL166: 30 - 03/02/21</t>
  </si>
  <si>
    <t>Increasing min to 38.99</t>
  </si>
  <si>
    <t xml:space="preserve"> | AGL166: 30 - 03/07/21</t>
  </si>
  <si>
    <t>AGL166: 30 - 03/07/21</t>
  </si>
  <si>
    <t>AGL166: 30 - 03/07/21 | #368: 81 - TBD</t>
  </si>
  <si>
    <t>AGL166: 30 - 03/18/21 | #368: 81 - TBD</t>
  </si>
  <si>
    <t>AGL166: 30 - 03/13/21 | #368: 81 - 04/17/21</t>
  </si>
  <si>
    <t xml:space="preserve"> | #368: 81 - 04/17/21</t>
  </si>
  <si>
    <t>Increasing PPeak to 47.99-53.99</t>
  </si>
  <si>
    <t xml:space="preserve"> | #368: 81 - 04/13/21</t>
  </si>
  <si>
    <t xml:space="preserve"> | #368: 81 - </t>
  </si>
  <si>
    <t>51.99-57.99</t>
  </si>
  <si>
    <t>49.99-57.99 to get sell through up</t>
  </si>
  <si>
    <t>47.99-57.99 to get sales back up</t>
  </si>
  <si>
    <t>| AGL256 Going To 3PL - 88 units 08/17</t>
  </si>
  <si>
    <t>| AGL256 Going To 3PL - 88 units 08/25</t>
  </si>
  <si>
    <t>| AGL256 Going To 3PL - 88 units 08/31</t>
  </si>
  <si>
    <t>| AGL256 Deliverr - 88 units 09/17</t>
  </si>
  <si>
    <t>PL-IL-MB21X30-WHT-FN</t>
  </si>
  <si>
    <t>AGL154: 40 - 01/28/21
AGL166: 14 - 02/20/21</t>
  </si>
  <si>
    <t>AGL154: 40 - 01/28/21 AGL166: 14 - 02/20/21</t>
  </si>
  <si>
    <t xml:space="preserve">AGL154: 40 - 01/28/21 AGL166: 14 - 02/20/21 :  -  :  -  :  -  :  -  :  -  :  -  :  -  :  - :  -  :  -  :  -  :  -  :  -  :  -  :  -  :  -  :  - </t>
  </si>
  <si>
    <t xml:space="preserve">AGL154: 40 - 01/28/21 AGL166: 14 - 02/26/21 :  -  :  -  :  -  :  -  :  -  :  -  :  -  :  - :  -  :  -  :  -  :  -  :  -  :  -  :  -  :  -  :  - </t>
  </si>
  <si>
    <t>AGL154: 40 - 02/15/21 | AGL166: 14 - 03/02/21</t>
  </si>
  <si>
    <t>AGL154: 40 - 03/04/21 | AGL166: 14 - 03/07/21</t>
  </si>
  <si>
    <t>AGL166: 14 - 03/07/21</t>
  </si>
  <si>
    <t>AGL166: 14 - 03/07/21 | #368: 22 - TBD</t>
  </si>
  <si>
    <t>AGL166: 14 - 03/18/21 | #368: 22 - TBD</t>
  </si>
  <si>
    <t>Increasing PPeak to 43.99</t>
  </si>
  <si>
    <t>AGL166: 14 - 03/13/21 | #368: 22 - 04/17/21</t>
  </si>
  <si>
    <t xml:space="preserve"> | #368: 22 - 04/17/21</t>
  </si>
  <si>
    <t>Increasing PPeak 47.99-53.99</t>
  </si>
  <si>
    <t>Increasing min to 49.99</t>
  </si>
  <si>
    <t xml:space="preserve"> | #368: 22 - 04/13/21</t>
  </si>
  <si>
    <t>Increasing PPeak 50.99-55.99</t>
  </si>
  <si>
    <t>PPeak 52.99-57.99</t>
  </si>
  <si>
    <t>| AGL256 Going To 3PL - 120 units 08/17</t>
  </si>
  <si>
    <t>| AGL256 Going To 3PL - 120 units 08/25</t>
  </si>
  <si>
    <t>| AGL256 Going To 3PL - 120 units 08/31</t>
  </si>
  <si>
    <t>| AGL256 Deliverr - 120 units 09/17</t>
  </si>
  <si>
    <t>PL-IL-MB-BK</t>
  </si>
  <si>
    <t>Decreasing min to 45.99</t>
  </si>
  <si>
    <t>AGL154: 200 - 01/28/21</t>
  </si>
  <si>
    <t xml:space="preserve">AGL154: 200 - 01/28/21 :  -  :  -  :  -  :  -  :  -  :  -  :  -  :  -  :  - :  -  :  -  :  -  :  -  :  -  :  -  :  -  :  -  :  - </t>
  </si>
  <si>
    <t>Increasing min to 46.99</t>
  </si>
  <si>
    <t xml:space="preserve">AGL154: 200 - 01/28/21 :  -  :  -  :  -  #353;SW: 399 - 03/01/21 :  -  :  -  :  -  :  -  :  - :  -  :  -  :  -  :  -  :  -  :  -  :  -  :  -  :  - </t>
  </si>
  <si>
    <t>AGL154: 200 - 02/15/21 | #353-3;SW: 399 - 03/08/21</t>
  </si>
  <si>
    <t>Increasing min to 48.99</t>
  </si>
  <si>
    <t>AGL154: 200 - 03/04/21 | #353-3;SW: 399 - 03/16/21</t>
  </si>
  <si>
    <t xml:space="preserve"> | #353-3;SW: 399 - 03/21/21</t>
  </si>
  <si>
    <t xml:space="preserve"> | #353-3;SW: 399 - 03/20/21</t>
  </si>
  <si>
    <t>Increasing PPeak 51.99-59.99</t>
  </si>
  <si>
    <t>Increasing min to 53.99</t>
  </si>
  <si>
    <t xml:space="preserve"> | #353-3;SW: 399 - 03/21/21 | #386: 326 - TBD</t>
  </si>
  <si>
    <t>Increasing PPeak 55.99-61.99</t>
  </si>
  <si>
    <t xml:space="preserve"> | #368: 230 - 04/17/21 | #386: 326 - 04/10/21</t>
  </si>
  <si>
    <t xml:space="preserve"> | #368: 230 - 04/17/21 | #386: 326 - 05/01/21</t>
  </si>
  <si>
    <t xml:space="preserve"> | #368: 230 - 04/13/21 | #386: 326 - 05/01/21</t>
  </si>
  <si>
    <t>PPeak 58.99-65.99</t>
  </si>
  <si>
    <t xml:space="preserve"> | #368: 230 -  | #386: 326 - 05/05/21</t>
  </si>
  <si>
    <t>59.99-69.99</t>
  </si>
  <si>
    <t xml:space="preserve"> | #386: 326 - 05/05/21</t>
  </si>
  <si>
    <t>61.99-69.99</t>
  </si>
  <si>
    <t xml:space="preserve"> | #386: 326 - 05/02/21</t>
  </si>
  <si>
    <t>65.99-71.99</t>
  </si>
  <si>
    <t>#386: 326 - 05/02/21</t>
  </si>
  <si>
    <t>67.99-75.99</t>
  </si>
  <si>
    <t>#386: 326 - 05/02/21 | AGL 195: 4 - 06/12/21</t>
  </si>
  <si>
    <t xml:space="preserve"> | AGL 195: 4 - TBD</t>
  </si>
  <si>
    <t>59.99-69.99 to get sales back up since restock</t>
  </si>
  <si>
    <t>55.99-65.99 to get sales back up</t>
  </si>
  <si>
    <t xml:space="preserve"> | AGL195: 4 - 06/18/21</t>
  </si>
  <si>
    <t>52.99-59.99 - sessions increasing but units in transfer</t>
  </si>
  <si>
    <t xml:space="preserve"> | AGL195: 4 - 06/18/21 | AGL229: 300 - 08/23/21</t>
  </si>
  <si>
    <t>More qty than showing - maintain</t>
  </si>
  <si>
    <t>69.99-75.99</t>
  </si>
  <si>
    <t>| AGL271  - 345 units 08/17| AGL195  - 4 units 06/26| AGL229  - 300 units 08/23</t>
  </si>
  <si>
    <t>71.99-79.99</t>
  </si>
  <si>
    <t>| AGL271  - 345 units 08/25| AGL195  - 4 units 06/26| AGL229  - 300 units 08/23</t>
  </si>
  <si>
    <t>| AGL271  - 345 units 08/31| AGL195  - 4 units 06/26| AGL229  - 300 units 08/23</t>
  </si>
  <si>
    <t>| AGL229  - 300 units 08/22| AGL271  - 345 units 08/23</t>
  </si>
  <si>
    <t>PL-IL-MB-CHR</t>
  </si>
  <si>
    <t>Increasing min to 55.99</t>
  </si>
  <si>
    <t xml:space="preserve">Increasing PPC budget </t>
  </si>
  <si>
    <t xml:space="preserve">AGL154: 600 - 01/28/21 AGL166: 400 - 02/20/21 :  -  :  -  :  -  :  -  :  -  :  -  :  -  :  - :  -  :  -  :  -  :  -  :  -  :  -  :  -  :  -  :  - </t>
  </si>
  <si>
    <t>Decreasing min to 53.99</t>
  </si>
  <si>
    <t xml:space="preserve">AGL154: 600 - 01/28/21 AGL166: 400 - 02/26/21 :  -  :  -  :  -  :  -  :  -  :  -  :  -  :  - :  -  :  -  :  -  :  -  :  -  :  -  :  -  :  -  :  - </t>
  </si>
  <si>
    <t>AGL154: 600 - 02/15/21 | AGL166: 400 - 03/02/21</t>
  </si>
  <si>
    <t>AGL154: 600 - 03/04/21 | AGL166: 400 - 03/07/21</t>
  </si>
  <si>
    <t>AGL166: 400 - 03/07/21</t>
  </si>
  <si>
    <t>AGL166: 400 - 03/18/21</t>
  </si>
  <si>
    <t>Increasing min to 57.99 and pausing PPC</t>
  </si>
  <si>
    <t>AGL166: 400 - 03/13/21 | #386: 342 - TBD</t>
  </si>
  <si>
    <t xml:space="preserve"> | #368: 620 - 04/17/21 | #386: 342 - 04/10/21</t>
  </si>
  <si>
    <t xml:space="preserve"> | #368: 620 - 04/17/21 | #386: 464 - 05/01/21</t>
  </si>
  <si>
    <t xml:space="preserve"> | #368: 620 - 04/13/21 | #386: 464 - 05/01/21</t>
  </si>
  <si>
    <t xml:space="preserve"> | #368: 620 -  | #386: 464 - 05/05/21</t>
  </si>
  <si>
    <t xml:space="preserve"> | #386: 464 - 05/05/21</t>
  </si>
  <si>
    <t xml:space="preserve"> | #386: 464 - 05/02/21</t>
  </si>
  <si>
    <t>#386: 464 - 05/02/21</t>
  </si>
  <si>
    <t>#386: 464 - 05/02/21 | AGL 195: 61 - 06/12/21</t>
  </si>
  <si>
    <t xml:space="preserve"> | AGL 195: 61 - TBD</t>
  </si>
  <si>
    <t>55.99-65.99 and turning on PPC to get sales back up</t>
  </si>
  <si>
    <t xml:space="preserve"> | AGL195: 61 - 06/18/21</t>
  </si>
  <si>
    <t>Sales increasing - continue with PPeak (units in transfer)</t>
  </si>
  <si>
    <t xml:space="preserve"> | AGL195: 61 - 06/18/21 | AGL229: 700 - 08/23/21</t>
  </si>
  <si>
    <t xml:space="preserve">Increasing min to 59.99 </t>
  </si>
  <si>
    <t>| AGL271  - 500 units 08/17| AGL195  - 61 units 06/26| AGL229  - 700 units 08/23</t>
  </si>
  <si>
    <t>| AGL271  - 500 units 08/25| AGL195  - 61 units 06/26| AGL229  - 700 units 08/23</t>
  </si>
  <si>
    <t>| AGL271  - 500 units 08/31| AGL195  - 61 units 06/26| AGL229  - 700 units 08/23</t>
  </si>
  <si>
    <t>| AGL229  - 700 units 08/22| AGL271  - 500 units 08/23</t>
  </si>
  <si>
    <t>PL-IL-MB-DIY</t>
  </si>
  <si>
    <t xml:space="preserve">
AGL166: 70 - 02/20/21</t>
  </si>
  <si>
    <t xml:space="preserve"> AGL166: 70 - 02/20/21</t>
  </si>
  <si>
    <t xml:space="preserve">:  -  AGL166: 70 - 02/20/21 :  -  :  -  :  -  :  -  :  -  :  -  :  -  :  - :  -  :  -  :  -  :  -  :  -  :  -  :  -  :  -  :  - </t>
  </si>
  <si>
    <t xml:space="preserve">:  -  AGL166: 70 - 02/26/21 :  -  :  -  :  -  :  -  :  -  :  -  :  -  :  - :  -  :  -  :  -  :  -  :  -  :  -  :  -  :  -  :  - </t>
  </si>
  <si>
    <t xml:space="preserve"> | AGL166: 70 - 03/02/21</t>
  </si>
  <si>
    <t xml:space="preserve"> | AGL166: 70 - 03/07/21</t>
  </si>
  <si>
    <t>AGL166: 70 - 03/07/21</t>
  </si>
  <si>
    <t>AGL166: 70 - 03/07/21 | #368: 12 - TBD</t>
  </si>
  <si>
    <t>AGL166: 70 - 03/18/21 | #368: 12 - TBD</t>
  </si>
  <si>
    <t>AGL166: 70 - 03/13/21 | #368: 12 - 04/17/21 | #386: 85 - TBD</t>
  </si>
  <si>
    <t xml:space="preserve">Reconnected to PPeak </t>
  </si>
  <si>
    <t xml:space="preserve"> | #368: 12 - 04/17/21 | #386: 85 - 04/10/21</t>
  </si>
  <si>
    <t>Increased min to 51.99</t>
  </si>
  <si>
    <t xml:space="preserve"> | #368: 12 - 04/17/21 | #386: 87 - 05/01/21</t>
  </si>
  <si>
    <t xml:space="preserve"> | #368: 12 - 04/13/21 | #386: 87 - 05/01/21</t>
  </si>
  <si>
    <t xml:space="preserve"> | #368: 12 -  | #386: 87 - 05/05/21</t>
  </si>
  <si>
    <t xml:space="preserve"> | #386: 87 - 05/05/21</t>
  </si>
  <si>
    <t>53.99-59.99</t>
  </si>
  <si>
    <t xml:space="preserve"> | #386: 87 - 05/02/21</t>
  </si>
  <si>
    <t>55.99-61.99</t>
  </si>
  <si>
    <t>#386: 87 - 05/02/21</t>
  </si>
  <si>
    <t>55.99-61.99 to get sales back up since restock</t>
  </si>
  <si>
    <t>49.99-59.99 to get sales back up</t>
  </si>
  <si>
    <t>All units in reserved (transfer)</t>
  </si>
  <si>
    <t>Units available now - getting rid of target in PPeak so price can drop</t>
  </si>
  <si>
    <t>64.99-71.99</t>
  </si>
  <si>
    <t>66.99-75.99</t>
  </si>
  <si>
    <t>Maintain for now (wondering if low sales was from holiday or if they for some reason werent available)</t>
  </si>
  <si>
    <t>Increasing min to 68.99</t>
  </si>
  <si>
    <t>PL-IL-MB-OAK</t>
  </si>
  <si>
    <t>AGL154: 177 - 01/28/21</t>
  </si>
  <si>
    <t xml:space="preserve">AGL154: 177 - 01/28/21 :  -  :  -  :  -  :  -  :  -  :  -  :  -  :  -  :  - :  -  :  -  :  -  :  -  :  -  :  -  :  -  :  -  :  - </t>
  </si>
  <si>
    <t>AGL154: 177 - 02/15/21</t>
  </si>
  <si>
    <t>AGL154: 177 - 03/04/21</t>
  </si>
  <si>
    <t>Increasing min to 51.99</t>
  </si>
  <si>
    <t xml:space="preserve"> | #386: 292 - TBD</t>
  </si>
  <si>
    <t>Increasing PPeak 56.99-63.99</t>
  </si>
  <si>
    <t xml:space="preserve"> | #386: 292 - 04/10/21</t>
  </si>
  <si>
    <t>Increasing PPeak 57.99-65.99</t>
  </si>
  <si>
    <t xml:space="preserve"> | #386: 292 - 05/01/21</t>
  </si>
  <si>
    <t>Increasing min to 59.99</t>
  </si>
  <si>
    <t>Increasing min to 61.99</t>
  </si>
  <si>
    <t>PPeak 63.99-67.99</t>
  </si>
  <si>
    <t xml:space="preserve"> | #386: 292 - 05/05/21</t>
  </si>
  <si>
    <t xml:space="preserve"> | #386: 292 - 05/02/21</t>
  </si>
  <si>
    <t>#386: 292 - 05/02/21</t>
  </si>
  <si>
    <t>#386: 292 - 05/02/21 | AGL 195: 2 - 06/12/21</t>
  </si>
  <si>
    <t>59.99-69.99 to get these moving again</t>
  </si>
  <si>
    <t xml:space="preserve"> | AGL 195: 2 - TBD</t>
  </si>
  <si>
    <t>57.99-67.99 to get sales back up since restock</t>
  </si>
  <si>
    <t xml:space="preserve"> | AGL195: 2 - 06/18/21</t>
  </si>
  <si>
    <t>Continue with PPeak - good DOH and sell through</t>
  </si>
  <si>
    <t xml:space="preserve"> | AGL195: 2 - 06/18/21 | AGL229: 180 - 08/23/21</t>
  </si>
  <si>
    <t>| AGL195  - 2 units 06/26| AGL229  - 180 units 08/23</t>
  </si>
  <si>
    <t>Increasing min to 71.99</t>
  </si>
  <si>
    <t>| AGL229  - 180 units 08/22</t>
  </si>
  <si>
    <t>PL-IL-MB-SGE</t>
  </si>
  <si>
    <t>Decreasing min to 44.99</t>
  </si>
  <si>
    <t>Price scheduling at 44.99</t>
  </si>
  <si>
    <t xml:space="preserve">:  -  AGL166: 30 - 02/20/21 :  -  :  -  :  -  :  -  :  -  :  -  :  -  :  - :  -  :  -  :  -  :  -  :  -  :  -  :  -  :  -  :  - </t>
  </si>
  <si>
    <t>Continue price scheduling</t>
  </si>
  <si>
    <t xml:space="preserve">:  -  AGL166: 30 - 02/26/21 :  -  :  -  :  -  :  -  :  -  :  -  :  -  :  - :  -  :  -  :  -  :  -  :  -  :  -  :  -  :  -  :  - </t>
  </si>
  <si>
    <t>Discontinued price scheduling. PPeak min set at 45.99</t>
  </si>
  <si>
    <t>AGL166: 30 - 03/07/21 | #368: 18 - TBD</t>
  </si>
  <si>
    <t>AGL166: 30 - 03/18/21 | #368: 18 - TBD</t>
  </si>
  <si>
    <t>Increasing PPeak 52.99-59.99</t>
  </si>
  <si>
    <t>AGL166: 30 - 03/13/21 | #368: 18 - 04/17/21 | #386: 120 - TBD</t>
  </si>
  <si>
    <t>Increasing min to 54.99</t>
  </si>
  <si>
    <t xml:space="preserve"> | #368: 18 - 04/17/21 | #386: 120 - 04/10/21</t>
  </si>
  <si>
    <t xml:space="preserve"> | #368: 18 - 04/17/21 | #386: 120 - 05/01/21</t>
  </si>
  <si>
    <t>Increasing PPeak 57.99-61.99</t>
  </si>
  <si>
    <t xml:space="preserve"> | #368: 18 - 04/13/21 | #386: 120 - 05/01/21</t>
  </si>
  <si>
    <t>PPeak 59.99-65.99</t>
  </si>
  <si>
    <t xml:space="preserve"> | #368: 18 -  | #386: 120 - 05/05/21</t>
  </si>
  <si>
    <t xml:space="preserve"> | #386: 120 - 05/05/21</t>
  </si>
  <si>
    <t xml:space="preserve"> | #386: 120 - 05/02/21</t>
  </si>
  <si>
    <t>#386: 120 - 05/02/21</t>
  </si>
  <si>
    <t>Added a target to PPeak</t>
  </si>
  <si>
    <t>PL-IL-MB-TUQ</t>
  </si>
  <si>
    <t xml:space="preserve">
AGL166: 115 - 02/20/21</t>
  </si>
  <si>
    <t xml:space="preserve"> AGL166: 115 - 02/20/21</t>
  </si>
  <si>
    <t xml:space="preserve">:  -  AGL166: 115 - 02/20/21 :  -  :  -  :  -  :  -  :  -  :  -  :  -  :  - :  -  :  -  :  -  :  -  :  -  :  -  :  -  :  -  :  - </t>
  </si>
  <si>
    <t xml:space="preserve">:  -  AGL166: 115 - 02/26/21 :  -  :  -  #353;SW: 65 - 03/01/21 :  -  :  -  :  -  :  -  :  - :  -  :  -  :  -  :  -  :  -  :  -  :  -  :  -  :  - </t>
  </si>
  <si>
    <t>Increasing min to 52.99</t>
  </si>
  <si>
    <t xml:space="preserve"> | AGL166: 115 - 03/02/21 | #353-3;SW: 65 - 03/08/21</t>
  </si>
  <si>
    <t xml:space="preserve"> | AGL166: 115 - 03/07/21 | #353-3;SW: 65 - 03/16/21</t>
  </si>
  <si>
    <t>AGL166: 115 - 03/07/21 | #353-3;SW: 65 - 03/21/21</t>
  </si>
  <si>
    <t>AGL166: 115 - 03/07/21 | #353-3;SW: 65 - 03/20/21</t>
  </si>
  <si>
    <t>AGL166: 115 - 03/18/21 | #353-3;SW: 65 - 03/21/21</t>
  </si>
  <si>
    <t>AGL166: 115 - 03/13/21 | #353-3;SW: 65 - 03/21/21 | #386: 210 - TBD</t>
  </si>
  <si>
    <t>SKU hasnt merged back with PPeak - priced at 53.99</t>
  </si>
  <si>
    <t xml:space="preserve"> | #386: 0 - 04/10/21</t>
  </si>
  <si>
    <t>Connected back to PPeak 49.99-55.99</t>
  </si>
  <si>
    <t xml:space="preserve"> | #386: 200 - 05/01/21</t>
  </si>
  <si>
    <t>Decreasing min to 49.99</t>
  </si>
  <si>
    <t>PPeak 51.99-59.99</t>
  </si>
  <si>
    <t xml:space="preserve"> | #386: 200 - 05/05/21</t>
  </si>
  <si>
    <t xml:space="preserve"> | #386: 200 - 05/02/21</t>
  </si>
  <si>
    <t>59.99-67.99</t>
  </si>
  <si>
    <t>#386: 200 - 05/02/21</t>
  </si>
  <si>
    <t>63.99-69.99</t>
  </si>
  <si>
    <t>#386: 200 - 05/02/21 | AGL 195: 46 - 06/12/21</t>
  </si>
  <si>
    <t xml:space="preserve"> | AGL 195: 46 - TBD</t>
  </si>
  <si>
    <t>51.99-61.99 to get sales back up</t>
  </si>
  <si>
    <t xml:space="preserve"> | AGL195: 46 - 06/18/21</t>
  </si>
  <si>
    <t>49.99-59.99 - units in transfer</t>
  </si>
  <si>
    <t xml:space="preserve"> | AGL195: 46 - 06/18/21 | AGL229: 130 - 08/23/21</t>
  </si>
  <si>
    <t>| AGL195  - 46 units 06/26| AGL229  - 130 units 08/23</t>
  </si>
  <si>
    <t>| AGL229  - 130 units 08/22</t>
  </si>
  <si>
    <t>PL-IL-MB-WH</t>
  </si>
  <si>
    <t>AGL154: 200 - 01/28/21
AGL166: 150 - 02/20/21</t>
  </si>
  <si>
    <t>Decreasing min to 47.99</t>
  </si>
  <si>
    <t>AGL154: 200 - 01/28/21 AGL166: 150 - 02/20/21</t>
  </si>
  <si>
    <t>Increased PPC budget</t>
  </si>
  <si>
    <t xml:space="preserve">AGL154: 200 - 01/28/21 AGL166: 150 - 02/20/21 :  -  :  -  :  -  :  -  :  -  :  -  :  -  :  - :  -  :  -  :  -  :  -  :  -  :  -  :  -  :  -  :  - </t>
  </si>
  <si>
    <t xml:space="preserve">AGL154: 200 - 01/28/21 AGL166: 150 - 02/26/21 :  -  :  -  :  -  :  -  :  -  :  -  :  -  :  - :  -  :  -  :  -  :  -  :  -  :  -  :  -  :  -  :  - </t>
  </si>
  <si>
    <t>AGL154: 200 - 02/15/21 | AGL166: 150 - 03/02/21</t>
  </si>
  <si>
    <t>AGL154: 200 - 03/04/21 | AGL166: 150 - 03/07/21</t>
  </si>
  <si>
    <t>AGL166: 150 - 03/07/21</t>
  </si>
  <si>
    <t>AGL166: 150 - 03/18/21</t>
  </si>
  <si>
    <t>AGL166: 150 - 03/13/21 | #386: 455 - TBD</t>
  </si>
  <si>
    <t xml:space="preserve"> | #386: 455 - 04/10/21</t>
  </si>
  <si>
    <t xml:space="preserve"> | #386: 455 - 05/01/21</t>
  </si>
  <si>
    <t xml:space="preserve"> | #386: 455 - 05/05/21</t>
  </si>
  <si>
    <t>57.99-64.99</t>
  </si>
  <si>
    <t xml:space="preserve"> | #386: 455 - 05/02/21</t>
  </si>
  <si>
    <t>#386: 455 - 05/02/21</t>
  </si>
  <si>
    <t>53.99-63.99 to get sales back up</t>
  </si>
  <si>
    <t>51.99-59.99 - all units in transfer</t>
  </si>
  <si>
    <t xml:space="preserve"> | AGL229: 280 - 08/23/21</t>
  </si>
  <si>
    <t>Lowering min to 49.99 and updating target</t>
  </si>
  <si>
    <t>| AGL229  - 280 units 08/23</t>
  </si>
  <si>
    <t>69.99-79.99</t>
  </si>
  <si>
    <t>| AGL229  - 280 units 08/22</t>
  </si>
  <si>
    <t>PL-IL-MB-WHT</t>
  </si>
  <si>
    <t>Price scheduling at 49.99</t>
  </si>
  <si>
    <t>AGL154: 200 - 02/15/21 | #353-3;SW: 91 - 03/08/21</t>
  </si>
  <si>
    <t>AGL154: 200 - 03/04/21 | #353-3;SW: 91 - 03/16/21</t>
  </si>
  <si>
    <t xml:space="preserve"> | #353-3;SW: 91 - 03/21/21</t>
  </si>
  <si>
    <t xml:space="preserve"> | #353-3;SW: 91 - 03/20/21</t>
  </si>
  <si>
    <t xml:space="preserve"> | #353-3;SW: 91 - 03/21/21 | #386: 370 - TBD</t>
  </si>
  <si>
    <t>Pausing PPC and increasing PPeak 55.99-61.99</t>
  </si>
  <si>
    <t xml:space="preserve"> | #386: 370 - 04/10/21</t>
  </si>
  <si>
    <t xml:space="preserve"> | #386: 370 - 05/01/21</t>
  </si>
  <si>
    <t>PPeak 61.99-67.99</t>
  </si>
  <si>
    <t xml:space="preserve"> | #386: 370 - 05/05/21</t>
  </si>
  <si>
    <t>64.99-69.99</t>
  </si>
  <si>
    <t xml:space="preserve"> | #386: 370 - 05/02/21</t>
  </si>
  <si>
    <t>#386: 370 - 05/02/21</t>
  </si>
  <si>
    <t>#386: 370 - 05/02/21 | AGL 195: 32 - 06/12/21</t>
  </si>
  <si>
    <t xml:space="preserve"> | AGL 195: 32 - TBD</t>
  </si>
  <si>
    <t>55.99-65.99 to get sales back up - enabled PPC</t>
  </si>
  <si>
    <t xml:space="preserve"> | AGL195: 32 - 06/18/21</t>
  </si>
  <si>
    <t>53.99-59.99 - all units in transfer</t>
  </si>
  <si>
    <t xml:space="preserve"> | AGL195: 32 - 06/18/21 | AGL229: 220 - 08/23/21</t>
  </si>
  <si>
    <t>| AGL195  - 32 units 06/26| AGL229  - 220 units 08/23</t>
  </si>
  <si>
    <t>| AGL229  - 220 units 08/22</t>
  </si>
  <si>
    <t>Increasing min to 73.99</t>
  </si>
  <si>
    <t>PL-IL-MCHB5X6-8PK-BRN</t>
  </si>
  <si>
    <t>Maintain; PPEAK $23.99 to $33.99</t>
  </si>
  <si>
    <t xml:space="preserve">
AGL167: 102 - 02/20/21</t>
  </si>
  <si>
    <t>Added target velocity of 2</t>
  </si>
  <si>
    <t xml:space="preserve"> AGL167: 102 - 02/20/21</t>
  </si>
  <si>
    <t xml:space="preserve">:  -  :  -  AGL167: 102 - 02/20/21 :  -  :  -  :  -  :  -  :  -  :  -  :  - :  -  :  -  :  -  :  -  :  -  :  -  :  -  :  -  :  - </t>
  </si>
  <si>
    <t>Lowered PPEAK min by $1 to $22.99</t>
  </si>
  <si>
    <t xml:space="preserve">:  -  :  -  AGL167: 102 - 02/20/21 #353: 204 - 03/01/21 :  -  :  -  :  -  :  -  :  -  :  - :  -  :  -  :  -  :  -  :  -  :  -  :  -  :  -  :  - </t>
  </si>
  <si>
    <t>Lowered PPEAK min by $1 to $21.99</t>
  </si>
  <si>
    <t xml:space="preserve"> | AGL167: 102 - 02/20/21 | #353: 204 - 03/02/21</t>
  </si>
  <si>
    <t xml:space="preserve"> | AGL167: 102 - 03/02/21 | #353-1: 204 - 03/06/21</t>
  </si>
  <si>
    <t>Decreased PPeak 19.99-29.99 to get velocity up (large restock coming in)</t>
  </si>
  <si>
    <t xml:space="preserve"> | #353-1: 204 - 03/11/21</t>
  </si>
  <si>
    <t>Price scheduling at 19.99</t>
  </si>
  <si>
    <t xml:space="preserve"> | #353-1: 204 - 03/10/21</t>
  </si>
  <si>
    <t>Deleted price scheduling (PPeak 19.99-29.99)</t>
  </si>
  <si>
    <t>Continue with PPeak (large restock hitting any day now)</t>
  </si>
  <si>
    <t xml:space="preserve">Out </t>
  </si>
  <si>
    <t xml:space="preserve">Continue with PPeak  </t>
  </si>
  <si>
    <t>Increasing min to 22.99</t>
  </si>
  <si>
    <t>PPeak 25.99-31.99</t>
  </si>
  <si>
    <t>28.99-35.99</t>
  </si>
  <si>
    <t>No Transit or Factory Storage, 270 In Production 60-100 days from Earliest Arrival</t>
  </si>
  <si>
    <t>No Transit, But 270 At Factory 50-75 days from Earliest Arrival</t>
  </si>
  <si>
    <t>| S210707  - 180 units 08/31</t>
  </si>
  <si>
    <t>| S210707  - 180 units 09/17</t>
  </si>
  <si>
    <t>PL-IL-MCHB5X6-8PK-WHT</t>
  </si>
  <si>
    <t>Closed; from Caroline: Discontinued - Have some China stock, was going to wait until Spring to ship in for Weddings</t>
  </si>
  <si>
    <t xml:space="preserve"> | AGL 206: 108 - 06/06/21</t>
  </si>
  <si>
    <t xml:space="preserve"> | AGL 206: 108 - 06/10/21</t>
  </si>
  <si>
    <t xml:space="preserve"> | AGL 206: 108 - TBD</t>
  </si>
  <si>
    <t xml:space="preserve"> | AGL206: 108 - 06/10/21</t>
  </si>
  <si>
    <t>AGL206: 108 - 06/21/21</t>
  </si>
  <si>
    <t>| AGL206  - 108 units 06/21</t>
  </si>
  <si>
    <t>| AGL206  - 108 units 07/16</t>
  </si>
  <si>
    <t>PL-IL-ATS5X6-4PK-BRN</t>
  </si>
  <si>
    <t xml:space="preserve">
AGL167: 60 - 02/20/21</t>
  </si>
  <si>
    <t xml:space="preserve"> AGL167: 60 - 02/20/21</t>
  </si>
  <si>
    <t xml:space="preserve">:  -  :  -  AGL167: 60 - 02/20/21 :  -  :  -  :  -  :  -  :  -  :  -  :  - :  -  :  -  :  -  :  -  :  -  :  -  :  -  :  -  :  - </t>
  </si>
  <si>
    <t xml:space="preserve">:  -  :  -  AGL167: 60 - 02/20/21 #353: 60 - 03/01/21 :  -  :  -  :  -  :  -  :  -  :  - :  -  :  -  :  -  :  -  :  -  :  -  :  -  :  -  :  - </t>
  </si>
  <si>
    <t xml:space="preserve"> | AGL167: 60 - 02/20/21 | #353: 60 - 03/02/21</t>
  </si>
  <si>
    <t xml:space="preserve"> | AGL167: 60 - 03/02/21 | #353-1: 60 - 03/06/21</t>
  </si>
  <si>
    <t xml:space="preserve"> | #353-1: 60 - 03/11/21</t>
  </si>
  <si>
    <t xml:space="preserve"> | #353-1: 60 - 03/10/21</t>
  </si>
  <si>
    <t>23.99-31.99</t>
  </si>
  <si>
    <t xml:space="preserve"> | AGL 206: 70 - 06/06/21</t>
  </si>
  <si>
    <t>26.99-29.99</t>
  </si>
  <si>
    <t xml:space="preserve"> | AGL 206: 80 - 06/10/21</t>
  </si>
  <si>
    <t xml:space="preserve"> | AGL 206: 80 - TBD</t>
  </si>
  <si>
    <t>Continue with PPeak (good DOH and sell through)</t>
  </si>
  <si>
    <t xml:space="preserve"> | AGL206: 80 - 06/10/21</t>
  </si>
  <si>
    <t>AGL206: 80 - 06/21/21</t>
  </si>
  <si>
    <t>| AGL256 Going To 3PL - 60 units 08/17| AGL206  - 80 units 06/21</t>
  </si>
  <si>
    <t>| AGL256 Going To 3PL - 60 units 08/25| AGL206  - 80 units 06/21</t>
  </si>
  <si>
    <t>| AGL256 Going To 3PL - 60 units 08/31| AGL206  - 80 units 06/21</t>
  </si>
  <si>
    <t>| AGL206  - 80 units 07/16| AGL256 Deliverr - 60 units 09/17</t>
  </si>
  <si>
    <t>PL-IL-ATS5X6-4PK-WHT</t>
  </si>
  <si>
    <t>19.99-29.99</t>
  </si>
  <si>
    <t>24.99-29.99</t>
  </si>
  <si>
    <t>Lowering min to 23.99 (sell through dropping and DOH increasing)</t>
  </si>
  <si>
    <t>Continue with PPeak - good sell through and high margin</t>
  </si>
  <si>
    <t>Lowering min to 21.99 with restock a couple days out</t>
  </si>
  <si>
    <t>3 units left - maintain</t>
  </si>
  <si>
    <t>PL-IL-ATS5X6-8PK-BRN</t>
  </si>
  <si>
    <t>selling out, maintian</t>
  </si>
  <si>
    <t>sold out</t>
  </si>
  <si>
    <t xml:space="preserve"> | AGL 216: 132 - TBD</t>
  </si>
  <si>
    <t xml:space="preserve"> | AGL216: 132 - TBD</t>
  </si>
  <si>
    <t xml:space="preserve"> | AGL216: 132 - 07/05/21</t>
  </si>
  <si>
    <t>| AGL216  - 132 units 08/09</t>
  </si>
  <si>
    <t>PL-IL-ATS5X6-8PK-NAT</t>
  </si>
  <si>
    <t xml:space="preserve"> | AGL 216: 60 - TBD</t>
  </si>
  <si>
    <t xml:space="preserve"> | AGL216: 60 - TBD</t>
  </si>
  <si>
    <t xml:space="preserve"> | AGL216: 60 - 07/05/21</t>
  </si>
  <si>
    <t>| AGL216  - 60 units 08/09</t>
  </si>
  <si>
    <t>PL-IL-ATS5X6-8PK-WHT</t>
  </si>
  <si>
    <t xml:space="preserve"> | AGL 216: 108 - TBD</t>
  </si>
  <si>
    <t xml:space="preserve"> | AGL216: 108 - TBD</t>
  </si>
  <si>
    <t xml:space="preserve"> | AGL216: 108 - 07/05/21</t>
  </si>
  <si>
    <t>| AGL256 Going To 3PL - 48 units 08/17| AGL216  - 108 units 08/09</t>
  </si>
  <si>
    <t>| AGL256 Going To 3PL - 48 units 08/25| AGL216  - 108 units 08/09</t>
  </si>
  <si>
    <t>| AGL256 Going To 3PL - 48 units 08/31| AGL216  - 108 units 08/09</t>
  </si>
  <si>
    <t>| AGL216  - 108 units 08/09| AGL256 Deliverr - 48 units 09/17</t>
  </si>
  <si>
    <t>PL-IL-ATS8X10-4PK-BRN</t>
  </si>
  <si>
    <t>selling out</t>
  </si>
  <si>
    <t xml:space="preserve">
AGL167: 144 - 02/20/21</t>
  </si>
  <si>
    <t>target 4</t>
  </si>
  <si>
    <t xml:space="preserve"> AGL167: 144 - 02/20/21</t>
  </si>
  <si>
    <t>min $22.59</t>
  </si>
  <si>
    <t xml:space="preserve">:  -  :  -  AGL167: 144 - 02/20/21 :  -  :  -  :  -  :  -  :  -  :  -  :  - :  -  :  -  :  -  :  -  :  -  :  -  :  -  :  -  :  - </t>
  </si>
  <si>
    <t>ask Caroline bring more in, min $26.99, delete target</t>
  </si>
  <si>
    <t xml:space="preserve">:  -  :  -  AGL167: 144 - 02/20/21 #353: 352 - 03/01/21 :  -  :  -  :  -  :  -  :  -  :  - :  -  :  -  :  -  :  -  :  -  :  -  :  -  :  -  :  - </t>
  </si>
  <si>
    <t xml:space="preserve"> | AGL167: 144 - 02/20/21 | #353: 352 - 03/02/21</t>
  </si>
  <si>
    <t>selling out, wait the AGL shipment coming in</t>
  </si>
  <si>
    <t xml:space="preserve"> | AGL167: 144 - 03/02/21 | #353-1: 176 - 03/06/21 | #353-2;SW: 176 - 03/16/21</t>
  </si>
  <si>
    <t xml:space="preserve"> | #353-1: 176 - 03/11/21 | #353-2;SW: 176 - 03/21/21</t>
  </si>
  <si>
    <t>Out (close)</t>
  </si>
  <si>
    <t xml:space="preserve"> | #353-1: 176 - 03/10/21 | #353-2;SW: 176 - 03/20/21</t>
  </si>
  <si>
    <t>Ppeak 21.99-29.99</t>
  </si>
  <si>
    <t>24.99-31.99</t>
  </si>
  <si>
    <t>26.99-31.99</t>
  </si>
  <si>
    <t xml:space="preserve"> | AGL 216: 208 - TBD</t>
  </si>
  <si>
    <t>Lowering PPeak min to 24.99 (DOH increasing)</t>
  </si>
  <si>
    <t>Continue with PPeak - decrease more next week if sales dont pick up</t>
  </si>
  <si>
    <t xml:space="preserve"> | AGL216: 208 - TBD</t>
  </si>
  <si>
    <t>Sales back up - continue with PPeak</t>
  </si>
  <si>
    <t xml:space="preserve"> | AGL216: 208 - 07/05/21</t>
  </si>
  <si>
    <t>Increasing min to 25.99</t>
  </si>
  <si>
    <t>| AGL216  - 208 units 08/09</t>
  </si>
  <si>
    <t>| S210707  - 160 units 08/31| AGL216  - 208 units 08/09</t>
  </si>
  <si>
    <t>| AGL216  - 208 units 08/09| S210707  - 160 units 09/17</t>
  </si>
  <si>
    <t>PL-IL-ATS8X10-4PK-NAT</t>
  </si>
  <si>
    <t xml:space="preserve">
AGL167: 96 - 02/20/21</t>
  </si>
  <si>
    <t>min $21.99</t>
  </si>
  <si>
    <t xml:space="preserve"> AGL167: 96 - 02/20/21</t>
  </si>
  <si>
    <t>min $22.99</t>
  </si>
  <si>
    <t xml:space="preserve">:  -  :  -  AGL167: 96 - 02/20/21 :  -  :  -  :  -  :  -  :  -  :  -  :  - :  -  :  -  :  -  :  -  :  -  :  -  :  -  :  -  :  - </t>
  </si>
  <si>
    <t>delete target, ppeak $25.99-30.99</t>
  </si>
  <si>
    <t xml:space="preserve">:  -  :  -  AGL167: 96 - 02/20/21 #353: 208 - 03/01/21 :  -  :  -  :  -  :  -  :  -  :  - :  -  :  -  :  -  :  -  :  -  :  -  :  -  :  -  :  - </t>
  </si>
  <si>
    <t xml:space="preserve"> | AGL167: 96 - 02/20/21 | #353: 208 - 03/02/21</t>
  </si>
  <si>
    <t xml:space="preserve"> | AGL167: 96 - 03/02/21 | #353-1: 192 - 03/06/21 | #353-2;SW: 16 - 03/16/21</t>
  </si>
  <si>
    <t xml:space="preserve"> | #353-1: 192 - 03/11/21 | #353-2;SW: 16 - 03/21/21</t>
  </si>
  <si>
    <t xml:space="preserve"> | #353-1: 192 - 03/10/21 | #353-2;SW: 16 - 03/20/21</t>
  </si>
  <si>
    <t>Set at 25.99 (not synched in PPeak yet)</t>
  </si>
  <si>
    <t>23.99-29.99 and added a target to get sell through up</t>
  </si>
  <si>
    <t>Lower PPeak threshold is helping sales/DOH - maintain</t>
  </si>
  <si>
    <t>| S210707  - 128 units 08/31| AGL216  - 128 units 08/09</t>
  </si>
  <si>
    <t>| AGL216  - 128 units 08/09| S210707  - 128 units 09/17</t>
  </si>
  <si>
    <t>PL-IL-ATS8X10-4PK-WHT</t>
  </si>
  <si>
    <t>above the target</t>
  </si>
  <si>
    <t xml:space="preserve">
AGL167: 112 - 02/20/21</t>
  </si>
  <si>
    <t xml:space="preserve"> AGL167: 112 - 02/20/21</t>
  </si>
  <si>
    <t xml:space="preserve">:  -  :  -  AGL167: 112 - 02/20/21 :  -  :  -  :  -  :  -  :  -  :  -  :  - :  -  :  -  :  -  :  -  :  -  :  -  :  -  :  -  :  - </t>
  </si>
  <si>
    <t xml:space="preserve">:  -  :  -  AGL167: 112 - 02/20/21 #353: 256 - 03/01/21 :  -  :  -  :  -  :  -  :  -  :  - :  -  :  -  :  -  :  -  :  -  :  -  :  -  :  -  :  - </t>
  </si>
  <si>
    <t xml:space="preserve"> | AGL167: 112 - 02/20/21 | #353: 256 - 03/02/21</t>
  </si>
  <si>
    <t xml:space="preserve"> | AGL167: 112 - 03/02/21 | #353-1: 208 - 03/06/21 | #353-2;SW: 48 - 03/16/21</t>
  </si>
  <si>
    <t xml:space="preserve"> | #353-1: 208 - 03/11/21 | #353-2;SW: 48 - 03/21/21</t>
  </si>
  <si>
    <t xml:space="preserve"> | #353-1: 208 - 03/10/21 | #353-2;SW: 48 - 03/20/21</t>
  </si>
  <si>
    <t xml:space="preserve"> | AGL 216: 80 - TBD</t>
  </si>
  <si>
    <t xml:space="preserve"> | AGL216: 80 - TBD</t>
  </si>
  <si>
    <t xml:space="preserve"> | AGL216: 80 - 07/05/21</t>
  </si>
  <si>
    <t>| AGL216  - 80 units 08/09</t>
  </si>
  <si>
    <t>| S210702  - 272 units 08/25| AGL216  - 80 units 08/09</t>
  </si>
  <si>
    <t>| S210702  - 272 units 08/31| AGL216  - 80 units 08/09</t>
  </si>
  <si>
    <t>| AGL216  - 80 units 08/09| S210702  - 272 units 08/16</t>
  </si>
  <si>
    <t>PL-IL-TTMB-WHT</t>
  </si>
  <si>
    <t>AGL152: 20 - 01/08/21</t>
  </si>
  <si>
    <t>AGL152: 20 - 01/15/21</t>
  </si>
  <si>
    <t>enable ppeak $17.99-22.99</t>
  </si>
  <si>
    <t>only 12 in stock, min $17.99</t>
  </si>
  <si>
    <t>Increasing PPeak 19.99-25.99</t>
  </si>
  <si>
    <t>At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</si>
</sst>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0.000"/>
    <numFmt numFmtId="167" formatCode="_([$$-409]* #,##0.00_);_([$$-409]* \(#,##0.00\);_([$$-409]* &quot;-&quot;??_);_(@_)"/>
  </numFmts>
  <fonts count="9" x14ac:knownFonts="1"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3F3F3F"/>
      <name val="Calibri"/>
    </font>
    <font>
      <b/>
      <sz val="11"/>
      <color rgb="FFF2F2F2"/>
      <name val="Calibri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44" fontId="5" fillId="2" borderId="9" xfId="0" applyNumberFormat="1" applyFont="1" applyFill="1" applyBorder="1" applyAlignment="1">
      <alignment horizontal="center" vertical="center" wrapText="1"/>
    </xf>
    <xf numFmtId="9" fontId="5" fillId="2" borderId="9" xfId="0" applyNumberFormat="1" applyFont="1" applyFill="1" applyBorder="1" applyAlignment="1">
      <alignment horizontal="center" vertical="center" wrapText="1"/>
    </xf>
    <xf numFmtId="9" fontId="5" fillId="2" borderId="9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14" fontId="6" fillId="2" borderId="9" xfId="0" applyNumberFormat="1" applyFont="1" applyFill="1" applyBorder="1" applyAlignment="1">
      <alignment horizontal="center" vertical="center" wrapText="1"/>
    </xf>
    <xf numFmtId="2" fontId="5" fillId="2" borderId="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44" fontId="5" fillId="2" borderId="9" xfId="0" applyNumberFormat="1" applyFont="1" applyFill="1" applyBorder="1" applyAlignment="1">
      <alignment horizontal="center" vertical="center"/>
    </xf>
    <xf numFmtId="0" fontId="0" fillId="0" borderId="0" xfId="0" applyFont="1"/>
    <xf numFmtId="164" fontId="1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/>
    </xf>
    <xf numFmtId="44" fontId="0" fillId="2" borderId="11" xfId="0" applyNumberFormat="1" applyFont="1" applyFill="1" applyBorder="1" applyAlignment="1">
      <alignment horizontal="center"/>
    </xf>
    <xf numFmtId="9" fontId="0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/>
    </xf>
    <xf numFmtId="9" fontId="0" fillId="0" borderId="0" xfId="0" applyNumberFormat="1" applyFont="1"/>
    <xf numFmtId="44" fontId="0" fillId="0" borderId="0" xfId="0" applyNumberFormat="1" applyFont="1"/>
    <xf numFmtId="44" fontId="0" fillId="0" borderId="0" xfId="0" applyNumberFormat="1" applyFont="1" applyAlignment="1">
      <alignment horizontal="center"/>
    </xf>
    <xf numFmtId="166" fontId="0" fillId="0" borderId="0" xfId="0" applyNumberFormat="1" applyFont="1"/>
    <xf numFmtId="0" fontId="1" fillId="0" borderId="0" xfId="0" applyFont="1"/>
    <xf numFmtId="0" fontId="1" fillId="2" borderId="11" xfId="0" applyFont="1" applyFill="1" applyBorder="1" applyAlignment="1">
      <alignment horizontal="center"/>
    </xf>
    <xf numFmtId="44" fontId="1" fillId="2" borderId="11" xfId="0" applyNumberFormat="1" applyFont="1" applyFill="1" applyBorder="1"/>
    <xf numFmtId="9" fontId="1" fillId="2" borderId="11" xfId="0" applyNumberFormat="1" applyFont="1" applyFill="1" applyBorder="1" applyAlignment="1">
      <alignment horizontal="center"/>
    </xf>
    <xf numFmtId="44" fontId="1" fillId="2" borderId="11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9" fontId="1" fillId="0" borderId="0" xfId="0" applyNumberFormat="1" applyFont="1"/>
    <xf numFmtId="44" fontId="1" fillId="0" borderId="0" xfId="0" applyNumberFormat="1" applyFont="1"/>
    <xf numFmtId="44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0" fillId="0" borderId="0" xfId="0" applyNumberFormat="1" applyFont="1"/>
    <xf numFmtId="0" fontId="7" fillId="0" borderId="0" xfId="0" applyFont="1" applyAlignment="1"/>
    <xf numFmtId="0" fontId="0" fillId="2" borderId="11" xfId="0" applyFont="1" applyFill="1" applyBorder="1"/>
    <xf numFmtId="0" fontId="8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/>
    <xf numFmtId="0" fontId="0" fillId="2" borderId="1" xfId="0" applyFont="1" applyFill="1" applyBorder="1" applyAlignment="1">
      <alignment horizontal="center" vertical="center" wrapText="1"/>
    </xf>
    <xf numFmtId="0" fontId="4" fillId="0" borderId="3" xfId="0" applyFont="1" applyBorder="1"/>
    <xf numFmtId="44" fontId="0" fillId="2" borderId="1" xfId="0" applyNumberFormat="1" applyFont="1" applyFill="1" applyBorder="1" applyAlignment="1">
      <alignment horizontal="center" vertical="center"/>
    </xf>
    <xf numFmtId="44" fontId="0" fillId="2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/>
    <xf numFmtId="0" fontId="5" fillId="2" borderId="7" xfId="0" applyFont="1" applyFill="1" applyBorder="1" applyAlignment="1">
      <alignment horizontal="left" vertical="center"/>
    </xf>
    <xf numFmtId="0" fontId="4" fillId="0" borderId="8" xfId="0" applyFont="1" applyBorder="1"/>
    <xf numFmtId="165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4" fillId="0" borderId="5" xfId="0" applyFont="1" applyBorder="1"/>
    <xf numFmtId="0" fontId="0" fillId="0" borderId="0" xfId="0" applyFont="1" applyAlignment="1">
      <alignment horizontal="center" vertical="center" wrapText="1"/>
    </xf>
    <xf numFmtId="0" fontId="4" fillId="0" borderId="6" xfId="0" applyFont="1" applyBorder="1"/>
    <xf numFmtId="0" fontId="1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pane xSplit="2" ySplit="3" topLeftCell="D12" activePane="bottomRight" state="frozen"/>
      <selection pane="topRight" activeCell="C1" sqref="C1"/>
      <selection pane="bottomLeft" activeCell="A4" sqref="A4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8.6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8.5" customWidth="1"/>
    <col min="21" max="21" width="13" customWidth="1"/>
    <col min="22" max="22" width="27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Info!B1:BJ5000""),3,FALSE),"""")"),"Framed Chalkboard Sign - 12x16 Inch Rustic Hanging Kitchen Chalk Board (Brown)")</f>
        <v>Framed Chalkboard Sign - 12x16 Inch Rustic Hanging Kitchen Chalk Board (Brown)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Info!B1:BJ5000""),2,FALSE),"""")"),"B077V144QK")</f>
        <v>B077V144QK</v>
      </c>
      <c r="B2" s="3" t="s">
        <v>30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10.25" customHeight="1" x14ac:dyDescent="0.2">
      <c r="A3" s="57" t="s">
        <v>31</v>
      </c>
      <c r="B3" s="58"/>
      <c r="C3" s="4">
        <f>((AE32+AF32)/0.85)*-1</f>
        <v>11.32258762568933</v>
      </c>
      <c r="D3" s="5">
        <f>SUM(D4:D99519)</f>
        <v>1544</v>
      </c>
      <c r="E3" s="5"/>
      <c r="F3" s="6">
        <f t="shared" ref="F3:G3" si="0">SUM(F4:F99519)</f>
        <v>23861.93</v>
      </c>
      <c r="G3" s="6">
        <f t="shared" si="0"/>
        <v>-2.25</v>
      </c>
      <c r="H3" s="7">
        <f t="shared" ref="H3:H32" si="1">G3/F3*-1</f>
        <v>9.4292456645376132E-5</v>
      </c>
      <c r="I3" s="8">
        <f t="shared" ref="I3:I32" si="2">J3/F3</f>
        <v>0.22083190746701747</v>
      </c>
      <c r="J3" s="6">
        <f>SUM(J4:J99519)</f>
        <v>5269.4755177444486</v>
      </c>
      <c r="K3" s="6">
        <f t="shared" ref="K3:K32" si="3">J3/D3</f>
        <v>3.4128727446531402</v>
      </c>
      <c r="L3" s="5"/>
      <c r="M3" s="9"/>
      <c r="N3" s="10"/>
      <c r="O3" s="5" t="str">
        <f ca="1">IFERROR(__xludf.DUMMYFUNCTION("VLOOKUP(B2,IMPORTRANGE(""https://docs.google.com/spreadsheets/d/1N8jvpEHDVkurDv7NrPxwI3eH6hQsvtb1QltGNCalRjU/edit#gid=865736387"",""Compiled Sheet!a1:g5000""),2,FALSE)"),"10.0 - March
10.0 - April
10.0 - May
10.0 - June
10.0 - July
10.0 - Aug
10.0 - Sept
10.0 - Oct
10.0 - Nov
10.0 - Dec
10.0 - Jan
10.0 - Feb")</f>
        <v>10.0 - March
10.0 - April
10.0 - May
10.0 - June
10.0 - July
10.0 - Aug
10.0 - Sept
10.0 - Oct
10.0 - Nov
10.0 - Dec
10.0 - Jan
10.0 -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QTY-50")</f>
        <v>Del QTY-50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QTY-272")</f>
        <v>US QTY-272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Transit-0")</f>
        <v>In Transit-0</v>
      </c>
      <c r="W3" s="5">
        <f>SUM(W4:W99519)</f>
        <v>1</v>
      </c>
      <c r="X3" s="7">
        <f>W3/D3</f>
        <v>6.4766839378238344E-4</v>
      </c>
      <c r="Y3" s="6"/>
      <c r="Z3" s="5"/>
      <c r="AA3" s="5"/>
      <c r="AB3" s="5"/>
      <c r="AC3" s="5"/>
      <c r="AD3" s="6">
        <f>SUM(AD4:AD99519)</f>
        <v>-345.40970252173622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Info!B2:BZ3000""),37,FALSE)),"""")*-1"),-3.94419948183593)</f>
        <v>-3.9441994818359301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33</v>
      </c>
      <c r="C4" s="16">
        <f t="shared" ref="C4:C32" si="4">IFERROR(F4/D4," - ")</f>
        <v>17.450000000000006</v>
      </c>
      <c r="D4" s="17">
        <v>45</v>
      </c>
      <c r="E4" s="17">
        <v>1</v>
      </c>
      <c r="F4" s="18">
        <v>785.25000000000034</v>
      </c>
      <c r="G4" s="18">
        <v>0</v>
      </c>
      <c r="H4" s="19">
        <f t="shared" si="1"/>
        <v>0</v>
      </c>
      <c r="I4" s="19">
        <f t="shared" si="2"/>
        <v>0.30797918095713611</v>
      </c>
      <c r="J4" s="18">
        <f t="shared" ref="J4:J32" si="5">F4*0.85+G4+AF4*D4+D4*AE4+AG4+AD4</f>
        <v>241.84065184659124</v>
      </c>
      <c r="K4" s="18">
        <f t="shared" si="3"/>
        <v>5.3742367077020274</v>
      </c>
      <c r="L4" s="17">
        <v>77</v>
      </c>
      <c r="M4" s="20">
        <f t="shared" ref="M4:M32" si="6">IFERROR(D4/L4,"-")</f>
        <v>0.58441558441558439</v>
      </c>
      <c r="N4" s="17">
        <v>235</v>
      </c>
      <c r="O4" s="21">
        <f t="shared" ref="O4:P4" si="7">D4/7</f>
        <v>6.4285714285714288</v>
      </c>
      <c r="P4" s="21">
        <f t="shared" si="7"/>
        <v>0.14285714285714285</v>
      </c>
      <c r="Q4" s="17">
        <f t="shared" ref="Q4:Q32" si="8">ROUNDDOWN(N4/(O4+P4),0)</f>
        <v>35</v>
      </c>
      <c r="R4" s="17"/>
      <c r="S4" s="22">
        <v>1.7962003454231401</v>
      </c>
      <c r="T4" s="15" t="s">
        <v>34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0.15235879629629631</v>
      </c>
      <c r="AD4" s="26">
        <f t="shared" ref="AD4:AD32" si="12">IFERROR(AB4*AC4*D4*2,0)</f>
        <v>-9.4614812500000003</v>
      </c>
      <c r="AE4" s="26">
        <v>-5.42</v>
      </c>
      <c r="AF4" s="26">
        <v>-3.8280081534090908</v>
      </c>
      <c r="AG4" s="26">
        <v>0</v>
      </c>
    </row>
    <row r="5" spans="1:33" ht="15.75" customHeight="1" x14ac:dyDescent="0.2">
      <c r="A5" s="29" t="s">
        <v>36</v>
      </c>
      <c r="B5" s="29" t="s">
        <v>37</v>
      </c>
      <c r="C5" s="16">
        <f t="shared" si="4"/>
        <v>17.512068965517237</v>
      </c>
      <c r="D5" s="30">
        <v>29</v>
      </c>
      <c r="E5" s="30">
        <v>1</v>
      </c>
      <c r="F5" s="31">
        <v>507.84999999999985</v>
      </c>
      <c r="G5" s="31">
        <v>0</v>
      </c>
      <c r="H5" s="32">
        <f t="shared" si="1"/>
        <v>0</v>
      </c>
      <c r="I5" s="32">
        <f t="shared" si="2"/>
        <v>0.30988638214249625</v>
      </c>
      <c r="J5" s="33">
        <f t="shared" si="5"/>
        <v>157.37579917106669</v>
      </c>
      <c r="K5" s="33">
        <f t="shared" si="3"/>
        <v>5.4267516955540236</v>
      </c>
      <c r="L5" s="30">
        <v>154</v>
      </c>
      <c r="M5" s="34">
        <f t="shared" si="6"/>
        <v>0.18831168831168832</v>
      </c>
      <c r="N5" s="30">
        <v>272</v>
      </c>
      <c r="O5" s="35">
        <f t="shared" ref="O5:P5" si="13">D5/7</f>
        <v>4.1428571428571432</v>
      </c>
      <c r="P5" s="35">
        <f t="shared" si="13"/>
        <v>0.14285714285714285</v>
      </c>
      <c r="Q5" s="30">
        <f t="shared" si="8"/>
        <v>63</v>
      </c>
      <c r="R5" s="30"/>
      <c r="S5" s="36">
        <v>1.3689839572192499</v>
      </c>
      <c r="T5" s="29" t="s">
        <v>34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35</v>
      </c>
      <c r="AB5" s="41">
        <f t="shared" si="11"/>
        <v>-0.69</v>
      </c>
      <c r="AC5" s="42">
        <v>0.15253534183082271</v>
      </c>
      <c r="AD5" s="40">
        <f t="shared" si="12"/>
        <v>-6.1044643800695244</v>
      </c>
      <c r="AE5" s="40">
        <v>-5.42</v>
      </c>
      <c r="AF5" s="40">
        <v>-3.8280081534090908</v>
      </c>
      <c r="AG5" s="40">
        <v>0</v>
      </c>
    </row>
    <row r="6" spans="1:33" ht="18" customHeight="1" x14ac:dyDescent="0.2">
      <c r="A6" s="29" t="s">
        <v>38</v>
      </c>
      <c r="B6" s="29" t="s">
        <v>39</v>
      </c>
      <c r="C6" s="16">
        <f t="shared" si="4"/>
        <v>15.997115384615395</v>
      </c>
      <c r="D6" s="30">
        <v>52</v>
      </c>
      <c r="E6" s="30">
        <v>3</v>
      </c>
      <c r="F6" s="31">
        <v>831.85000000000048</v>
      </c>
      <c r="G6" s="31">
        <v>-0.08</v>
      </c>
      <c r="H6" s="32">
        <f t="shared" si="1"/>
        <v>9.6171184708781579E-5</v>
      </c>
      <c r="I6" s="32">
        <f t="shared" si="2"/>
        <v>0.25865577784517069</v>
      </c>
      <c r="J6" s="33">
        <f t="shared" si="5"/>
        <v>215.16280880050536</v>
      </c>
      <c r="K6" s="33">
        <f t="shared" si="3"/>
        <v>4.1377463230866418</v>
      </c>
      <c r="L6" s="30">
        <v>173</v>
      </c>
      <c r="M6" s="34">
        <f t="shared" si="6"/>
        <v>0.30057803468208094</v>
      </c>
      <c r="N6" s="30">
        <v>228</v>
      </c>
      <c r="O6" s="35">
        <f t="shared" ref="O6:P6" si="14">D6/7</f>
        <v>7.4285714285714288</v>
      </c>
      <c r="P6" s="35">
        <f t="shared" si="14"/>
        <v>0.42857142857142855</v>
      </c>
      <c r="Q6" s="30">
        <f t="shared" si="8"/>
        <v>29</v>
      </c>
      <c r="R6" s="30"/>
      <c r="S6" s="36">
        <v>1.5691906005221901</v>
      </c>
      <c r="T6" s="29">
        <v>1376</v>
      </c>
      <c r="U6" s="37">
        <v>32</v>
      </c>
      <c r="V6" s="38" t="s">
        <v>40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0.15235879629629631</v>
      </c>
      <c r="AD6" s="40">
        <f t="shared" si="12"/>
        <v>-10.933267222222222</v>
      </c>
      <c r="AE6" s="40">
        <v>-5.42</v>
      </c>
      <c r="AF6" s="40">
        <v>-3.8280081534090908</v>
      </c>
      <c r="AG6" s="40">
        <v>0</v>
      </c>
    </row>
    <row r="7" spans="1:33" ht="15.75" customHeight="1" x14ac:dyDescent="0.2">
      <c r="A7" s="29" t="s">
        <v>41</v>
      </c>
      <c r="B7" s="29" t="s">
        <v>42</v>
      </c>
      <c r="C7" s="16">
        <f t="shared" si="4"/>
        <v>16.205692307692317</v>
      </c>
      <c r="D7" s="30">
        <v>65</v>
      </c>
      <c r="E7" s="30">
        <v>0</v>
      </c>
      <c r="F7" s="31">
        <v>1053.3700000000006</v>
      </c>
      <c r="G7" s="31">
        <v>-0.1</v>
      </c>
      <c r="H7" s="32">
        <f t="shared" si="1"/>
        <v>9.4933404216941773E-5</v>
      </c>
      <c r="I7" s="32">
        <f t="shared" si="2"/>
        <v>0.26626673058909178</v>
      </c>
      <c r="J7" s="33">
        <f t="shared" si="5"/>
        <v>280.47738600063178</v>
      </c>
      <c r="K7" s="33">
        <f t="shared" si="3"/>
        <v>4.3150367077020277</v>
      </c>
      <c r="L7" s="30">
        <v>241</v>
      </c>
      <c r="M7" s="34">
        <f t="shared" si="6"/>
        <v>0.26970954356846472</v>
      </c>
      <c r="N7" s="30">
        <v>262</v>
      </c>
      <c r="O7" s="35">
        <f t="shared" ref="O7:P7" si="15">D7/7</f>
        <v>9.2857142857142865</v>
      </c>
      <c r="P7" s="35">
        <f t="shared" si="15"/>
        <v>0</v>
      </c>
      <c r="Q7" s="30">
        <f t="shared" si="8"/>
        <v>28</v>
      </c>
      <c r="R7" s="30"/>
      <c r="S7" s="36">
        <v>1.7653333333333301</v>
      </c>
      <c r="T7" s="29">
        <v>2176</v>
      </c>
      <c r="U7" s="37">
        <v>32</v>
      </c>
      <c r="V7" s="38" t="s">
        <v>43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0.15235879629629631</v>
      </c>
      <c r="AD7" s="40">
        <f t="shared" si="12"/>
        <v>-13.666584027777777</v>
      </c>
      <c r="AE7" s="40">
        <v>-5.42</v>
      </c>
      <c r="AF7" s="40">
        <v>-3.8280081534090908</v>
      </c>
      <c r="AG7" s="40">
        <v>0</v>
      </c>
    </row>
    <row r="8" spans="1:33" ht="15.75" customHeight="1" x14ac:dyDescent="0.2">
      <c r="A8" s="29" t="s">
        <v>44</v>
      </c>
      <c r="B8" s="29" t="s">
        <v>45</v>
      </c>
      <c r="C8" s="16">
        <f t="shared" si="4"/>
        <v>16.387600000000006</v>
      </c>
      <c r="D8" s="30">
        <v>50</v>
      </c>
      <c r="E8" s="30">
        <v>0</v>
      </c>
      <c r="F8" s="31">
        <v>819.38000000000034</v>
      </c>
      <c r="G8" s="31">
        <v>-0.08</v>
      </c>
      <c r="H8" s="32">
        <f t="shared" si="1"/>
        <v>9.7634797041665613E-5</v>
      </c>
      <c r="I8" s="32">
        <f t="shared" si="2"/>
        <v>0.27262105867308906</v>
      </c>
      <c r="J8" s="33">
        <f t="shared" si="5"/>
        <v>223.38024305555581</v>
      </c>
      <c r="K8" s="33">
        <f t="shared" si="3"/>
        <v>4.4676048611111163</v>
      </c>
      <c r="L8" s="30">
        <v>166</v>
      </c>
      <c r="M8" s="34">
        <f t="shared" si="6"/>
        <v>0.30120481927710846</v>
      </c>
      <c r="N8" s="30">
        <v>220</v>
      </c>
      <c r="O8" s="35">
        <f t="shared" ref="O8:P8" si="16">D8/7</f>
        <v>7.1428571428571432</v>
      </c>
      <c r="P8" s="35">
        <f t="shared" si="16"/>
        <v>0</v>
      </c>
      <c r="Q8" s="30">
        <f t="shared" si="8"/>
        <v>30</v>
      </c>
      <c r="R8" s="30"/>
      <c r="S8" s="36">
        <v>1.9653679653679601</v>
      </c>
      <c r="T8" s="29">
        <v>2752</v>
      </c>
      <c r="U8" s="37">
        <v>32</v>
      </c>
      <c r="V8" s="38" t="s">
        <v>46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0.15235879629629631</v>
      </c>
      <c r="AD8" s="40">
        <f t="shared" si="12"/>
        <v>-10.512756944444444</v>
      </c>
      <c r="AE8" s="40">
        <v>-5.42</v>
      </c>
      <c r="AF8" s="40">
        <v>-3.83</v>
      </c>
      <c r="AG8" s="40">
        <v>0</v>
      </c>
    </row>
    <row r="9" spans="1:33" ht="15.75" customHeight="1" x14ac:dyDescent="0.2">
      <c r="A9" s="29" t="s">
        <v>47</v>
      </c>
      <c r="B9" s="29" t="s">
        <v>48</v>
      </c>
      <c r="C9" s="16">
        <f t="shared" si="4"/>
        <v>16.499195402298859</v>
      </c>
      <c r="D9" s="30">
        <v>87</v>
      </c>
      <c r="E9" s="30">
        <v>0</v>
      </c>
      <c r="F9" s="31">
        <v>1435.4300000000007</v>
      </c>
      <c r="G9" s="31">
        <v>0</v>
      </c>
      <c r="H9" s="32">
        <f t="shared" si="1"/>
        <v>0</v>
      </c>
      <c r="I9" s="32">
        <f t="shared" si="2"/>
        <v>0.26756493023207761</v>
      </c>
      <c r="J9" s="33">
        <f t="shared" si="5"/>
        <v>384.07072780303139</v>
      </c>
      <c r="K9" s="33">
        <f t="shared" si="3"/>
        <v>4.4146060667015101</v>
      </c>
      <c r="L9" s="30">
        <v>198</v>
      </c>
      <c r="M9" s="34">
        <f t="shared" si="6"/>
        <v>0.43939393939393939</v>
      </c>
      <c r="N9" s="30">
        <v>127</v>
      </c>
      <c r="O9" s="35">
        <f t="shared" ref="O9:P9" si="17">D9/7</f>
        <v>12.428571428571429</v>
      </c>
      <c r="P9" s="35">
        <f t="shared" si="17"/>
        <v>0</v>
      </c>
      <c r="Q9" s="30">
        <f t="shared" si="8"/>
        <v>10</v>
      </c>
      <c r="R9" s="30"/>
      <c r="S9" s="36">
        <v>2.3496732026143698</v>
      </c>
      <c r="T9" s="29">
        <v>2752</v>
      </c>
      <c r="U9" s="37">
        <v>32</v>
      </c>
      <c r="V9" s="38" t="s">
        <v>49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0.15235879629629631</v>
      </c>
      <c r="AD9" s="40">
        <f t="shared" si="12"/>
        <v>-18.292197083333335</v>
      </c>
      <c r="AE9" s="40">
        <v>-5.42</v>
      </c>
      <c r="AF9" s="40">
        <v>-3.9794548863636301</v>
      </c>
      <c r="AG9" s="40">
        <v>0</v>
      </c>
    </row>
    <row r="10" spans="1:33" ht="15.75" customHeight="1" x14ac:dyDescent="0.2">
      <c r="A10" s="29" t="s">
        <v>50</v>
      </c>
      <c r="B10" s="29" t="s">
        <v>51</v>
      </c>
      <c r="C10" s="16">
        <f t="shared" si="4"/>
        <v>16.6321052631579</v>
      </c>
      <c r="D10" s="30">
        <v>38</v>
      </c>
      <c r="E10" s="30">
        <v>2</v>
      </c>
      <c r="F10" s="31">
        <v>632.02000000000021</v>
      </c>
      <c r="G10" s="31">
        <v>-0.11</v>
      </c>
      <c r="H10" s="32">
        <f t="shared" si="1"/>
        <v>1.7404512515426722E-4</v>
      </c>
      <c r="I10" s="32">
        <f t="shared" si="2"/>
        <v>0.27204521856967251</v>
      </c>
      <c r="J10" s="33">
        <f t="shared" si="5"/>
        <v>171.93801904040447</v>
      </c>
      <c r="K10" s="33">
        <f t="shared" si="3"/>
        <v>4.5246847115895914</v>
      </c>
      <c r="L10" s="30">
        <v>169</v>
      </c>
      <c r="M10" s="34">
        <f t="shared" si="6"/>
        <v>0.22485207100591717</v>
      </c>
      <c r="N10" s="30">
        <v>84</v>
      </c>
      <c r="O10" s="35">
        <f t="shared" ref="O10:P10" si="18">D10/7</f>
        <v>5.4285714285714288</v>
      </c>
      <c r="P10" s="35">
        <f t="shared" si="18"/>
        <v>0.2857142857142857</v>
      </c>
      <c r="Q10" s="30">
        <f t="shared" si="8"/>
        <v>14</v>
      </c>
      <c r="R10" s="30"/>
      <c r="S10" s="36">
        <v>2.8531468531468498</v>
      </c>
      <c r="T10" s="29">
        <v>1376</v>
      </c>
      <c r="U10" s="37">
        <v>208</v>
      </c>
      <c r="V10" s="38" t="s">
        <v>52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35</v>
      </c>
      <c r="AB10" s="41">
        <f t="shared" si="11"/>
        <v>-0.69</v>
      </c>
      <c r="AC10" s="42">
        <v>0.15235879629629631</v>
      </c>
      <c r="AD10" s="40">
        <f t="shared" si="12"/>
        <v>-7.9896952777777779</v>
      </c>
      <c r="AE10" s="40">
        <v>-5.42</v>
      </c>
      <c r="AF10" s="40">
        <v>-3.9794548863636301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16.043333333333337</v>
      </c>
      <c r="D11" s="30">
        <v>45</v>
      </c>
      <c r="E11" s="30">
        <v>0</v>
      </c>
      <c r="F11" s="31">
        <v>721.95000000000016</v>
      </c>
      <c r="G11" s="31">
        <v>0</v>
      </c>
      <c r="H11" s="32">
        <f t="shared" si="1"/>
        <v>0</v>
      </c>
      <c r="I11" s="32">
        <f t="shared" si="2"/>
        <v>0.25101537345195202</v>
      </c>
      <c r="J11" s="33">
        <f t="shared" si="5"/>
        <v>181.22054886363679</v>
      </c>
      <c r="K11" s="33">
        <f t="shared" si="3"/>
        <v>4.0271233080808173</v>
      </c>
      <c r="L11" s="30">
        <v>164</v>
      </c>
      <c r="M11" s="34">
        <f t="shared" si="6"/>
        <v>0.27439024390243905</v>
      </c>
      <c r="N11" s="30">
        <v>269</v>
      </c>
      <c r="O11" s="35">
        <f t="shared" ref="O11:P11" si="19">D11/7</f>
        <v>6.4285714285714288</v>
      </c>
      <c r="P11" s="35">
        <f t="shared" si="19"/>
        <v>0</v>
      </c>
      <c r="Q11" s="30">
        <f t="shared" si="8"/>
        <v>41</v>
      </c>
      <c r="R11" s="30"/>
      <c r="S11" s="36">
        <v>2.4182648401826401</v>
      </c>
      <c r="T11" s="29">
        <v>1376</v>
      </c>
      <c r="U11" s="37">
        <v>208</v>
      </c>
      <c r="V11" s="38" t="s">
        <v>55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0.15235879629629631</v>
      </c>
      <c r="AD11" s="40">
        <f t="shared" si="12"/>
        <v>-9.4614812500000003</v>
      </c>
      <c r="AE11" s="40">
        <v>-5.42</v>
      </c>
      <c r="AF11" s="40">
        <v>-3.9794548863636301</v>
      </c>
      <c r="AG11" s="40">
        <v>0</v>
      </c>
    </row>
    <row r="12" spans="1:33" ht="15.75" customHeight="1" x14ac:dyDescent="0.2">
      <c r="A12" s="29" t="s">
        <v>56</v>
      </c>
      <c r="B12" s="29" t="s">
        <v>54</v>
      </c>
      <c r="C12" s="16">
        <f t="shared" si="4"/>
        <v>15.990000000000006</v>
      </c>
      <c r="D12" s="30">
        <v>55</v>
      </c>
      <c r="E12" s="30">
        <v>2</v>
      </c>
      <c r="F12" s="31">
        <v>879.45000000000027</v>
      </c>
      <c r="G12" s="31">
        <v>-0.05</v>
      </c>
      <c r="H12" s="32">
        <f t="shared" si="1"/>
        <v>5.6853715390300743E-5</v>
      </c>
      <c r="I12" s="32">
        <f t="shared" si="2"/>
        <v>0.2489606556496807</v>
      </c>
      <c r="J12" s="33">
        <f t="shared" si="5"/>
        <v>218.94844861111176</v>
      </c>
      <c r="K12" s="33">
        <f t="shared" si="3"/>
        <v>3.9808808838383958</v>
      </c>
      <c r="L12" s="30">
        <v>161</v>
      </c>
      <c r="M12" s="34">
        <f t="shared" si="6"/>
        <v>0.34161490683229812</v>
      </c>
      <c r="N12" s="30">
        <v>216</v>
      </c>
      <c r="O12" s="35">
        <f t="shared" ref="O12:P12" si="20">D12/7</f>
        <v>7.8571428571428568</v>
      </c>
      <c r="P12" s="35">
        <f t="shared" si="20"/>
        <v>0.2857142857142857</v>
      </c>
      <c r="Q12" s="30">
        <f t="shared" si="8"/>
        <v>26</v>
      </c>
      <c r="R12" s="30"/>
      <c r="S12" s="36">
        <v>2.5761396702230801</v>
      </c>
      <c r="T12" s="29">
        <v>1376</v>
      </c>
      <c r="U12" s="37">
        <v>208</v>
      </c>
      <c r="V12" s="38" t="s">
        <v>52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0.15235879629629631</v>
      </c>
      <c r="AD12" s="40">
        <f t="shared" si="12"/>
        <v>-11.564032638888889</v>
      </c>
      <c r="AE12" s="40">
        <v>-5.42</v>
      </c>
      <c r="AF12" s="40">
        <v>-3.9794548863636301</v>
      </c>
      <c r="AG12" s="40">
        <v>0</v>
      </c>
    </row>
    <row r="13" spans="1:33" ht="15.75" customHeight="1" x14ac:dyDescent="0.2">
      <c r="A13" s="29" t="s">
        <v>57</v>
      </c>
      <c r="B13" s="29" t="s">
        <v>58</v>
      </c>
      <c r="C13" s="16">
        <f t="shared" si="4"/>
        <v>16.052448979591841</v>
      </c>
      <c r="D13" s="30">
        <v>49</v>
      </c>
      <c r="E13" s="30">
        <v>2</v>
      </c>
      <c r="F13" s="33">
        <v>786.57000000000016</v>
      </c>
      <c r="G13" s="31">
        <v>-0.13</v>
      </c>
      <c r="H13" s="32">
        <f t="shared" si="1"/>
        <v>1.6527454644850423E-4</v>
      </c>
      <c r="I13" s="32">
        <f t="shared" si="2"/>
        <v>0.24622471900598283</v>
      </c>
      <c r="J13" s="33">
        <f t="shared" si="5"/>
        <v>193.67297722853596</v>
      </c>
      <c r="K13" s="33">
        <f t="shared" si="3"/>
        <v>3.9525097393578768</v>
      </c>
      <c r="L13" s="30">
        <v>145</v>
      </c>
      <c r="M13" s="34">
        <f t="shared" si="6"/>
        <v>0.33793103448275863</v>
      </c>
      <c r="N13" s="30">
        <v>160</v>
      </c>
      <c r="O13" s="35">
        <f t="shared" ref="O13:P13" si="21">D13/7</f>
        <v>7</v>
      </c>
      <c r="P13" s="35">
        <f t="shared" si="21"/>
        <v>0.2857142857142857</v>
      </c>
      <c r="Q13" s="30">
        <f t="shared" si="8"/>
        <v>21</v>
      </c>
      <c r="R13" s="30"/>
      <c r="S13" s="36">
        <v>2.6480558325024899</v>
      </c>
      <c r="T13" s="29">
        <v>1376</v>
      </c>
      <c r="U13" s="37">
        <v>208</v>
      </c>
      <c r="V13" s="38" t="s">
        <v>52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0.15235879629629631</v>
      </c>
      <c r="AD13" s="40">
        <f t="shared" si="12"/>
        <v>-10.302501805555556</v>
      </c>
      <c r="AE13" s="40">
        <v>-5.42</v>
      </c>
      <c r="AF13" s="40">
        <v>-4.0591636931818096</v>
      </c>
      <c r="AG13" s="40">
        <v>0</v>
      </c>
    </row>
    <row r="14" spans="1:33" ht="15.75" customHeight="1" x14ac:dyDescent="0.2">
      <c r="A14" s="29" t="s">
        <v>59</v>
      </c>
      <c r="B14" s="29" t="s">
        <v>54</v>
      </c>
      <c r="C14" s="16">
        <f t="shared" si="4"/>
        <v>15.15591836734694</v>
      </c>
      <c r="D14" s="30">
        <v>49</v>
      </c>
      <c r="E14" s="30">
        <v>0</v>
      </c>
      <c r="F14" s="33">
        <v>742.6400000000001</v>
      </c>
      <c r="G14" s="31">
        <v>-0.06</v>
      </c>
      <c r="H14" s="32">
        <f t="shared" si="1"/>
        <v>8.0792847139933202E-5</v>
      </c>
      <c r="I14" s="32">
        <f t="shared" si="2"/>
        <v>0.21060335725053303</v>
      </c>
      <c r="J14" s="33">
        <f t="shared" si="5"/>
        <v>156.40247722853587</v>
      </c>
      <c r="K14" s="33">
        <f t="shared" si="3"/>
        <v>3.1918872903782831</v>
      </c>
      <c r="L14" s="30">
        <v>256</v>
      </c>
      <c r="M14" s="34">
        <f t="shared" si="6"/>
        <v>0.19140625</v>
      </c>
      <c r="N14" s="30">
        <v>113</v>
      </c>
      <c r="O14" s="35">
        <f t="shared" ref="O14:P14" si="22">D14/7</f>
        <v>7</v>
      </c>
      <c r="P14" s="35">
        <f t="shared" si="22"/>
        <v>0</v>
      </c>
      <c r="Q14" s="30">
        <f t="shared" si="8"/>
        <v>16</v>
      </c>
      <c r="R14" s="30"/>
      <c r="S14" s="36">
        <v>3.5937052932761002</v>
      </c>
      <c r="T14" s="29">
        <v>1152</v>
      </c>
      <c r="U14" s="37" t="s">
        <v>34</v>
      </c>
      <c r="V14" s="38" t="s">
        <v>60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35</v>
      </c>
      <c r="AB14" s="41">
        <f t="shared" si="11"/>
        <v>-0.69</v>
      </c>
      <c r="AC14" s="42">
        <v>0.15235879629629631</v>
      </c>
      <c r="AD14" s="40">
        <f t="shared" si="12"/>
        <v>-10.302501805555556</v>
      </c>
      <c r="AE14" s="40">
        <v>-5.42</v>
      </c>
      <c r="AF14" s="40">
        <v>-4.0591636931818096</v>
      </c>
      <c r="AG14" s="40">
        <v>0</v>
      </c>
    </row>
    <row r="15" spans="1:33" ht="15.75" customHeight="1" x14ac:dyDescent="0.2">
      <c r="A15" s="29" t="s">
        <v>61</v>
      </c>
      <c r="B15" s="29" t="s">
        <v>62</v>
      </c>
      <c r="C15" s="16">
        <f t="shared" si="4"/>
        <v>15.006615384615388</v>
      </c>
      <c r="D15" s="30">
        <v>65</v>
      </c>
      <c r="E15" s="30">
        <v>2</v>
      </c>
      <c r="F15" s="33">
        <v>975.43000000000029</v>
      </c>
      <c r="G15" s="31">
        <v>0</v>
      </c>
      <c r="H15" s="32">
        <f t="shared" si="1"/>
        <v>0</v>
      </c>
      <c r="I15" s="32">
        <f t="shared" si="2"/>
        <v>0.20432350441897906</v>
      </c>
      <c r="J15" s="33">
        <f t="shared" si="5"/>
        <v>199.30327591540481</v>
      </c>
      <c r="K15" s="33">
        <f t="shared" si="3"/>
        <v>3.0662042448523819</v>
      </c>
      <c r="L15" s="30">
        <v>170</v>
      </c>
      <c r="M15" s="34">
        <f t="shared" si="6"/>
        <v>0.38235294117647056</v>
      </c>
      <c r="N15" s="30">
        <v>50</v>
      </c>
      <c r="O15" s="35">
        <f t="shared" ref="O15:P15" si="23">D15/7</f>
        <v>9.2857142857142865</v>
      </c>
      <c r="P15" s="35">
        <f t="shared" si="23"/>
        <v>0.2857142857142857</v>
      </c>
      <c r="Q15" s="30">
        <f t="shared" si="8"/>
        <v>5</v>
      </c>
      <c r="R15" s="30"/>
      <c r="S15" s="36">
        <v>4.0254777070063597</v>
      </c>
      <c r="T15" s="29">
        <v>576</v>
      </c>
      <c r="U15" s="37">
        <v>576</v>
      </c>
      <c r="V15" s="38" t="s">
        <v>63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35</v>
      </c>
      <c r="AB15" s="41">
        <f t="shared" si="11"/>
        <v>-0.69</v>
      </c>
      <c r="AC15" s="42">
        <v>0.15235879629629631</v>
      </c>
      <c r="AD15" s="40">
        <f t="shared" si="12"/>
        <v>-13.666584027777777</v>
      </c>
      <c r="AE15" s="40">
        <v>-5.42</v>
      </c>
      <c r="AF15" s="40">
        <v>-4.0591636931818096</v>
      </c>
      <c r="AG15" s="40">
        <v>0</v>
      </c>
    </row>
    <row r="16" spans="1:33" ht="15.75" customHeight="1" x14ac:dyDescent="0.2">
      <c r="A16" s="29" t="s">
        <v>64</v>
      </c>
      <c r="B16" s="29" t="s">
        <v>65</v>
      </c>
      <c r="C16" s="16">
        <f t="shared" si="4"/>
        <v>16.523333333333337</v>
      </c>
      <c r="D16" s="30">
        <v>30</v>
      </c>
      <c r="E16" s="30">
        <v>0</v>
      </c>
      <c r="F16" s="33">
        <v>495.70000000000016</v>
      </c>
      <c r="G16" s="31">
        <v>-0.06</v>
      </c>
      <c r="H16" s="32">
        <f t="shared" si="1"/>
        <v>1.2104095218882385E-4</v>
      </c>
      <c r="I16" s="32">
        <f t="shared" si="2"/>
        <v>0.26347071825273177</v>
      </c>
      <c r="J16" s="33">
        <f t="shared" si="5"/>
        <v>130.60243503787919</v>
      </c>
      <c r="K16" s="33">
        <f t="shared" si="3"/>
        <v>4.3534145012626393</v>
      </c>
      <c r="L16" s="30">
        <v>125</v>
      </c>
      <c r="M16" s="34">
        <f t="shared" si="6"/>
        <v>0.24</v>
      </c>
      <c r="N16" s="30">
        <v>12</v>
      </c>
      <c r="O16" s="35">
        <f t="shared" ref="O16:P16" si="24">D16/7</f>
        <v>4.2857142857142856</v>
      </c>
      <c r="P16" s="35">
        <f t="shared" si="24"/>
        <v>0</v>
      </c>
      <c r="Q16" s="30">
        <f t="shared" si="8"/>
        <v>2</v>
      </c>
      <c r="R16" s="30"/>
      <c r="S16" s="36">
        <v>3.39612903225806</v>
      </c>
      <c r="T16" s="29">
        <v>576</v>
      </c>
      <c r="U16" s="37">
        <v>576</v>
      </c>
      <c r="V16" s="38" t="s">
        <v>63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35</v>
      </c>
      <c r="AB16" s="41">
        <f t="shared" si="11"/>
        <v>-0.69</v>
      </c>
      <c r="AC16" s="42">
        <v>0.15235879629629631</v>
      </c>
      <c r="AD16" s="40">
        <f t="shared" si="12"/>
        <v>-6.3076541666666666</v>
      </c>
      <c r="AE16" s="40">
        <v>-5.42</v>
      </c>
      <c r="AF16" s="40">
        <v>-4.0591636931818096</v>
      </c>
      <c r="AG16" s="40">
        <v>0</v>
      </c>
    </row>
    <row r="17" spans="1:33" ht="15.75" customHeight="1" x14ac:dyDescent="0.2">
      <c r="A17" s="29" t="s">
        <v>66</v>
      </c>
      <c r="B17" s="29" t="s">
        <v>67</v>
      </c>
      <c r="C17" s="16">
        <f t="shared" si="4"/>
        <v>16.989999999999998</v>
      </c>
      <c r="D17" s="30">
        <v>9</v>
      </c>
      <c r="E17" s="30">
        <v>4</v>
      </c>
      <c r="F17" s="33">
        <v>152.91</v>
      </c>
      <c r="G17" s="31">
        <v>0</v>
      </c>
      <c r="H17" s="32">
        <f t="shared" si="1"/>
        <v>0</v>
      </c>
      <c r="I17" s="32">
        <f t="shared" si="2"/>
        <v>0.27969871500466753</v>
      </c>
      <c r="J17" s="33">
        <f t="shared" si="5"/>
        <v>42.768730511363714</v>
      </c>
      <c r="K17" s="33">
        <f t="shared" si="3"/>
        <v>4.7520811679293011</v>
      </c>
      <c r="L17" s="30">
        <v>86</v>
      </c>
      <c r="M17" s="34">
        <f t="shared" si="6"/>
        <v>0.10465116279069768</v>
      </c>
      <c r="N17" s="30">
        <v>1</v>
      </c>
      <c r="O17" s="35">
        <f t="shared" ref="O17:P17" si="25">D17/7</f>
        <v>1.2857142857142858</v>
      </c>
      <c r="P17" s="35">
        <f t="shared" si="25"/>
        <v>0.5714285714285714</v>
      </c>
      <c r="Q17" s="30">
        <f t="shared" si="8"/>
        <v>0</v>
      </c>
      <c r="R17" s="30"/>
      <c r="S17" s="36">
        <v>3.8128654970760198</v>
      </c>
      <c r="T17" s="29">
        <v>576</v>
      </c>
      <c r="U17" s="37">
        <v>576</v>
      </c>
      <c r="V17" s="38" t="s">
        <v>68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35</v>
      </c>
      <c r="AB17" s="41">
        <f t="shared" si="11"/>
        <v>-0.69</v>
      </c>
      <c r="AC17" s="42">
        <v>0.15235879629629631</v>
      </c>
      <c r="AD17" s="40">
        <f t="shared" si="12"/>
        <v>-1.89229625</v>
      </c>
      <c r="AE17" s="40">
        <v>-5.42</v>
      </c>
      <c r="AF17" s="40">
        <v>-4.0591636931818096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16.990000000000002</v>
      </c>
      <c r="D18" s="30">
        <v>14</v>
      </c>
      <c r="E18" s="30">
        <v>3</v>
      </c>
      <c r="F18" s="33">
        <v>237.86</v>
      </c>
      <c r="G18" s="31">
        <v>0</v>
      </c>
      <c r="H18" s="32">
        <f t="shared" si="1"/>
        <v>0</v>
      </c>
      <c r="I18" s="32">
        <f t="shared" si="2"/>
        <v>0.27969871500466759</v>
      </c>
      <c r="J18" s="33">
        <f t="shared" si="5"/>
        <v>66.529136351010237</v>
      </c>
      <c r="K18" s="33">
        <f t="shared" si="3"/>
        <v>4.7520811679293029</v>
      </c>
      <c r="L18" s="30">
        <v>48</v>
      </c>
      <c r="M18" s="34">
        <f t="shared" si="6"/>
        <v>0.29166666666666669</v>
      </c>
      <c r="N18" s="30">
        <v>182</v>
      </c>
      <c r="O18" s="35">
        <f t="shared" ref="O18:P18" si="26">D18/7</f>
        <v>2</v>
      </c>
      <c r="P18" s="35">
        <f t="shared" si="26"/>
        <v>0.42857142857142855</v>
      </c>
      <c r="Q18" s="30">
        <f t="shared" si="8"/>
        <v>74</v>
      </c>
      <c r="R18" s="30"/>
      <c r="S18" s="36">
        <v>3.27868852459016</v>
      </c>
      <c r="T18" s="29">
        <v>576</v>
      </c>
      <c r="U18" s="37">
        <v>576</v>
      </c>
      <c r="V18" s="38" t="s">
        <v>70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35</v>
      </c>
      <c r="AB18" s="41">
        <f t="shared" si="11"/>
        <v>-0.69</v>
      </c>
      <c r="AC18" s="42">
        <v>0.15235879629629631</v>
      </c>
      <c r="AD18" s="40">
        <f t="shared" si="12"/>
        <v>-2.9435719444444444</v>
      </c>
      <c r="AE18" s="40">
        <v>-5.42</v>
      </c>
      <c r="AF18" s="40">
        <v>-4.0591636931818096</v>
      </c>
      <c r="AG18" s="40">
        <v>0</v>
      </c>
    </row>
    <row r="19" spans="1:33" ht="15.75" customHeight="1" x14ac:dyDescent="0.2">
      <c r="A19" s="29" t="s">
        <v>71</v>
      </c>
      <c r="B19" s="29" t="s">
        <v>72</v>
      </c>
      <c r="C19" s="16">
        <f t="shared" si="4"/>
        <v>16.990000000000006</v>
      </c>
      <c r="D19" s="30">
        <v>22</v>
      </c>
      <c r="E19" s="30">
        <v>0</v>
      </c>
      <c r="F19" s="33">
        <v>373.78000000000009</v>
      </c>
      <c r="G19" s="31">
        <v>-0.08</v>
      </c>
      <c r="H19" s="32">
        <f t="shared" si="1"/>
        <v>2.1402964310557007E-4</v>
      </c>
      <c r="I19" s="32">
        <f t="shared" si="2"/>
        <v>0.27948468536156174</v>
      </c>
      <c r="J19" s="33">
        <f t="shared" si="5"/>
        <v>104.46578569444456</v>
      </c>
      <c r="K19" s="33">
        <f t="shared" si="3"/>
        <v>4.7484448042929346</v>
      </c>
      <c r="L19" s="30">
        <v>100</v>
      </c>
      <c r="M19" s="34">
        <f t="shared" si="6"/>
        <v>0.22</v>
      </c>
      <c r="N19" s="30">
        <v>363</v>
      </c>
      <c r="O19" s="35">
        <f t="shared" ref="O19:P19" si="27">D19/7</f>
        <v>3.1428571428571428</v>
      </c>
      <c r="P19" s="35">
        <f t="shared" si="27"/>
        <v>0</v>
      </c>
      <c r="Q19" s="30">
        <f t="shared" si="8"/>
        <v>115</v>
      </c>
      <c r="R19" s="30"/>
      <c r="S19" s="36">
        <v>3.7245696400625898</v>
      </c>
      <c r="T19" s="29">
        <v>576</v>
      </c>
      <c r="U19" s="37">
        <v>576</v>
      </c>
      <c r="V19" s="38" t="s">
        <v>73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0.15235879629629631</v>
      </c>
      <c r="AD19" s="40">
        <f t="shared" si="12"/>
        <v>-4.6256130555555552</v>
      </c>
      <c r="AE19" s="40">
        <v>-5.42</v>
      </c>
      <c r="AF19" s="40">
        <v>-4.0591636931818176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16.15216216216216</v>
      </c>
      <c r="D20" s="30">
        <v>37</v>
      </c>
      <c r="E20" s="30">
        <v>1</v>
      </c>
      <c r="F20" s="33">
        <v>597.62999999999988</v>
      </c>
      <c r="G20" s="31">
        <v>-0.12000000000000001</v>
      </c>
      <c r="H20" s="32">
        <f t="shared" si="1"/>
        <v>2.0079313287485573E-4</v>
      </c>
      <c r="I20" s="32">
        <f t="shared" si="2"/>
        <v>0.24991550493346007</v>
      </c>
      <c r="J20" s="33">
        <f t="shared" si="5"/>
        <v>149.35700321338371</v>
      </c>
      <c r="K20" s="33">
        <f t="shared" si="3"/>
        <v>4.0366757625238838</v>
      </c>
      <c r="L20" s="30">
        <v>121</v>
      </c>
      <c r="M20" s="34">
        <f t="shared" si="6"/>
        <v>0.30578512396694213</v>
      </c>
      <c r="N20" s="30">
        <v>336</v>
      </c>
      <c r="O20" s="35">
        <f t="shared" ref="O20:P20" si="28">D20/7</f>
        <v>5.2857142857142856</v>
      </c>
      <c r="P20" s="35">
        <f t="shared" si="28"/>
        <v>0.14285714285714285</v>
      </c>
      <c r="Q20" s="30">
        <f t="shared" si="8"/>
        <v>61</v>
      </c>
      <c r="R20" s="30"/>
      <c r="S20" s="36">
        <v>2.3175965665236</v>
      </c>
      <c r="T20" s="29">
        <v>1248</v>
      </c>
      <c r="U20" s="37">
        <v>576</v>
      </c>
      <c r="V20" s="38" t="s">
        <v>73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0.15235879629629631</v>
      </c>
      <c r="AD20" s="40">
        <f t="shared" si="12"/>
        <v>-7.779440138888889</v>
      </c>
      <c r="AE20" s="40">
        <v>-5.42</v>
      </c>
      <c r="AF20" s="40">
        <v>-4.0591636931818176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15.09892307692308</v>
      </c>
      <c r="D21" s="30">
        <v>65</v>
      </c>
      <c r="E21" s="30">
        <v>0</v>
      </c>
      <c r="F21" s="33">
        <v>981.43000000000018</v>
      </c>
      <c r="G21" s="31">
        <v>-0.08</v>
      </c>
      <c r="H21" s="32">
        <f t="shared" si="1"/>
        <v>8.1513709587031159E-5</v>
      </c>
      <c r="I21" s="32">
        <f t="shared" si="2"/>
        <v>0.20818935218548859</v>
      </c>
      <c r="J21" s="33">
        <f t="shared" si="5"/>
        <v>204.32327591540411</v>
      </c>
      <c r="K21" s="33">
        <f t="shared" si="3"/>
        <v>3.1434350140831402</v>
      </c>
      <c r="L21" s="30">
        <v>103</v>
      </c>
      <c r="M21" s="34">
        <f t="shared" si="6"/>
        <v>0.6310679611650486</v>
      </c>
      <c r="N21" s="30">
        <v>842</v>
      </c>
      <c r="O21" s="35">
        <f t="shared" ref="O21:P21" si="29">D21/7</f>
        <v>9.2857142857142865</v>
      </c>
      <c r="P21" s="35">
        <f t="shared" si="29"/>
        <v>0</v>
      </c>
      <c r="Q21" s="30">
        <f t="shared" si="8"/>
        <v>90</v>
      </c>
      <c r="R21" s="30"/>
      <c r="S21" s="36">
        <v>1.6990068754774601</v>
      </c>
      <c r="T21" s="29">
        <v>672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0.15235879629629631</v>
      </c>
      <c r="AD21" s="40">
        <f t="shared" si="12"/>
        <v>-13.666584027777777</v>
      </c>
      <c r="AE21" s="40">
        <v>-5.42</v>
      </c>
      <c r="AF21" s="40">
        <v>-4.0591636931818176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15.045357142857148</v>
      </c>
      <c r="D22" s="30">
        <v>56</v>
      </c>
      <c r="E22" s="30">
        <v>0</v>
      </c>
      <c r="F22" s="31">
        <v>842.5400000000003</v>
      </c>
      <c r="G22" s="31">
        <v>-0.08</v>
      </c>
      <c r="H22" s="32">
        <f t="shared" si="1"/>
        <v>9.4950981555771806E-5</v>
      </c>
      <c r="I22" s="32">
        <f t="shared" si="2"/>
        <v>0.2040206998858432</v>
      </c>
      <c r="J22" s="33">
        <f t="shared" si="5"/>
        <v>171.89560048181841</v>
      </c>
      <c r="K22" s="33">
        <f t="shared" si="3"/>
        <v>3.069564294318186</v>
      </c>
      <c r="L22" s="30">
        <v>157</v>
      </c>
      <c r="M22" s="34">
        <f t="shared" si="6"/>
        <v>0.35668789808917195</v>
      </c>
      <c r="N22" s="30">
        <v>789</v>
      </c>
      <c r="O22" s="35">
        <f t="shared" ref="O22:P22" si="30">D22/7</f>
        <v>8</v>
      </c>
      <c r="P22" s="35">
        <f t="shared" si="30"/>
        <v>0</v>
      </c>
      <c r="Q22" s="30">
        <f t="shared" si="8"/>
        <v>98</v>
      </c>
      <c r="R22" s="30"/>
      <c r="S22" s="36">
        <v>1.6232771822358301</v>
      </c>
      <c r="T22" s="29">
        <v>672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0.1727514583333333</v>
      </c>
      <c r="AD22" s="40">
        <f t="shared" si="12"/>
        <v>-13.350232699999998</v>
      </c>
      <c r="AE22" s="40">
        <v>-5.42</v>
      </c>
      <c r="AF22" s="40">
        <v>-4.0591636931818176</v>
      </c>
      <c r="AG22" s="40">
        <v>0</v>
      </c>
    </row>
    <row r="23" spans="1:33" ht="15.75" customHeight="1" x14ac:dyDescent="0.2">
      <c r="A23" s="29" t="s">
        <v>77</v>
      </c>
      <c r="B23" s="29" t="s">
        <v>78</v>
      </c>
      <c r="C23" s="16">
        <f t="shared" si="4"/>
        <v>15.043934426229512</v>
      </c>
      <c r="D23" s="30">
        <v>61</v>
      </c>
      <c r="E23" s="30">
        <v>2</v>
      </c>
      <c r="F23" s="33">
        <v>917.68000000000029</v>
      </c>
      <c r="G23" s="31">
        <v>0</v>
      </c>
      <c r="H23" s="32">
        <f t="shared" si="1"/>
        <v>0</v>
      </c>
      <c r="I23" s="32">
        <f t="shared" si="2"/>
        <v>0.20405456908008163</v>
      </c>
      <c r="J23" s="33">
        <f t="shared" si="5"/>
        <v>187.25679695340938</v>
      </c>
      <c r="K23" s="33">
        <f t="shared" si="3"/>
        <v>3.0697835566132685</v>
      </c>
      <c r="L23" s="30">
        <v>167</v>
      </c>
      <c r="M23" s="34">
        <f t="shared" si="6"/>
        <v>0.3652694610778443</v>
      </c>
      <c r="N23" s="30">
        <v>723</v>
      </c>
      <c r="O23" s="35">
        <f t="shared" ref="O23:P23" si="31">D23/7</f>
        <v>8.7142857142857135</v>
      </c>
      <c r="P23" s="35">
        <f t="shared" si="31"/>
        <v>0.2857142857142857</v>
      </c>
      <c r="Q23" s="30">
        <f t="shared" si="8"/>
        <v>80</v>
      </c>
      <c r="R23" s="30"/>
      <c r="S23" s="36">
        <v>1.87862796833773</v>
      </c>
      <c r="T23" s="29">
        <v>672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0.1727514583333333</v>
      </c>
      <c r="AD23" s="40">
        <f t="shared" si="12"/>
        <v>-14.542217762499996</v>
      </c>
      <c r="AE23" s="40">
        <v>-5.42</v>
      </c>
      <c r="AF23" s="40">
        <v>-4.0591636931818176</v>
      </c>
      <c r="AG23" s="40">
        <v>0</v>
      </c>
    </row>
    <row r="24" spans="1:33" ht="15.75" customHeight="1" x14ac:dyDescent="0.2">
      <c r="A24" s="29" t="s">
        <v>79</v>
      </c>
      <c r="B24" s="29" t="s">
        <v>80</v>
      </c>
      <c r="C24" s="16">
        <f t="shared" si="4"/>
        <v>14.539062499999996</v>
      </c>
      <c r="D24" s="30">
        <v>64</v>
      </c>
      <c r="E24" s="30">
        <v>0</v>
      </c>
      <c r="F24" s="33">
        <v>930.49999999999977</v>
      </c>
      <c r="G24" s="33">
        <v>-0.03</v>
      </c>
      <c r="H24" s="32">
        <f t="shared" si="1"/>
        <v>3.2240730789897912E-5</v>
      </c>
      <c r="I24" s="32">
        <f t="shared" si="2"/>
        <v>0.18159174082360408</v>
      </c>
      <c r="J24" s="33">
        <f t="shared" si="5"/>
        <v>168.97111483636354</v>
      </c>
      <c r="K24" s="33">
        <f t="shared" si="3"/>
        <v>2.6401736693181803</v>
      </c>
      <c r="L24" s="30">
        <v>148</v>
      </c>
      <c r="M24" s="34">
        <f t="shared" si="6"/>
        <v>0.43243243243243246</v>
      </c>
      <c r="N24" s="30">
        <v>662</v>
      </c>
      <c r="O24" s="35">
        <f t="shared" ref="O24:P24" si="32">D24/7</f>
        <v>9.1428571428571423</v>
      </c>
      <c r="P24" s="35">
        <f t="shared" si="32"/>
        <v>0</v>
      </c>
      <c r="Q24" s="30">
        <f t="shared" si="8"/>
        <v>72</v>
      </c>
      <c r="R24" s="30"/>
      <c r="S24" s="36">
        <v>1.54927636113025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Summary!A1:AD5000""),9,FALSE),"""")"),672)</f>
        <v>672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0.1727514583333333</v>
      </c>
      <c r="AD24" s="40">
        <f t="shared" si="12"/>
        <v>-15.257408799999997</v>
      </c>
      <c r="AE24" s="40">
        <v>-5.42</v>
      </c>
      <c r="AF24" s="40">
        <v>-4.0591636931818176</v>
      </c>
      <c r="AG24" s="40">
        <v>0</v>
      </c>
    </row>
    <row r="25" spans="1:33" ht="15.75" customHeight="1" x14ac:dyDescent="0.2">
      <c r="A25" s="15" t="s">
        <v>81</v>
      </c>
      <c r="B25" s="15" t="s">
        <v>82</v>
      </c>
      <c r="C25" s="16">
        <f t="shared" si="4"/>
        <v>14.420853658536585</v>
      </c>
      <c r="D25" s="17">
        <v>82</v>
      </c>
      <c r="E25" s="17">
        <v>1</v>
      </c>
      <c r="F25" s="18">
        <v>1182.51</v>
      </c>
      <c r="G25" s="18">
        <v>0</v>
      </c>
      <c r="H25" s="32">
        <f t="shared" si="1"/>
        <v>0</v>
      </c>
      <c r="I25" s="32">
        <f t="shared" si="2"/>
        <v>0.17608725928322025</v>
      </c>
      <c r="J25" s="33">
        <f t="shared" si="5"/>
        <v>208.22494497500077</v>
      </c>
      <c r="K25" s="33">
        <f t="shared" si="3"/>
        <v>2.539328597256107</v>
      </c>
      <c r="L25" s="17">
        <v>204</v>
      </c>
      <c r="M25" s="34">
        <f t="shared" si="6"/>
        <v>0.40196078431372551</v>
      </c>
      <c r="N25" s="17">
        <v>566</v>
      </c>
      <c r="O25" s="35">
        <f t="shared" ref="O25:P25" si="33">D25/7</f>
        <v>11.714285714285714</v>
      </c>
      <c r="P25" s="35">
        <f t="shared" si="33"/>
        <v>0.14285714285714285</v>
      </c>
      <c r="Q25" s="30">
        <f t="shared" si="8"/>
        <v>47</v>
      </c>
      <c r="R25" s="30"/>
      <c r="S25" s="36">
        <v>1.54927636113025</v>
      </c>
      <c r="T25" s="29">
        <v>672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0.1727514583333333</v>
      </c>
      <c r="AD25" s="40">
        <f t="shared" si="12"/>
        <v>-19.548555024999995</v>
      </c>
      <c r="AE25" s="26">
        <v>-5.42</v>
      </c>
      <c r="AF25" s="26">
        <v>-4.0599999999999898</v>
      </c>
      <c r="AG25" s="26">
        <v>0</v>
      </c>
    </row>
    <row r="26" spans="1:33" ht="15.75" customHeight="1" x14ac:dyDescent="0.2">
      <c r="A26" s="15" t="s">
        <v>83</v>
      </c>
      <c r="B26" s="15" t="s">
        <v>82</v>
      </c>
      <c r="C26" s="16">
        <f t="shared" si="4"/>
        <v>14.437999999999999</v>
      </c>
      <c r="D26" s="17">
        <v>70</v>
      </c>
      <c r="E26" s="17">
        <v>1</v>
      </c>
      <c r="F26" s="18">
        <v>1010.66</v>
      </c>
      <c r="G26" s="18">
        <v>-0.08</v>
      </c>
      <c r="H26" s="32">
        <f t="shared" si="1"/>
        <v>7.9156194961708194E-5</v>
      </c>
      <c r="I26" s="32">
        <f t="shared" si="2"/>
        <v>0.15885832090146365</v>
      </c>
      <c r="J26" s="33">
        <f t="shared" si="5"/>
        <v>160.55175060227324</v>
      </c>
      <c r="K26" s="33">
        <f t="shared" si="3"/>
        <v>2.2935964371753319</v>
      </c>
      <c r="L26" s="17">
        <v>169</v>
      </c>
      <c r="M26" s="34">
        <f t="shared" si="6"/>
        <v>0.41420118343195267</v>
      </c>
      <c r="N26" s="17">
        <v>505</v>
      </c>
      <c r="O26" s="35">
        <f t="shared" ref="O26:P26" si="34">D26/7</f>
        <v>10</v>
      </c>
      <c r="P26" s="35">
        <f t="shared" si="34"/>
        <v>0.14285714285714285</v>
      </c>
      <c r="Q26" s="30">
        <f t="shared" si="8"/>
        <v>49</v>
      </c>
      <c r="R26" s="30"/>
      <c r="S26" s="22">
        <v>1.524904214559387</v>
      </c>
      <c r="T26" s="29">
        <v>672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0.1727514583333333</v>
      </c>
      <c r="AD26" s="40">
        <f t="shared" si="12"/>
        <v>-16.687790874999997</v>
      </c>
      <c r="AE26" s="26">
        <v>-5.68</v>
      </c>
      <c r="AF26" s="26">
        <v>-4.0591636931818096</v>
      </c>
      <c r="AG26" s="26">
        <v>0</v>
      </c>
    </row>
    <row r="27" spans="1:33" ht="15.75" customHeight="1" x14ac:dyDescent="0.2">
      <c r="A27" s="15" t="s">
        <v>84</v>
      </c>
      <c r="B27" s="15" t="s">
        <v>82</v>
      </c>
      <c r="C27" s="16">
        <f t="shared" si="4"/>
        <v>13.99</v>
      </c>
      <c r="D27" s="17">
        <v>68</v>
      </c>
      <c r="E27" s="17">
        <v>1</v>
      </c>
      <c r="F27" s="18">
        <v>951.32</v>
      </c>
      <c r="G27" s="18">
        <v>-0.08</v>
      </c>
      <c r="H27" s="32">
        <f t="shared" si="1"/>
        <v>8.4093680359920945E-5</v>
      </c>
      <c r="I27" s="32">
        <f t="shared" si="2"/>
        <v>0.13672357567762367</v>
      </c>
      <c r="J27" s="33">
        <f t="shared" si="5"/>
        <v>130.06787201363696</v>
      </c>
      <c r="K27" s="33">
        <f t="shared" si="3"/>
        <v>1.9127628237299552</v>
      </c>
      <c r="L27" s="17">
        <v>204</v>
      </c>
      <c r="M27" s="34">
        <f t="shared" si="6"/>
        <v>0.33333333333333331</v>
      </c>
      <c r="N27" s="17">
        <v>443</v>
      </c>
      <c r="O27" s="35">
        <f t="shared" ref="O27:P27" si="35">D27/7</f>
        <v>9.7142857142857135</v>
      </c>
      <c r="P27" s="35">
        <f t="shared" si="35"/>
        <v>0.14285714285714285</v>
      </c>
      <c r="Q27" s="30">
        <f t="shared" si="8"/>
        <v>44</v>
      </c>
      <c r="R27" s="30"/>
      <c r="S27" s="22">
        <v>1.6775049767750501</v>
      </c>
      <c r="T27" s="29">
        <v>672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0.08</v>
      </c>
      <c r="Z27" s="15">
        <v>1</v>
      </c>
      <c r="AA27" s="29" t="s">
        <v>35</v>
      </c>
      <c r="AB27" s="41">
        <f t="shared" si="11"/>
        <v>-0.69</v>
      </c>
      <c r="AC27" s="42">
        <v>0.1727514583333333</v>
      </c>
      <c r="AD27" s="40">
        <f t="shared" si="12"/>
        <v>-16.210996849999997</v>
      </c>
      <c r="AE27" s="26">
        <v>-5.68</v>
      </c>
      <c r="AF27" s="26">
        <v>-4.0591636931818096</v>
      </c>
      <c r="AG27" s="26">
        <v>0</v>
      </c>
    </row>
    <row r="28" spans="1:33" ht="15.75" customHeight="1" x14ac:dyDescent="0.2">
      <c r="A28" s="15" t="s">
        <v>85</v>
      </c>
      <c r="B28" s="15" t="s">
        <v>86</v>
      </c>
      <c r="C28" s="16">
        <f t="shared" si="4"/>
        <v>14.70876404494382</v>
      </c>
      <c r="D28" s="17">
        <v>89</v>
      </c>
      <c r="E28" s="17">
        <v>0</v>
      </c>
      <c r="F28" s="18">
        <v>1309.08</v>
      </c>
      <c r="G28" s="18">
        <v>-0.08</v>
      </c>
      <c r="H28" s="32">
        <f t="shared" si="1"/>
        <v>6.1111620374614233E-5</v>
      </c>
      <c r="I28" s="32">
        <f t="shared" si="2"/>
        <v>0.17159768478192233</v>
      </c>
      <c r="J28" s="33">
        <f t="shared" si="5"/>
        <v>224.63509719431886</v>
      </c>
      <c r="K28" s="33">
        <f t="shared" si="3"/>
        <v>2.5239898561159424</v>
      </c>
      <c r="L28" s="17">
        <v>216</v>
      </c>
      <c r="M28" s="34">
        <f t="shared" si="6"/>
        <v>0.41203703703703703</v>
      </c>
      <c r="N28" s="17">
        <v>346</v>
      </c>
      <c r="O28" s="35">
        <f t="shared" ref="O28:P28" si="36">D28/7</f>
        <v>12.714285714285714</v>
      </c>
      <c r="P28" s="35">
        <f t="shared" si="36"/>
        <v>0</v>
      </c>
      <c r="Q28" s="30">
        <f t="shared" si="8"/>
        <v>27</v>
      </c>
      <c r="R28" s="30"/>
      <c r="S28" s="22">
        <v>1.732303732303732</v>
      </c>
      <c r="T28" s="15">
        <v>672</v>
      </c>
      <c r="U28" s="23" t="s">
        <v>34</v>
      </c>
      <c r="V28" s="1" t="s">
        <v>87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0.1727514583333333</v>
      </c>
      <c r="AD28" s="40">
        <f t="shared" si="12"/>
        <v>-21.217334112499994</v>
      </c>
      <c r="AE28" s="26">
        <v>-5.68</v>
      </c>
      <c r="AF28" s="26">
        <v>-4.0591636931818096</v>
      </c>
      <c r="AG28" s="26">
        <v>0</v>
      </c>
    </row>
    <row r="29" spans="1:33" ht="15.75" customHeight="1" x14ac:dyDescent="0.2">
      <c r="A29" s="15" t="s">
        <v>88</v>
      </c>
      <c r="B29" s="15" t="s">
        <v>86</v>
      </c>
      <c r="C29" s="16">
        <f t="shared" si="4"/>
        <v>14.786901408450703</v>
      </c>
      <c r="D29" s="17">
        <v>71</v>
      </c>
      <c r="E29" s="17">
        <v>1</v>
      </c>
      <c r="F29" s="18">
        <v>1049.8699999999999</v>
      </c>
      <c r="G29" s="18">
        <v>-0.15</v>
      </c>
      <c r="H29" s="32">
        <f t="shared" si="1"/>
        <v>1.4287483212207226E-4</v>
      </c>
      <c r="I29" s="32">
        <f t="shared" si="2"/>
        <v>0.17510043138349657</v>
      </c>
      <c r="J29" s="33">
        <f t="shared" si="5"/>
        <v>183.83268989659152</v>
      </c>
      <c r="K29" s="33">
        <f t="shared" si="3"/>
        <v>2.5891928154449508</v>
      </c>
      <c r="L29" s="17">
        <v>171</v>
      </c>
      <c r="M29" s="34">
        <f t="shared" si="6"/>
        <v>0.41520467836257308</v>
      </c>
      <c r="N29" s="17">
        <v>272</v>
      </c>
      <c r="O29" s="35">
        <f t="shared" ref="O29:P29" si="37">D29/7</f>
        <v>10.142857142857142</v>
      </c>
      <c r="P29" s="35">
        <f t="shared" si="37"/>
        <v>0.14285714285714285</v>
      </c>
      <c r="Q29" s="30">
        <f t="shared" si="8"/>
        <v>26</v>
      </c>
      <c r="R29" s="30"/>
      <c r="S29" s="22">
        <v>1.503485254691689</v>
      </c>
      <c r="T29" s="15" t="s">
        <v>34</v>
      </c>
      <c r="U29" s="23">
        <v>400</v>
      </c>
      <c r="V29" s="1" t="s">
        <v>89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0.1727514583333333</v>
      </c>
      <c r="AD29" s="40">
        <f t="shared" si="12"/>
        <v>-16.926187887499996</v>
      </c>
      <c r="AE29" s="26">
        <v>-5.68</v>
      </c>
      <c r="AF29" s="26">
        <v>-4.0591636931818096</v>
      </c>
      <c r="AG29" s="26">
        <v>0</v>
      </c>
    </row>
    <row r="30" spans="1:33" ht="15.75" customHeight="1" x14ac:dyDescent="0.2">
      <c r="A30" s="15" t="s">
        <v>90</v>
      </c>
      <c r="B30" s="15" t="s">
        <v>91</v>
      </c>
      <c r="C30" s="16">
        <f t="shared" si="4"/>
        <v>14.209538461538454</v>
      </c>
      <c r="D30" s="17">
        <v>65</v>
      </c>
      <c r="E30" s="17">
        <v>0</v>
      </c>
      <c r="F30" s="18">
        <v>923.61999999999955</v>
      </c>
      <c r="G30" s="18">
        <v>-0.16</v>
      </c>
      <c r="H30" s="32">
        <f t="shared" si="1"/>
        <v>1.7323141551720412E-4</v>
      </c>
      <c r="I30" s="32">
        <f t="shared" si="2"/>
        <v>0.15574395083277129</v>
      </c>
      <c r="J30" s="33">
        <f t="shared" si="5"/>
        <v>143.84822786816414</v>
      </c>
      <c r="K30" s="33">
        <f t="shared" si="3"/>
        <v>2.2130496595102178</v>
      </c>
      <c r="L30" s="17">
        <v>151</v>
      </c>
      <c r="M30" s="34">
        <f t="shared" si="6"/>
        <v>0.43046357615894038</v>
      </c>
      <c r="N30" s="17">
        <v>213</v>
      </c>
      <c r="O30" s="35">
        <f t="shared" ref="O30:P30" si="38">D30/7</f>
        <v>9.2857142857142865</v>
      </c>
      <c r="P30" s="35">
        <f t="shared" si="38"/>
        <v>0</v>
      </c>
      <c r="Q30" s="30">
        <f t="shared" si="8"/>
        <v>22</v>
      </c>
      <c r="R30" s="30"/>
      <c r="S30" s="22">
        <v>1.6658986175115209</v>
      </c>
      <c r="T30" s="15" t="s">
        <v>34</v>
      </c>
      <c r="U30" s="23">
        <v>672</v>
      </c>
      <c r="V30" s="1" t="s">
        <v>92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0.1727514583333333</v>
      </c>
      <c r="AD30" s="40">
        <f t="shared" si="12"/>
        <v>-15.495805812499997</v>
      </c>
      <c r="AE30" s="26">
        <v>-5.68</v>
      </c>
      <c r="AF30" s="26">
        <v>-3.9441994818359301</v>
      </c>
      <c r="AG30" s="26">
        <v>0</v>
      </c>
    </row>
    <row r="31" spans="1:33" ht="15.75" customHeight="1" x14ac:dyDescent="0.2">
      <c r="A31" s="15" t="s">
        <v>93</v>
      </c>
      <c r="B31" s="29" t="s">
        <v>94</v>
      </c>
      <c r="C31" s="16">
        <f t="shared" si="4"/>
        <v>15.095781250000002</v>
      </c>
      <c r="D31" s="17">
        <v>64</v>
      </c>
      <c r="E31" s="17">
        <v>0</v>
      </c>
      <c r="F31" s="18">
        <v>966.13000000000011</v>
      </c>
      <c r="G31" s="18">
        <v>-0.04</v>
      </c>
      <c r="H31" s="32">
        <f t="shared" si="1"/>
        <v>4.1402295757299742E-5</v>
      </c>
      <c r="I31" s="32">
        <f t="shared" si="2"/>
        <v>0.19662397851479632</v>
      </c>
      <c r="J31" s="33">
        <f t="shared" si="5"/>
        <v>189.96432436250018</v>
      </c>
      <c r="K31" s="33">
        <f t="shared" si="3"/>
        <v>2.9681925681640653</v>
      </c>
      <c r="L31" s="17">
        <v>215</v>
      </c>
      <c r="M31" s="34">
        <f t="shared" si="6"/>
        <v>0.29767441860465116</v>
      </c>
      <c r="N31" s="17">
        <v>144</v>
      </c>
      <c r="O31" s="35">
        <f t="shared" ref="O31:P31" si="39">D31/7</f>
        <v>9.1428571428571423</v>
      </c>
      <c r="P31" s="35">
        <f t="shared" si="39"/>
        <v>0</v>
      </c>
      <c r="Q31" s="30">
        <f t="shared" si="8"/>
        <v>15</v>
      </c>
      <c r="R31" s="30"/>
      <c r="S31" s="22">
        <v>1.8683901292596901</v>
      </c>
      <c r="T31" s="15" t="s">
        <v>34</v>
      </c>
      <c r="U31" s="23">
        <v>672</v>
      </c>
      <c r="V31" s="1" t="s">
        <v>95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35</v>
      </c>
      <c r="AB31" s="41">
        <f t="shared" si="11"/>
        <v>-0.69</v>
      </c>
      <c r="AC31" s="28">
        <v>0.1727514583333333</v>
      </c>
      <c r="AD31" s="40">
        <f t="shared" si="12"/>
        <v>-15.257408799999997</v>
      </c>
      <c r="AE31" s="26">
        <v>-5.68</v>
      </c>
      <c r="AF31" s="43">
        <v>-3.9441994818359367</v>
      </c>
      <c r="AG31" s="26">
        <v>0</v>
      </c>
    </row>
    <row r="32" spans="1:33" ht="15.75" customHeight="1" x14ac:dyDescent="0.2">
      <c r="A32" s="15" t="s">
        <v>96</v>
      </c>
      <c r="B32" s="44" t="s">
        <v>97</v>
      </c>
      <c r="C32" s="16">
        <f t="shared" si="4"/>
        <v>15.99</v>
      </c>
      <c r="D32" s="17">
        <v>48</v>
      </c>
      <c r="E32" s="17">
        <v>1</v>
      </c>
      <c r="F32" s="18">
        <v>767.52</v>
      </c>
      <c r="G32" s="18">
        <v>-0.6</v>
      </c>
      <c r="H32" s="32">
        <f t="shared" si="1"/>
        <v>7.817385866166354E-4</v>
      </c>
      <c r="I32" s="32">
        <f t="shared" si="2"/>
        <v>0.23242048190519499</v>
      </c>
      <c r="J32" s="33">
        <f t="shared" si="5"/>
        <v>178.38736827187526</v>
      </c>
      <c r="K32" s="33">
        <f t="shared" si="3"/>
        <v>3.7164035056640681</v>
      </c>
      <c r="L32" s="17">
        <v>189</v>
      </c>
      <c r="M32" s="34">
        <f t="shared" si="6"/>
        <v>0.25396825396825395</v>
      </c>
      <c r="N32" s="17">
        <v>95</v>
      </c>
      <c r="O32" s="35">
        <f t="shared" ref="O32:P32" si="40">D32/7</f>
        <v>6.8571428571428568</v>
      </c>
      <c r="P32" s="35">
        <f t="shared" si="40"/>
        <v>0.14285714285714285</v>
      </c>
      <c r="Q32" s="30">
        <f t="shared" si="8"/>
        <v>13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2.052044609665427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IFERROR(__xludf.DUMMYFUNCTION("IFERROR(VLOOKUP($B$2,IMPORTRANGE(""https://docs.google.com/spreadsheets/d/1KiWZV1ko8G7lnRucBRBd29jj3Be6ltMfljMDqzOkQmI/edit#gid=1381463014"",""Lookup!A:D""),3,FALSE),"""")"),0)</f>
        <v>0</v>
      </c>
      <c r="V32" s="1" t="str">
        <f ca="1">IFERROR(__xludf.DUMMYFUNCTION("IFERROR(VLOOKUP($B$2,IMPORTRANGE(""https://docs.google.com/spreadsheets/d/1KiWZV1ko8G7lnRucBRBd29jj3Be6ltMfljMDqzOkQmI/edit#gid=1381463014"",""Lookup!A:D""),2,FALSE),"""")"),"| S210707  - 672 units 09/17")</f>
        <v>| S210707  - 672 units 09/17</v>
      </c>
      <c r="W32" s="15">
        <v>1</v>
      </c>
      <c r="X32" s="39">
        <f t="shared" si="9"/>
        <v>2.0833333333333332E-2</v>
      </c>
      <c r="Y32" s="40">
        <f t="shared" si="10"/>
        <v>0.3</v>
      </c>
      <c r="Z32" s="15">
        <v>1</v>
      </c>
      <c r="AA32" s="15" t="s">
        <v>35</v>
      </c>
      <c r="AB32" s="41">
        <f t="shared" si="11"/>
        <v>-0.69</v>
      </c>
      <c r="AC32" s="28">
        <v>0.1727514583333333</v>
      </c>
      <c r="AD32" s="40">
        <f t="shared" si="12"/>
        <v>-11.443056599999998</v>
      </c>
      <c r="AE32" s="26">
        <v>-5.68</v>
      </c>
      <c r="AF32" s="26">
        <v>-3.9441994818359301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2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1.1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Info!B1:BJ5000""),3,FALSE),"""")"),"Framed Chalkboard Sign - 12x16 Inch Rustic Hanging Kitchen Chalk Board (White)")</f>
        <v>Framed Chalkboard Sign - 12x16 Inch Rustic Hanging Kitchen Chalk Board (White)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Info!B1:BJ5000""),2,FALSE),"""")"),"B07851PB5V")</f>
        <v>B07851PB5V</v>
      </c>
      <c r="B2" s="3" t="s">
        <v>98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13.25" customHeight="1" x14ac:dyDescent="0.2">
      <c r="A3" s="57" t="s">
        <v>31</v>
      </c>
      <c r="B3" s="58"/>
      <c r="C3" s="4">
        <f>((AE32+AF32)/0.85)*-1</f>
        <v>10.72033468451286</v>
      </c>
      <c r="D3" s="5">
        <f>SUM(D4:D99519)</f>
        <v>580</v>
      </c>
      <c r="E3" s="5"/>
      <c r="F3" s="6">
        <f t="shared" ref="F3:G3" si="0">SUM(F4:F99519)</f>
        <v>8834.8000000000011</v>
      </c>
      <c r="G3" s="6">
        <f t="shared" si="0"/>
        <v>-129.10999999999999</v>
      </c>
      <c r="H3" s="7">
        <f t="shared" ref="H3:H32" si="1">G3/F3*-1</f>
        <v>1.4613799972834695E-2</v>
      </c>
      <c r="I3" s="8">
        <f t="shared" ref="I3:I32" si="2">J3/F3</f>
        <v>0.21518858873353833</v>
      </c>
      <c r="J3" s="6">
        <f>SUM(J4:J99519)</f>
        <v>1901.1481437430646</v>
      </c>
      <c r="K3" s="6">
        <f t="shared" ref="K3:K32" si="3">J3/D3</f>
        <v>3.2778416271432147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Sheet!a1:g5000""),2,FALSE),"""")"),"6.0 - March
6.0 - April
6.0 - May
6.0 - June
6.0 - July
6.0 - Aug
6.0 - Sept
6.0 - Oct
6.0 - Nov
6.0 - Dec
6.0 - Jan
6.0 - Feb")</f>
        <v>6.0 - March
6.0 - April
6.0 - May
6.0 - June
6.0 - July
6.0 - Aug
6.0 - Sept
6.0 - Oct
6.0 - Nov
6.0 - Dec
6.0 - Jan
6.0 -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QTY-6")</f>
        <v>Del QTY-6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QTY-320")</f>
        <v>US QTY-320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Transit-0")</f>
        <v>In Transit-0</v>
      </c>
      <c r="W3" s="5">
        <f>SUM(W4:W99519)</f>
        <v>5</v>
      </c>
      <c r="X3" s="7">
        <f>W3/D3</f>
        <v>8.6206896551724137E-3</v>
      </c>
      <c r="Y3" s="6"/>
      <c r="Z3" s="5"/>
      <c r="AA3" s="5"/>
      <c r="AB3" s="5"/>
      <c r="AC3" s="5"/>
      <c r="AD3" s="6">
        <f>SUM(AD4:AD99519)</f>
        <v>-121.95212231379554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Info!B2:BZ3000""),37,FALSE)),"""")*-1"),-4.16228448183593)</f>
        <v>-4.1622844818359299</v>
      </c>
      <c r="AG3" s="6">
        <f>SUM(AG4:AG99519)</f>
        <v>0</v>
      </c>
    </row>
    <row r="4" spans="1:33" x14ac:dyDescent="0.2">
      <c r="A4" s="15" t="s">
        <v>32</v>
      </c>
      <c r="B4" s="15" t="s">
        <v>33</v>
      </c>
      <c r="C4" s="16">
        <f t="shared" ref="C4:C32" si="4">IFERROR(F4/D4," - ")</f>
        <v>17.589999999999993</v>
      </c>
      <c r="D4" s="17">
        <v>22</v>
      </c>
      <c r="E4" s="17">
        <v>0</v>
      </c>
      <c r="F4" s="18">
        <v>386.97999999999985</v>
      </c>
      <c r="G4" s="18">
        <v>0</v>
      </c>
      <c r="H4" s="19">
        <f t="shared" si="1"/>
        <v>0</v>
      </c>
      <c r="I4" s="19">
        <f t="shared" si="2"/>
        <v>0.31878747627640797</v>
      </c>
      <c r="J4" s="18">
        <f t="shared" ref="J4:J32" si="5">F4*0.85+G4+AF4*D4+D4*AE4+AG4+AD4</f>
        <v>123.3643775694443</v>
      </c>
      <c r="K4" s="18">
        <f t="shared" si="3"/>
        <v>5.6074717077020138</v>
      </c>
      <c r="L4" s="17">
        <v>63</v>
      </c>
      <c r="M4" s="20">
        <f t="shared" ref="M4:M32" si="6">IFERROR(D4/L4,"-")</f>
        <v>0.34920634920634919</v>
      </c>
      <c r="N4" s="17">
        <v>140</v>
      </c>
      <c r="O4" s="21">
        <f t="shared" ref="O4:P4" si="7">D4/7</f>
        <v>3.1428571428571428</v>
      </c>
      <c r="P4" s="21">
        <f t="shared" si="7"/>
        <v>0</v>
      </c>
      <c r="Q4" s="17">
        <f t="shared" ref="Q4:Q32" si="8">ROUNDDOWN(N4/(O4+P4),0)</f>
        <v>44</v>
      </c>
      <c r="R4" s="17"/>
      <c r="S4" s="22">
        <v>1.2021857923497199</v>
      </c>
      <c r="T4" s="15">
        <v>496</v>
      </c>
      <c r="U4" s="23">
        <v>32</v>
      </c>
      <c r="V4" s="24" t="s">
        <v>99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0.15235879629629631</v>
      </c>
      <c r="AD4" s="26">
        <f t="shared" ref="AD4:AD32" si="12">IFERROR(AB4*AC4*D4*2,0)</f>
        <v>-4.6256130555555552</v>
      </c>
      <c r="AE4" s="26">
        <v>-5.42</v>
      </c>
      <c r="AF4" s="26">
        <v>-3.713773153409091</v>
      </c>
      <c r="AG4" s="26">
        <v>0</v>
      </c>
    </row>
    <row r="5" spans="1:33" ht="15.75" customHeight="1" x14ac:dyDescent="0.2">
      <c r="A5" s="29" t="s">
        <v>36</v>
      </c>
      <c r="B5" s="29" t="s">
        <v>100</v>
      </c>
      <c r="C5" s="16">
        <f t="shared" si="4"/>
        <v>17.641176470588231</v>
      </c>
      <c r="D5" s="30">
        <v>17</v>
      </c>
      <c r="E5" s="30">
        <v>0</v>
      </c>
      <c r="F5" s="31">
        <v>299.89999999999992</v>
      </c>
      <c r="G5" s="31">
        <v>0</v>
      </c>
      <c r="H5" s="32">
        <f t="shared" si="1"/>
        <v>0</v>
      </c>
      <c r="I5" s="32">
        <f t="shared" si="2"/>
        <v>0.32031469580758359</v>
      </c>
      <c r="J5" s="33">
        <f t="shared" si="5"/>
        <v>96.062377272694292</v>
      </c>
      <c r="K5" s="33">
        <f t="shared" si="3"/>
        <v>5.6507280748643698</v>
      </c>
      <c r="L5" s="30">
        <v>86</v>
      </c>
      <c r="M5" s="34">
        <f t="shared" si="6"/>
        <v>0.19767441860465115</v>
      </c>
      <c r="N5" s="30">
        <v>166</v>
      </c>
      <c r="O5" s="35">
        <f t="shared" ref="O5:P5" si="13">D5/7</f>
        <v>2.4285714285714284</v>
      </c>
      <c r="P5" s="35">
        <f t="shared" si="13"/>
        <v>0</v>
      </c>
      <c r="Q5" s="30">
        <f t="shared" si="8"/>
        <v>68</v>
      </c>
      <c r="R5" s="30"/>
      <c r="S5" s="36">
        <v>0.91044776119402904</v>
      </c>
      <c r="T5" s="29">
        <v>496</v>
      </c>
      <c r="U5" s="37">
        <v>32</v>
      </c>
      <c r="V5" s="38" t="s">
        <v>101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35</v>
      </c>
      <c r="AB5" s="41">
        <f t="shared" si="11"/>
        <v>-0.69</v>
      </c>
      <c r="AC5" s="42">
        <v>0.15253534183082271</v>
      </c>
      <c r="AD5" s="40">
        <f t="shared" si="12"/>
        <v>-3.5784791193511007</v>
      </c>
      <c r="AE5" s="40">
        <v>-5.42</v>
      </c>
      <c r="AF5" s="40">
        <v>-3.713773153409091</v>
      </c>
      <c r="AG5" s="40">
        <v>0</v>
      </c>
    </row>
    <row r="6" spans="1:33" ht="15.75" customHeight="1" x14ac:dyDescent="0.2">
      <c r="A6" s="29" t="s">
        <v>38</v>
      </c>
      <c r="B6" s="29" t="s">
        <v>102</v>
      </c>
      <c r="C6" s="16">
        <f t="shared" si="4"/>
        <v>16.696499999999993</v>
      </c>
      <c r="D6" s="30">
        <v>20</v>
      </c>
      <c r="E6" s="30">
        <v>0</v>
      </c>
      <c r="F6" s="31">
        <v>333.92999999999989</v>
      </c>
      <c r="G6" s="31">
        <v>0</v>
      </c>
      <c r="H6" s="32">
        <f t="shared" si="1"/>
        <v>0</v>
      </c>
      <c r="I6" s="32">
        <f t="shared" si="2"/>
        <v>0.29036005795837555</v>
      </c>
      <c r="J6" s="33">
        <f t="shared" si="5"/>
        <v>96.959934154040312</v>
      </c>
      <c r="K6" s="33">
        <f t="shared" si="3"/>
        <v>4.8479967077020154</v>
      </c>
      <c r="L6" s="30">
        <v>86</v>
      </c>
      <c r="M6" s="34">
        <f t="shared" si="6"/>
        <v>0.23255813953488372</v>
      </c>
      <c r="N6" s="30">
        <v>145</v>
      </c>
      <c r="O6" s="35">
        <f t="shared" ref="O6:P6" si="14">D6/7</f>
        <v>2.8571428571428572</v>
      </c>
      <c r="P6" s="35">
        <f t="shared" si="14"/>
        <v>0</v>
      </c>
      <c r="Q6" s="30">
        <f t="shared" si="8"/>
        <v>50</v>
      </c>
      <c r="R6" s="30"/>
      <c r="S6" s="36">
        <v>1.024</v>
      </c>
      <c r="T6" s="29">
        <v>496</v>
      </c>
      <c r="U6" s="37">
        <v>32</v>
      </c>
      <c r="V6" s="38" t="s">
        <v>40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0.15235879629629631</v>
      </c>
      <c r="AD6" s="40">
        <f t="shared" si="12"/>
        <v>-4.2051027777777774</v>
      </c>
      <c r="AE6" s="40">
        <v>-5.42</v>
      </c>
      <c r="AF6" s="40">
        <v>-3.713773153409091</v>
      </c>
      <c r="AG6" s="40">
        <v>0</v>
      </c>
    </row>
    <row r="7" spans="1:33" ht="15.75" customHeight="1" x14ac:dyDescent="0.2">
      <c r="A7" s="29" t="s">
        <v>41</v>
      </c>
      <c r="B7" s="29" t="s">
        <v>103</v>
      </c>
      <c r="C7" s="16">
        <f t="shared" si="4"/>
        <v>15.684666666666665</v>
      </c>
      <c r="D7" s="30">
        <v>45</v>
      </c>
      <c r="E7" s="30">
        <v>0</v>
      </c>
      <c r="F7" s="31">
        <v>705.81</v>
      </c>
      <c r="G7" s="31">
        <v>0</v>
      </c>
      <c r="H7" s="32">
        <f t="shared" si="1"/>
        <v>0</v>
      </c>
      <c r="I7" s="32">
        <f t="shared" si="2"/>
        <v>0.25425713272210776</v>
      </c>
      <c r="J7" s="33">
        <f t="shared" si="5"/>
        <v>179.45722684659086</v>
      </c>
      <c r="K7" s="33">
        <f t="shared" si="3"/>
        <v>3.9879383743686856</v>
      </c>
      <c r="L7" s="30">
        <v>115</v>
      </c>
      <c r="M7" s="34">
        <f t="shared" si="6"/>
        <v>0.39130434782608697</v>
      </c>
      <c r="N7" s="30">
        <v>102</v>
      </c>
      <c r="O7" s="35">
        <f t="shared" ref="O7:P7" si="15">D7/7</f>
        <v>6.4285714285714288</v>
      </c>
      <c r="P7" s="35">
        <f t="shared" si="15"/>
        <v>0</v>
      </c>
      <c r="Q7" s="30">
        <f t="shared" si="8"/>
        <v>15</v>
      </c>
      <c r="R7" s="30"/>
      <c r="S7" s="36">
        <v>1.2866817155756201</v>
      </c>
      <c r="T7" s="29">
        <v>992</v>
      </c>
      <c r="U7" s="37">
        <v>32</v>
      </c>
      <c r="V7" s="38" t="s">
        <v>104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0.15235879629629631</v>
      </c>
      <c r="AD7" s="40">
        <f t="shared" si="12"/>
        <v>-9.4614812500000003</v>
      </c>
      <c r="AE7" s="40">
        <v>-5.42</v>
      </c>
      <c r="AF7" s="40">
        <v>-3.713773153409091</v>
      </c>
      <c r="AG7" s="40">
        <v>0</v>
      </c>
    </row>
    <row r="8" spans="1:33" ht="15.75" customHeight="1" x14ac:dyDescent="0.2">
      <c r="A8" s="29" t="s">
        <v>44</v>
      </c>
      <c r="B8" s="29" t="s">
        <v>105</v>
      </c>
      <c r="C8" s="16">
        <f t="shared" si="4"/>
        <v>15.854999999999997</v>
      </c>
      <c r="D8" s="30">
        <v>24</v>
      </c>
      <c r="E8" s="30">
        <v>0</v>
      </c>
      <c r="F8" s="31">
        <v>380.51999999999992</v>
      </c>
      <c r="G8" s="31">
        <v>-0.06</v>
      </c>
      <c r="H8" s="32">
        <f t="shared" si="1"/>
        <v>1.5767896562598552E-4</v>
      </c>
      <c r="I8" s="32">
        <f t="shared" si="2"/>
        <v>0.26073761344125584</v>
      </c>
      <c r="J8" s="33">
        <f t="shared" si="5"/>
        <v>99.215876666666645</v>
      </c>
      <c r="K8" s="33">
        <f t="shared" si="3"/>
        <v>4.1339948611111099</v>
      </c>
      <c r="L8" s="30">
        <v>87</v>
      </c>
      <c r="M8" s="34">
        <f t="shared" si="6"/>
        <v>0.27586206896551724</v>
      </c>
      <c r="N8" s="30">
        <v>75</v>
      </c>
      <c r="O8" s="35">
        <f t="shared" ref="O8:P8" si="16">D8/7</f>
        <v>3.4285714285714284</v>
      </c>
      <c r="P8" s="35">
        <f t="shared" si="16"/>
        <v>0</v>
      </c>
      <c r="Q8" s="30">
        <f t="shared" si="8"/>
        <v>21</v>
      </c>
      <c r="R8" s="30"/>
      <c r="S8" s="36">
        <v>1.5240443896424101</v>
      </c>
      <c r="T8" s="29">
        <v>1040</v>
      </c>
      <c r="U8" s="37">
        <v>32</v>
      </c>
      <c r="V8" s="38" t="s">
        <v>106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0.15235879629629631</v>
      </c>
      <c r="AD8" s="40">
        <f t="shared" si="12"/>
        <v>-5.0461233333333331</v>
      </c>
      <c r="AE8" s="40">
        <v>-5.42</v>
      </c>
      <c r="AF8" s="40">
        <v>-3.71</v>
      </c>
      <c r="AG8" s="40">
        <v>0</v>
      </c>
    </row>
    <row r="9" spans="1:33" ht="15.75" customHeight="1" x14ac:dyDescent="0.2">
      <c r="A9" s="29" t="s">
        <v>47</v>
      </c>
      <c r="B9" s="29" t="s">
        <v>48</v>
      </c>
      <c r="C9" s="16">
        <f t="shared" si="4"/>
        <v>15.432500000000003</v>
      </c>
      <c r="D9" s="30">
        <v>44</v>
      </c>
      <c r="E9" s="30">
        <v>0</v>
      </c>
      <c r="F9" s="31">
        <v>679.03000000000009</v>
      </c>
      <c r="G9" s="31">
        <v>0</v>
      </c>
      <c r="H9" s="32">
        <f t="shared" si="1"/>
        <v>0</v>
      </c>
      <c r="I9" s="32">
        <f t="shared" si="2"/>
        <v>0.23470921592402277</v>
      </c>
      <c r="J9" s="33">
        <f t="shared" si="5"/>
        <v>159.37459888888921</v>
      </c>
      <c r="K9" s="33">
        <f t="shared" si="3"/>
        <v>3.6221499747474821</v>
      </c>
      <c r="L9" s="30">
        <v>106</v>
      </c>
      <c r="M9" s="34">
        <f t="shared" si="6"/>
        <v>0.41509433962264153</v>
      </c>
      <c r="N9" s="30">
        <v>36</v>
      </c>
      <c r="O9" s="35">
        <f t="shared" ref="O9:P9" si="17">D9/7</f>
        <v>6.2857142857142856</v>
      </c>
      <c r="P9" s="35">
        <f t="shared" si="17"/>
        <v>0</v>
      </c>
      <c r="Q9" s="30">
        <f t="shared" si="8"/>
        <v>5</v>
      </c>
      <c r="R9" s="30"/>
      <c r="S9" s="36">
        <v>1.7536423841059601</v>
      </c>
      <c r="T9" s="29">
        <v>1040</v>
      </c>
      <c r="U9" s="37">
        <v>32</v>
      </c>
      <c r="V9" s="38" t="s">
        <v>107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0.15235879629629631</v>
      </c>
      <c r="AD9" s="40">
        <f t="shared" si="12"/>
        <v>-9.2512261111111105</v>
      </c>
      <c r="AE9" s="40">
        <v>-5.42</v>
      </c>
      <c r="AF9" s="40">
        <v>-3.8652198863636298</v>
      </c>
      <c r="AG9" s="40">
        <v>0</v>
      </c>
    </row>
    <row r="10" spans="1:33" ht="15.75" customHeight="1" x14ac:dyDescent="0.2">
      <c r="A10" s="29" t="s">
        <v>50</v>
      </c>
      <c r="B10" s="29" t="s">
        <v>108</v>
      </c>
      <c r="C10" s="16">
        <f t="shared" si="4"/>
        <v>14.654000000000005</v>
      </c>
      <c r="D10" s="30">
        <v>20</v>
      </c>
      <c r="E10" s="30">
        <v>0</v>
      </c>
      <c r="F10" s="31">
        <v>293.0800000000001</v>
      </c>
      <c r="G10" s="31">
        <v>-0.02</v>
      </c>
      <c r="H10" s="32">
        <f t="shared" si="1"/>
        <v>6.8240753377917272E-5</v>
      </c>
      <c r="I10" s="32">
        <f t="shared" si="2"/>
        <v>0.20195338984219213</v>
      </c>
      <c r="J10" s="33">
        <f t="shared" si="5"/>
        <v>59.188499494949689</v>
      </c>
      <c r="K10" s="33">
        <f t="shared" si="3"/>
        <v>2.9594249747474843</v>
      </c>
      <c r="L10" s="30">
        <v>81</v>
      </c>
      <c r="M10" s="34">
        <f t="shared" si="6"/>
        <v>0.24691358024691357</v>
      </c>
      <c r="N10" s="30">
        <v>10</v>
      </c>
      <c r="O10" s="35">
        <f t="shared" ref="O10:P10" si="18">D10/7</f>
        <v>2.8571428571428572</v>
      </c>
      <c r="P10" s="35">
        <f t="shared" si="18"/>
        <v>0</v>
      </c>
      <c r="Q10" s="30">
        <f t="shared" si="8"/>
        <v>3</v>
      </c>
      <c r="R10" s="30"/>
      <c r="S10" s="36">
        <v>2.0207407407407398</v>
      </c>
      <c r="T10" s="29">
        <v>544</v>
      </c>
      <c r="U10" s="37">
        <v>128</v>
      </c>
      <c r="V10" s="38" t="s">
        <v>109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35</v>
      </c>
      <c r="AB10" s="41">
        <f t="shared" si="11"/>
        <v>-0.69</v>
      </c>
      <c r="AC10" s="42">
        <v>0.15235879629629631</v>
      </c>
      <c r="AD10" s="40">
        <f t="shared" si="12"/>
        <v>-4.2051027777777774</v>
      </c>
      <c r="AE10" s="40">
        <v>-5.42</v>
      </c>
      <c r="AF10" s="40">
        <v>-3.8652198863636298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14.532666666666671</v>
      </c>
      <c r="D11" s="30">
        <v>15</v>
      </c>
      <c r="E11" s="30">
        <v>0</v>
      </c>
      <c r="F11" s="31">
        <v>217.99000000000007</v>
      </c>
      <c r="G11" s="31">
        <v>-0.08</v>
      </c>
      <c r="H11" s="32">
        <f t="shared" si="1"/>
        <v>3.6698931143630434E-4</v>
      </c>
      <c r="I11" s="32">
        <f t="shared" si="2"/>
        <v>0.19624466544892999</v>
      </c>
      <c r="J11" s="33">
        <f t="shared" si="5"/>
        <v>42.779374621212263</v>
      </c>
      <c r="K11" s="33">
        <f t="shared" si="3"/>
        <v>2.8519583080808175</v>
      </c>
      <c r="L11" s="30">
        <v>53</v>
      </c>
      <c r="M11" s="34">
        <f t="shared" si="6"/>
        <v>0.28301886792452829</v>
      </c>
      <c r="N11" s="30">
        <v>165</v>
      </c>
      <c r="O11" s="35">
        <f t="shared" ref="O11:P11" si="19">D11/7</f>
        <v>2.1428571428571428</v>
      </c>
      <c r="P11" s="35">
        <f t="shared" si="19"/>
        <v>0</v>
      </c>
      <c r="Q11" s="30">
        <f t="shared" si="8"/>
        <v>77</v>
      </c>
      <c r="R11" s="30"/>
      <c r="S11" s="36">
        <v>1.7589041095890401</v>
      </c>
      <c r="T11" s="29">
        <v>544</v>
      </c>
      <c r="U11" s="37">
        <v>128</v>
      </c>
      <c r="V11" s="38" t="s">
        <v>110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0.15235879629629631</v>
      </c>
      <c r="AD11" s="40">
        <f t="shared" si="12"/>
        <v>-3.1538270833333333</v>
      </c>
      <c r="AE11" s="40">
        <v>-5.42</v>
      </c>
      <c r="AF11" s="40">
        <v>-3.8652198863636298</v>
      </c>
      <c r="AG11" s="40">
        <v>0</v>
      </c>
    </row>
    <row r="12" spans="1:33" ht="15.75" customHeight="1" x14ac:dyDescent="0.2">
      <c r="A12" s="29" t="s">
        <v>56</v>
      </c>
      <c r="B12" s="29" t="s">
        <v>54</v>
      </c>
      <c r="C12" s="16">
        <f t="shared" si="4"/>
        <v>14.490000000000004</v>
      </c>
      <c r="D12" s="30">
        <v>25</v>
      </c>
      <c r="E12" s="30">
        <v>0</v>
      </c>
      <c r="F12" s="31">
        <v>362.25000000000011</v>
      </c>
      <c r="G12" s="31">
        <v>0</v>
      </c>
      <c r="H12" s="32">
        <f t="shared" si="1"/>
        <v>0</v>
      </c>
      <c r="I12" s="32">
        <f t="shared" si="2"/>
        <v>0.19468771392322179</v>
      </c>
      <c r="J12" s="33">
        <f t="shared" si="5"/>
        <v>70.525624368687119</v>
      </c>
      <c r="K12" s="33">
        <f t="shared" si="3"/>
        <v>2.8210249747474849</v>
      </c>
      <c r="L12" s="30">
        <v>53</v>
      </c>
      <c r="M12" s="34">
        <f t="shared" si="6"/>
        <v>0.47169811320754718</v>
      </c>
      <c r="N12" s="30">
        <v>179</v>
      </c>
      <c r="O12" s="35">
        <f t="shared" ref="O12:P12" si="20">D12/7</f>
        <v>3.5714285714285716</v>
      </c>
      <c r="P12" s="35">
        <f t="shared" si="20"/>
        <v>0</v>
      </c>
      <c r="Q12" s="30">
        <f t="shared" si="8"/>
        <v>50</v>
      </c>
      <c r="R12" s="30"/>
      <c r="S12" s="36">
        <v>1.9028571428571399</v>
      </c>
      <c r="T12" s="29">
        <v>544</v>
      </c>
      <c r="U12" s="37">
        <v>128</v>
      </c>
      <c r="V12" s="38" t="s">
        <v>109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0.15235879629629631</v>
      </c>
      <c r="AD12" s="40">
        <f t="shared" si="12"/>
        <v>-5.256378472222222</v>
      </c>
      <c r="AE12" s="40">
        <v>-5.42</v>
      </c>
      <c r="AF12" s="40">
        <v>-3.8652198863636298</v>
      </c>
      <c r="AG12" s="40">
        <v>0</v>
      </c>
    </row>
    <row r="13" spans="1:33" ht="15.75" customHeight="1" x14ac:dyDescent="0.2">
      <c r="A13" s="29" t="s">
        <v>57</v>
      </c>
      <c r="B13" s="29" t="s">
        <v>111</v>
      </c>
      <c r="C13" s="16">
        <f t="shared" si="4"/>
        <v>14.52703703703704</v>
      </c>
      <c r="D13" s="30">
        <v>27</v>
      </c>
      <c r="E13" s="30">
        <v>0</v>
      </c>
      <c r="F13" s="33">
        <v>392.23000000000008</v>
      </c>
      <c r="G13" s="31">
        <v>0</v>
      </c>
      <c r="H13" s="32">
        <f t="shared" si="1"/>
        <v>0</v>
      </c>
      <c r="I13" s="32">
        <f t="shared" si="2"/>
        <v>0.19087152062333609</v>
      </c>
      <c r="J13" s="33">
        <f t="shared" si="5"/>
        <v>74.865536534091135</v>
      </c>
      <c r="K13" s="33">
        <f t="shared" si="3"/>
        <v>2.7727976494107827</v>
      </c>
      <c r="L13" s="30">
        <v>56</v>
      </c>
      <c r="M13" s="34">
        <f t="shared" si="6"/>
        <v>0.48214285714285715</v>
      </c>
      <c r="N13" s="30">
        <v>155</v>
      </c>
      <c r="O13" s="35">
        <f t="shared" ref="O13:P13" si="21">D13/7</f>
        <v>3.8571428571428572</v>
      </c>
      <c r="P13" s="35">
        <f t="shared" si="21"/>
        <v>0</v>
      </c>
      <c r="Q13" s="30">
        <f t="shared" si="8"/>
        <v>40</v>
      </c>
      <c r="R13" s="30"/>
      <c r="S13" s="36">
        <v>1.99386503067484</v>
      </c>
      <c r="T13" s="29">
        <v>544</v>
      </c>
      <c r="U13" s="37">
        <v>128</v>
      </c>
      <c r="V13" s="38" t="s">
        <v>109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0.15235879629629631</v>
      </c>
      <c r="AD13" s="40">
        <f t="shared" si="12"/>
        <v>-5.6768887499999998</v>
      </c>
      <c r="AE13" s="40">
        <v>-5.42</v>
      </c>
      <c r="AF13" s="40">
        <v>-3.9449286931818102</v>
      </c>
      <c r="AG13" s="40">
        <v>0</v>
      </c>
    </row>
    <row r="14" spans="1:33" ht="15.75" customHeight="1" x14ac:dyDescent="0.2">
      <c r="A14" s="29" t="s">
        <v>59</v>
      </c>
      <c r="B14" s="29" t="s">
        <v>112</v>
      </c>
      <c r="C14" s="16">
        <f t="shared" si="4"/>
        <v>14.762727272727274</v>
      </c>
      <c r="D14" s="30">
        <v>11</v>
      </c>
      <c r="E14" s="30">
        <v>0</v>
      </c>
      <c r="F14" s="33">
        <v>162.39000000000001</v>
      </c>
      <c r="G14" s="31">
        <v>0</v>
      </c>
      <c r="H14" s="32">
        <f t="shared" si="1"/>
        <v>0</v>
      </c>
      <c r="I14" s="32">
        <f t="shared" si="2"/>
        <v>0.20139465390247147</v>
      </c>
      <c r="J14" s="33">
        <f t="shared" si="5"/>
        <v>32.704477847222343</v>
      </c>
      <c r="K14" s="33">
        <f t="shared" si="3"/>
        <v>2.9731343497474856</v>
      </c>
      <c r="L14" s="30">
        <v>61</v>
      </c>
      <c r="M14" s="34">
        <f t="shared" si="6"/>
        <v>0.18032786885245902</v>
      </c>
      <c r="N14" s="30">
        <v>143</v>
      </c>
      <c r="O14" s="35">
        <f t="shared" ref="O14:P14" si="22">D14/7</f>
        <v>1.5714285714285714</v>
      </c>
      <c r="P14" s="35">
        <f t="shared" si="22"/>
        <v>0</v>
      </c>
      <c r="Q14" s="30">
        <f t="shared" si="8"/>
        <v>91</v>
      </c>
      <c r="R14" s="30"/>
      <c r="S14" s="36">
        <v>2.3370786516853901</v>
      </c>
      <c r="T14" s="29">
        <v>128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35</v>
      </c>
      <c r="AB14" s="41">
        <f t="shared" si="11"/>
        <v>-0.69</v>
      </c>
      <c r="AC14" s="42">
        <v>0.15235879629629631</v>
      </c>
      <c r="AD14" s="40">
        <f t="shared" si="12"/>
        <v>-2.3128065277777776</v>
      </c>
      <c r="AE14" s="40">
        <v>-5.42</v>
      </c>
      <c r="AF14" s="40">
        <v>-3.9449286931818102</v>
      </c>
      <c r="AG14" s="40">
        <v>0</v>
      </c>
    </row>
    <row r="15" spans="1:33" ht="15.75" customHeight="1" x14ac:dyDescent="0.2">
      <c r="A15" s="29" t="s">
        <v>61</v>
      </c>
      <c r="B15" s="29" t="s">
        <v>113</v>
      </c>
      <c r="C15" s="16">
        <f t="shared" si="4"/>
        <v>14.990000000000004</v>
      </c>
      <c r="D15" s="30">
        <v>16</v>
      </c>
      <c r="E15" s="30">
        <v>1</v>
      </c>
      <c r="F15" s="33">
        <v>239.84000000000006</v>
      </c>
      <c r="G15" s="31">
        <v>-33.080000000000005</v>
      </c>
      <c r="H15" s="32">
        <f t="shared" si="1"/>
        <v>0.13792528352234823</v>
      </c>
      <c r="I15" s="32">
        <f t="shared" si="2"/>
        <v>7.3303280048652594E-2</v>
      </c>
      <c r="J15" s="33">
        <f t="shared" si="5"/>
        <v>17.581058686868843</v>
      </c>
      <c r="K15" s="33">
        <f t="shared" si="3"/>
        <v>1.0988161679293027</v>
      </c>
      <c r="L15" s="30">
        <v>76</v>
      </c>
      <c r="M15" s="34">
        <f t="shared" si="6"/>
        <v>0.21052631578947367</v>
      </c>
      <c r="N15" s="30">
        <v>128</v>
      </c>
      <c r="O15" s="35">
        <f t="shared" ref="O15:P15" si="23">D15/7</f>
        <v>2.2857142857142856</v>
      </c>
      <c r="P15" s="35">
        <f t="shared" si="23"/>
        <v>0.14285714285714285</v>
      </c>
      <c r="Q15" s="30">
        <f t="shared" si="8"/>
        <v>52</v>
      </c>
      <c r="R15" s="30"/>
      <c r="S15" s="36">
        <v>2.51502145922746</v>
      </c>
      <c r="T15" s="29">
        <v>128</v>
      </c>
      <c r="U15" s="37" t="s">
        <v>34</v>
      </c>
      <c r="V15" s="38" t="s">
        <v>34</v>
      </c>
      <c r="W15" s="29">
        <v>2</v>
      </c>
      <c r="X15" s="39">
        <f t="shared" si="9"/>
        <v>0.125</v>
      </c>
      <c r="Y15" s="40">
        <f t="shared" si="10"/>
        <v>11.026666666666669</v>
      </c>
      <c r="Z15" s="29">
        <v>1</v>
      </c>
      <c r="AA15" s="29" t="s">
        <v>35</v>
      </c>
      <c r="AB15" s="41">
        <f t="shared" si="11"/>
        <v>-0.69</v>
      </c>
      <c r="AC15" s="42">
        <v>0.15235879629629631</v>
      </c>
      <c r="AD15" s="40">
        <f t="shared" si="12"/>
        <v>-3.3640822222222222</v>
      </c>
      <c r="AE15" s="40">
        <v>-5.42</v>
      </c>
      <c r="AF15" s="40">
        <v>-3.9449286931818102</v>
      </c>
      <c r="AG15" s="40">
        <v>0</v>
      </c>
    </row>
    <row r="16" spans="1:33" ht="15.75" customHeight="1" x14ac:dyDescent="0.2">
      <c r="A16" s="29" t="s">
        <v>64</v>
      </c>
      <c r="B16" s="29" t="s">
        <v>114</v>
      </c>
      <c r="C16" s="16">
        <f t="shared" si="4"/>
        <v>15.802500000000004</v>
      </c>
      <c r="D16" s="30">
        <v>16</v>
      </c>
      <c r="E16" s="30">
        <v>0</v>
      </c>
      <c r="F16" s="33">
        <v>252.84000000000006</v>
      </c>
      <c r="G16" s="31">
        <v>-25.99</v>
      </c>
      <c r="H16" s="32">
        <f t="shared" si="1"/>
        <v>0.10279227970257868</v>
      </c>
      <c r="I16" s="32">
        <f t="shared" si="2"/>
        <v>0.14127930187813972</v>
      </c>
      <c r="J16" s="33">
        <f t="shared" si="5"/>
        <v>35.721058686868858</v>
      </c>
      <c r="K16" s="33">
        <f t="shared" si="3"/>
        <v>2.2325661679293036</v>
      </c>
      <c r="L16" s="30">
        <v>58</v>
      </c>
      <c r="M16" s="34">
        <f t="shared" si="6"/>
        <v>0.27586206896551724</v>
      </c>
      <c r="N16" s="30">
        <v>111</v>
      </c>
      <c r="O16" s="35">
        <f t="shared" ref="O16:P16" si="24">D16/7</f>
        <v>2.2857142857142856</v>
      </c>
      <c r="P16" s="35">
        <f t="shared" si="24"/>
        <v>0</v>
      </c>
      <c r="Q16" s="30">
        <f t="shared" si="8"/>
        <v>48</v>
      </c>
      <c r="R16" s="30"/>
      <c r="S16" s="36">
        <v>2.3424124513618598</v>
      </c>
      <c r="T16" s="29">
        <v>128</v>
      </c>
      <c r="U16" s="37" t="s">
        <v>34</v>
      </c>
      <c r="V16" s="38" t="s">
        <v>34</v>
      </c>
      <c r="W16" s="29">
        <v>1</v>
      </c>
      <c r="X16" s="39">
        <f t="shared" si="9"/>
        <v>6.25E-2</v>
      </c>
      <c r="Y16" s="40">
        <f t="shared" si="10"/>
        <v>8.6633333333333322</v>
      </c>
      <c r="Z16" s="29">
        <v>2</v>
      </c>
      <c r="AA16" s="29" t="s">
        <v>35</v>
      </c>
      <c r="AB16" s="41">
        <f t="shared" si="11"/>
        <v>-0.69</v>
      </c>
      <c r="AC16" s="42">
        <v>0.15235879629629631</v>
      </c>
      <c r="AD16" s="40">
        <f t="shared" si="12"/>
        <v>-3.3640822222222222</v>
      </c>
      <c r="AE16" s="40">
        <v>-5.42</v>
      </c>
      <c r="AF16" s="40">
        <v>-3.9449286931818102</v>
      </c>
      <c r="AG16" s="40">
        <v>0</v>
      </c>
    </row>
    <row r="17" spans="1:33" ht="15.75" customHeight="1" x14ac:dyDescent="0.2">
      <c r="A17" s="29" t="s">
        <v>66</v>
      </c>
      <c r="B17" s="29" t="s">
        <v>115</v>
      </c>
      <c r="C17" s="16">
        <f t="shared" si="4"/>
        <v>15.990000000000004</v>
      </c>
      <c r="D17" s="30">
        <v>20</v>
      </c>
      <c r="E17" s="30">
        <v>1</v>
      </c>
      <c r="F17" s="33">
        <v>319.80000000000007</v>
      </c>
      <c r="G17" s="31">
        <v>-30.099999999999998</v>
      </c>
      <c r="H17" s="32">
        <f t="shared" si="1"/>
        <v>9.4121325828642868E-2</v>
      </c>
      <c r="I17" s="32">
        <f t="shared" si="2"/>
        <v>0.1570554201331647</v>
      </c>
      <c r="J17" s="33">
        <f t="shared" si="5"/>
        <v>50.226323358586079</v>
      </c>
      <c r="K17" s="33">
        <f t="shared" si="3"/>
        <v>2.5113161679293041</v>
      </c>
      <c r="L17" s="30">
        <v>46</v>
      </c>
      <c r="M17" s="34">
        <f t="shared" si="6"/>
        <v>0.43478260869565216</v>
      </c>
      <c r="N17" s="30">
        <v>90</v>
      </c>
      <c r="O17" s="35">
        <f t="shared" ref="O17:P17" si="25">D17/7</f>
        <v>2.8571428571428572</v>
      </c>
      <c r="P17" s="35">
        <f t="shared" si="25"/>
        <v>0.14285714285714285</v>
      </c>
      <c r="Q17" s="30">
        <f t="shared" si="8"/>
        <v>30</v>
      </c>
      <c r="R17" s="30"/>
      <c r="S17" s="36">
        <v>2.4836065573770401</v>
      </c>
      <c r="T17" s="29">
        <v>128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15.049999999999999</v>
      </c>
      <c r="Z17" s="29">
        <v>2</v>
      </c>
      <c r="AA17" s="29" t="s">
        <v>35</v>
      </c>
      <c r="AB17" s="41">
        <f t="shared" si="11"/>
        <v>-0.69</v>
      </c>
      <c r="AC17" s="42">
        <v>0.15235879629629631</v>
      </c>
      <c r="AD17" s="40">
        <f t="shared" si="12"/>
        <v>-4.2051027777777774</v>
      </c>
      <c r="AE17" s="40">
        <v>-5.42</v>
      </c>
      <c r="AF17" s="40">
        <v>-3.9449286931818102</v>
      </c>
      <c r="AG17" s="40">
        <v>0</v>
      </c>
    </row>
    <row r="18" spans="1:33" ht="15.75" customHeight="1" x14ac:dyDescent="0.2">
      <c r="A18" s="29" t="s">
        <v>69</v>
      </c>
      <c r="B18" s="29" t="s">
        <v>116</v>
      </c>
      <c r="C18" s="16">
        <f t="shared" si="4"/>
        <v>15.990000000000002</v>
      </c>
      <c r="D18" s="30">
        <v>12</v>
      </c>
      <c r="E18" s="30">
        <v>0</v>
      </c>
      <c r="F18" s="33">
        <v>191.88000000000002</v>
      </c>
      <c r="G18" s="31">
        <v>-36.21</v>
      </c>
      <c r="H18" s="32">
        <f t="shared" si="1"/>
        <v>0.18871169480925576</v>
      </c>
      <c r="I18" s="32">
        <f t="shared" si="2"/>
        <v>6.2465051152551701E-2</v>
      </c>
      <c r="J18" s="33">
        <f t="shared" si="5"/>
        <v>11.985794015151622</v>
      </c>
      <c r="K18" s="33">
        <f t="shared" si="3"/>
        <v>0.99881616792930183</v>
      </c>
      <c r="L18" s="30">
        <v>51</v>
      </c>
      <c r="M18" s="34">
        <f t="shared" si="6"/>
        <v>0.23529411764705882</v>
      </c>
      <c r="N18" s="30">
        <v>81</v>
      </c>
      <c r="O18" s="35">
        <f t="shared" ref="O18:P18" si="26">D18/7</f>
        <v>1.7142857142857142</v>
      </c>
      <c r="P18" s="35">
        <f t="shared" si="26"/>
        <v>0</v>
      </c>
      <c r="Q18" s="30">
        <f t="shared" si="8"/>
        <v>47</v>
      </c>
      <c r="R18" s="30"/>
      <c r="S18" s="36">
        <v>2.7933491686460798</v>
      </c>
      <c r="T18" s="29">
        <v>128</v>
      </c>
      <c r="U18" s="37" t="s">
        <v>34</v>
      </c>
      <c r="V18" s="38" t="s">
        <v>34</v>
      </c>
      <c r="W18" s="29">
        <v>2</v>
      </c>
      <c r="X18" s="39">
        <f t="shared" si="9"/>
        <v>0.16666666666666666</v>
      </c>
      <c r="Y18" s="40">
        <f t="shared" si="10"/>
        <v>9.0525000000000002</v>
      </c>
      <c r="Z18" s="29">
        <v>2</v>
      </c>
      <c r="AA18" s="29" t="s">
        <v>35</v>
      </c>
      <c r="AB18" s="41">
        <f t="shared" si="11"/>
        <v>-0.69</v>
      </c>
      <c r="AC18" s="42">
        <v>0.15235879629629631</v>
      </c>
      <c r="AD18" s="40">
        <f t="shared" si="12"/>
        <v>-2.5230616666666665</v>
      </c>
      <c r="AE18" s="40">
        <v>-5.42</v>
      </c>
      <c r="AF18" s="40">
        <v>-3.9449286931818102</v>
      </c>
      <c r="AG18" s="40">
        <v>0</v>
      </c>
    </row>
    <row r="19" spans="1:33" ht="15.75" customHeight="1" x14ac:dyDescent="0.2">
      <c r="A19" s="29" t="s">
        <v>71</v>
      </c>
      <c r="B19" s="29" t="s">
        <v>72</v>
      </c>
      <c r="C19" s="16">
        <f t="shared" si="4"/>
        <v>15.99</v>
      </c>
      <c r="D19" s="30">
        <v>8</v>
      </c>
      <c r="E19" s="30">
        <v>0</v>
      </c>
      <c r="F19" s="33">
        <v>127.92</v>
      </c>
      <c r="G19" s="31">
        <v>-1.71</v>
      </c>
      <c r="H19" s="32">
        <f t="shared" si="1"/>
        <v>1.3367729831144464E-2</v>
      </c>
      <c r="I19" s="32">
        <f t="shared" si="2"/>
        <v>0.23780901613066249</v>
      </c>
      <c r="J19" s="33">
        <f t="shared" si="5"/>
        <v>30.420529343434346</v>
      </c>
      <c r="K19" s="33">
        <f t="shared" si="3"/>
        <v>3.8025661679292933</v>
      </c>
      <c r="L19" s="30">
        <v>64</v>
      </c>
      <c r="M19" s="34">
        <f t="shared" si="6"/>
        <v>0.125</v>
      </c>
      <c r="N19" s="30">
        <v>182</v>
      </c>
      <c r="O19" s="35">
        <f t="shared" ref="O19:P19" si="27">D19/7</f>
        <v>1.1428571428571428</v>
      </c>
      <c r="P19" s="35">
        <f t="shared" si="27"/>
        <v>0</v>
      </c>
      <c r="Q19" s="30">
        <f t="shared" si="8"/>
        <v>159</v>
      </c>
      <c r="R19" s="30"/>
      <c r="S19" s="36">
        <v>2.77590361445783</v>
      </c>
      <c r="T19" s="29">
        <v>128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0.15235879629629631</v>
      </c>
      <c r="AD19" s="40">
        <f t="shared" si="12"/>
        <v>-1.6820411111111111</v>
      </c>
      <c r="AE19" s="40">
        <v>-5.42</v>
      </c>
      <c r="AF19" s="40">
        <v>-3.9449286931818182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15.272608695652178</v>
      </c>
      <c r="D20" s="30">
        <v>23</v>
      </c>
      <c r="E20" s="30">
        <v>0</v>
      </c>
      <c r="F20" s="33">
        <v>351.2700000000001</v>
      </c>
      <c r="G20" s="31">
        <v>-0.02</v>
      </c>
      <c r="H20" s="32">
        <f t="shared" si="1"/>
        <v>5.6936259857089973E-5</v>
      </c>
      <c r="I20" s="32">
        <f t="shared" si="2"/>
        <v>0.22299163567163088</v>
      </c>
      <c r="J20" s="33">
        <f t="shared" si="5"/>
        <v>78.330271862373806</v>
      </c>
      <c r="K20" s="33">
        <f t="shared" si="3"/>
        <v>3.4056639940162525</v>
      </c>
      <c r="L20" s="30">
        <v>67</v>
      </c>
      <c r="M20" s="34">
        <f t="shared" si="6"/>
        <v>0.34328358208955223</v>
      </c>
      <c r="N20" s="30">
        <v>161</v>
      </c>
      <c r="O20" s="35">
        <f t="shared" ref="O20:P20" si="28">D20/7</f>
        <v>3.2857142857142856</v>
      </c>
      <c r="P20" s="35">
        <f t="shared" si="28"/>
        <v>0</v>
      </c>
      <c r="Q20" s="30">
        <f t="shared" si="8"/>
        <v>49</v>
      </c>
      <c r="R20" s="30"/>
      <c r="S20" s="36">
        <v>1.9127272727272699</v>
      </c>
      <c r="T20" s="29">
        <v>448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0.15235879629629631</v>
      </c>
      <c r="AD20" s="40">
        <f t="shared" si="12"/>
        <v>-4.8358681944444442</v>
      </c>
      <c r="AE20" s="40">
        <v>-5.42</v>
      </c>
      <c r="AF20" s="40">
        <v>-3.9449286931818182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14.99</v>
      </c>
      <c r="D21" s="30">
        <v>14</v>
      </c>
      <c r="E21" s="30">
        <v>0</v>
      </c>
      <c r="F21" s="33">
        <v>209.86</v>
      </c>
      <c r="G21" s="31">
        <v>0</v>
      </c>
      <c r="H21" s="32">
        <f t="shared" si="1"/>
        <v>0</v>
      </c>
      <c r="I21" s="32">
        <f t="shared" si="2"/>
        <v>0.21122856357100023</v>
      </c>
      <c r="J21" s="33">
        <f t="shared" si="5"/>
        <v>44.328426351010108</v>
      </c>
      <c r="K21" s="33">
        <f t="shared" si="3"/>
        <v>3.1663161679292933</v>
      </c>
      <c r="L21" s="30">
        <v>36</v>
      </c>
      <c r="M21" s="34">
        <f t="shared" si="6"/>
        <v>0.3888888888888889</v>
      </c>
      <c r="N21" s="30">
        <v>163</v>
      </c>
      <c r="O21" s="35">
        <f t="shared" ref="O21:P21" si="29">D21/7</f>
        <v>2</v>
      </c>
      <c r="P21" s="35">
        <f t="shared" si="29"/>
        <v>0</v>
      </c>
      <c r="Q21" s="30">
        <f t="shared" si="8"/>
        <v>81</v>
      </c>
      <c r="R21" s="30"/>
      <c r="S21" s="36">
        <v>1.99600798403193</v>
      </c>
      <c r="T21" s="29">
        <v>448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0.15235879629629631</v>
      </c>
      <c r="AD21" s="40">
        <f t="shared" si="12"/>
        <v>-2.9435719444444444</v>
      </c>
      <c r="AE21" s="40">
        <v>-5.42</v>
      </c>
      <c r="AF21" s="40">
        <v>-3.9449286931818182</v>
      </c>
      <c r="AG21" s="40">
        <v>0</v>
      </c>
    </row>
    <row r="22" spans="1:33" ht="15.75" customHeight="1" x14ac:dyDescent="0.2">
      <c r="A22" s="29" t="s">
        <v>76</v>
      </c>
      <c r="B22" s="29" t="s">
        <v>117</v>
      </c>
      <c r="C22" s="16">
        <f t="shared" si="4"/>
        <v>14.99</v>
      </c>
      <c r="D22" s="30">
        <v>12</v>
      </c>
      <c r="E22" s="30">
        <v>0</v>
      </c>
      <c r="F22" s="31">
        <v>179.88</v>
      </c>
      <c r="G22" s="31">
        <v>0</v>
      </c>
      <c r="H22" s="32">
        <f t="shared" si="1"/>
        <v>0</v>
      </c>
      <c r="I22" s="32">
        <f t="shared" si="2"/>
        <v>0.21122856357100028</v>
      </c>
      <c r="J22" s="33">
        <f t="shared" si="5"/>
        <v>37.995794015151532</v>
      </c>
      <c r="K22" s="33">
        <f t="shared" si="3"/>
        <v>3.1663161679292942</v>
      </c>
      <c r="L22" s="30">
        <v>53</v>
      </c>
      <c r="M22" s="34">
        <f t="shared" si="6"/>
        <v>0.22641509433962265</v>
      </c>
      <c r="N22" s="30">
        <v>154</v>
      </c>
      <c r="O22" s="35">
        <f t="shared" ref="O22:P22" si="30">D22/7</f>
        <v>1.7142857142857142</v>
      </c>
      <c r="P22" s="35">
        <f t="shared" si="30"/>
        <v>0</v>
      </c>
      <c r="Q22" s="30">
        <f t="shared" si="8"/>
        <v>89</v>
      </c>
      <c r="R22" s="30"/>
      <c r="S22" s="36">
        <v>2.0654205607476599</v>
      </c>
      <c r="T22" s="29">
        <v>448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0.15235879629629631</v>
      </c>
      <c r="AD22" s="40">
        <f t="shared" si="12"/>
        <v>-2.5230616666666665</v>
      </c>
      <c r="AE22" s="40">
        <v>-5.42</v>
      </c>
      <c r="AF22" s="40">
        <v>-3.9449286931818182</v>
      </c>
      <c r="AG22" s="40">
        <v>0</v>
      </c>
    </row>
    <row r="23" spans="1:33" ht="15.75" customHeight="1" x14ac:dyDescent="0.2">
      <c r="A23" s="29" t="s">
        <v>77</v>
      </c>
      <c r="B23" s="29" t="s">
        <v>118</v>
      </c>
      <c r="C23" s="16">
        <f t="shared" si="4"/>
        <v>14.831176470588238</v>
      </c>
      <c r="D23" s="30">
        <v>17</v>
      </c>
      <c r="E23" s="30">
        <v>0</v>
      </c>
      <c r="F23" s="33">
        <v>252.13000000000005</v>
      </c>
      <c r="G23" s="31">
        <v>0</v>
      </c>
      <c r="H23" s="32">
        <f t="shared" si="1"/>
        <v>0</v>
      </c>
      <c r="I23" s="32">
        <f t="shared" si="2"/>
        <v>0.20438811269899668</v>
      </c>
      <c r="J23" s="33">
        <f t="shared" si="5"/>
        <v>51.532374854798043</v>
      </c>
      <c r="K23" s="33">
        <f t="shared" si="3"/>
        <v>3.0313161679292966</v>
      </c>
      <c r="L23" s="30">
        <v>55</v>
      </c>
      <c r="M23" s="34">
        <f t="shared" si="6"/>
        <v>0.30909090909090908</v>
      </c>
      <c r="N23" s="30">
        <v>137</v>
      </c>
      <c r="O23" s="35">
        <f t="shared" ref="O23:P23" si="31">D23/7</f>
        <v>2.4285714285714284</v>
      </c>
      <c r="P23" s="35">
        <f t="shared" si="31"/>
        <v>0</v>
      </c>
      <c r="Q23" s="30">
        <f t="shared" si="8"/>
        <v>56</v>
      </c>
      <c r="R23" s="30"/>
      <c r="S23" s="36">
        <v>2.2072538860103599</v>
      </c>
      <c r="T23" s="29">
        <v>448</v>
      </c>
      <c r="U23" s="37" t="s">
        <v>34</v>
      </c>
      <c r="V23" s="38" t="s">
        <v>119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0.15235879629629631</v>
      </c>
      <c r="AD23" s="40">
        <f t="shared" si="12"/>
        <v>-3.5743373611111111</v>
      </c>
      <c r="AE23" s="40">
        <v>-5.42</v>
      </c>
      <c r="AF23" s="40">
        <v>-3.9449286931818182</v>
      </c>
      <c r="AG23" s="40">
        <v>0</v>
      </c>
    </row>
    <row r="24" spans="1:33" ht="15.75" customHeight="1" x14ac:dyDescent="0.2">
      <c r="A24" s="29" t="s">
        <v>79</v>
      </c>
      <c r="B24" s="29" t="s">
        <v>120</v>
      </c>
      <c r="C24" s="16">
        <f t="shared" si="4"/>
        <v>14.009230769230772</v>
      </c>
      <c r="D24" s="30">
        <v>26</v>
      </c>
      <c r="E24" s="30">
        <v>1</v>
      </c>
      <c r="F24" s="33">
        <v>364.24000000000007</v>
      </c>
      <c r="G24" s="33">
        <v>0</v>
      </c>
      <c r="H24" s="32">
        <f t="shared" si="1"/>
        <v>0</v>
      </c>
      <c r="I24" s="32">
        <f t="shared" si="2"/>
        <v>0.16650895114803885</v>
      </c>
      <c r="J24" s="33">
        <f t="shared" si="5"/>
        <v>60.649220366161678</v>
      </c>
      <c r="K24" s="33">
        <f t="shared" si="3"/>
        <v>2.332662321775449</v>
      </c>
      <c r="L24" s="30">
        <v>55</v>
      </c>
      <c r="M24" s="34">
        <f t="shared" si="6"/>
        <v>0.47272727272727272</v>
      </c>
      <c r="N24" s="30">
        <v>109</v>
      </c>
      <c r="O24" s="35">
        <f t="shared" ref="O24:P24" si="32">D24/7</f>
        <v>3.7142857142857144</v>
      </c>
      <c r="P24" s="35">
        <f t="shared" si="32"/>
        <v>0.14285714285714285</v>
      </c>
      <c r="Q24" s="30">
        <f t="shared" si="8"/>
        <v>28</v>
      </c>
      <c r="R24" s="30"/>
      <c r="S24" s="36">
        <v>1.5526315789473599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Summary!A1:AD5000""),9,FALSE),"""")"),448)</f>
        <v>448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Summary!A1:AD5000""),28,FALSE),"""")"),128)</f>
        <v>128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128 - 08/09/21")</f>
        <v xml:space="preserve"> | AGL216: 128 - 08/09/21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0.15235879629629631</v>
      </c>
      <c r="AD24" s="40">
        <f t="shared" si="12"/>
        <v>-5.4666336111111109</v>
      </c>
      <c r="AE24" s="40">
        <v>-5.42</v>
      </c>
      <c r="AF24" s="40">
        <v>-3.9449286931818182</v>
      </c>
      <c r="AG24" s="40">
        <v>0</v>
      </c>
    </row>
    <row r="25" spans="1:33" ht="15.75" customHeight="1" x14ac:dyDescent="0.2">
      <c r="A25" s="15" t="s">
        <v>81</v>
      </c>
      <c r="B25" s="15" t="s">
        <v>121</v>
      </c>
      <c r="C25" s="16">
        <f t="shared" si="4"/>
        <v>13.99</v>
      </c>
      <c r="D25" s="17">
        <v>14</v>
      </c>
      <c r="E25" s="17">
        <v>1</v>
      </c>
      <c r="F25" s="18">
        <v>195.86</v>
      </c>
      <c r="G25" s="18">
        <v>-0.08</v>
      </c>
      <c r="H25" s="32">
        <f t="shared" si="1"/>
        <v>4.084550188910446E-4</v>
      </c>
      <c r="I25" s="32">
        <f t="shared" si="2"/>
        <v>0.16551326486038775</v>
      </c>
      <c r="J25" s="33">
        <f t="shared" si="5"/>
        <v>32.417428055555547</v>
      </c>
      <c r="K25" s="33">
        <f t="shared" si="3"/>
        <v>2.3155305753968247</v>
      </c>
      <c r="L25" s="17">
        <v>60</v>
      </c>
      <c r="M25" s="34">
        <f t="shared" si="6"/>
        <v>0.23333333333333334</v>
      </c>
      <c r="N25" s="17">
        <v>88</v>
      </c>
      <c r="O25" s="35">
        <f t="shared" ref="O25:P25" si="33">D25/7</f>
        <v>2</v>
      </c>
      <c r="P25" s="35">
        <f t="shared" si="33"/>
        <v>0.14285714285714285</v>
      </c>
      <c r="Q25" s="30">
        <f t="shared" si="8"/>
        <v>41</v>
      </c>
      <c r="R25" s="30"/>
      <c r="S25" s="36">
        <v>1.5526315789473599</v>
      </c>
      <c r="T25" s="29">
        <v>448</v>
      </c>
      <c r="U25" s="37" t="s">
        <v>34</v>
      </c>
      <c r="V25" s="38" t="s">
        <v>122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0.15235879629629631</v>
      </c>
      <c r="AD25" s="40">
        <f t="shared" si="12"/>
        <v>-2.9435719444444444</v>
      </c>
      <c r="AE25" s="26">
        <v>-5.42</v>
      </c>
      <c r="AF25" s="26">
        <v>-3.94</v>
      </c>
      <c r="AG25" s="26">
        <v>0</v>
      </c>
    </row>
    <row r="26" spans="1:33" ht="15.75" customHeight="1" x14ac:dyDescent="0.2">
      <c r="A26" s="15" t="s">
        <v>83</v>
      </c>
      <c r="B26" s="15" t="s">
        <v>123</v>
      </c>
      <c r="C26" s="16">
        <f t="shared" si="4"/>
        <v>13.99</v>
      </c>
      <c r="D26" s="17">
        <v>15</v>
      </c>
      <c r="E26" s="17">
        <v>0</v>
      </c>
      <c r="F26" s="18">
        <v>209.85</v>
      </c>
      <c r="G26" s="18">
        <v>0</v>
      </c>
      <c r="H26" s="32">
        <f t="shared" si="1"/>
        <v>0</v>
      </c>
      <c r="I26" s="32">
        <f t="shared" si="2"/>
        <v>0.19916484402639748</v>
      </c>
      <c r="J26" s="33">
        <f t="shared" si="5"/>
        <v>41.794742518939508</v>
      </c>
      <c r="K26" s="33">
        <f t="shared" si="3"/>
        <v>2.7863161679293005</v>
      </c>
      <c r="L26" s="17">
        <v>60</v>
      </c>
      <c r="M26" s="34">
        <f t="shared" si="6"/>
        <v>0.25</v>
      </c>
      <c r="N26" s="17">
        <v>82</v>
      </c>
      <c r="O26" s="35">
        <f t="shared" ref="O26:P26" si="34">D26/7</f>
        <v>2.1428571428571428</v>
      </c>
      <c r="P26" s="35">
        <f t="shared" si="34"/>
        <v>0</v>
      </c>
      <c r="Q26" s="30">
        <f t="shared" si="8"/>
        <v>38</v>
      </c>
      <c r="R26" s="30"/>
      <c r="S26" s="22">
        <v>1.633466135458167</v>
      </c>
      <c r="T26" s="29">
        <v>448</v>
      </c>
      <c r="U26" s="37">
        <v>128</v>
      </c>
      <c r="V26" s="38" t="s">
        <v>124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0.15235879629629631</v>
      </c>
      <c r="AD26" s="40">
        <f t="shared" si="12"/>
        <v>-3.1538270833333333</v>
      </c>
      <c r="AE26" s="26">
        <v>-4.95</v>
      </c>
      <c r="AF26" s="26">
        <v>-3.9449286931818102</v>
      </c>
      <c r="AG26" s="26">
        <v>0</v>
      </c>
    </row>
    <row r="27" spans="1:33" ht="15.75" customHeight="1" x14ac:dyDescent="0.2">
      <c r="A27" s="15" t="s">
        <v>84</v>
      </c>
      <c r="B27" s="15" t="s">
        <v>125</v>
      </c>
      <c r="C27" s="16">
        <f t="shared" si="4"/>
        <v>14.003333333333334</v>
      </c>
      <c r="D27" s="17">
        <v>36</v>
      </c>
      <c r="E27" s="17">
        <v>0</v>
      </c>
      <c r="F27" s="18">
        <v>504.12</v>
      </c>
      <c r="G27" s="18">
        <v>0</v>
      </c>
      <c r="H27" s="32">
        <f t="shared" si="1"/>
        <v>0</v>
      </c>
      <c r="I27" s="32">
        <f t="shared" si="2"/>
        <v>0.19978453948554867</v>
      </c>
      <c r="J27" s="33">
        <f t="shared" si="5"/>
        <v>100.71538204545479</v>
      </c>
      <c r="K27" s="33">
        <f t="shared" si="3"/>
        <v>2.797649501262633</v>
      </c>
      <c r="L27" s="17">
        <v>94</v>
      </c>
      <c r="M27" s="34">
        <f t="shared" si="6"/>
        <v>0.38297872340425532</v>
      </c>
      <c r="N27" s="17">
        <v>42</v>
      </c>
      <c r="O27" s="35">
        <f t="shared" ref="O27:P27" si="35">D27/7</f>
        <v>5.1428571428571432</v>
      </c>
      <c r="P27" s="35">
        <f t="shared" si="35"/>
        <v>0</v>
      </c>
      <c r="Q27" s="30">
        <f t="shared" si="8"/>
        <v>8</v>
      </c>
      <c r="R27" s="30"/>
      <c r="S27" s="22">
        <v>2.139088729016787</v>
      </c>
      <c r="T27" s="29">
        <v>448</v>
      </c>
      <c r="U27" s="37">
        <v>128</v>
      </c>
      <c r="V27" s="38" t="s">
        <v>124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0.15235879629629631</v>
      </c>
      <c r="AD27" s="40">
        <f t="shared" si="12"/>
        <v>-7.5691850000000001</v>
      </c>
      <c r="AE27" s="26">
        <v>-4.95</v>
      </c>
      <c r="AF27" s="26">
        <v>-3.9449286931818102</v>
      </c>
      <c r="AG27" s="26">
        <v>0</v>
      </c>
    </row>
    <row r="28" spans="1:33" ht="15.75" customHeight="1" x14ac:dyDescent="0.2">
      <c r="A28" s="15" t="s">
        <v>85</v>
      </c>
      <c r="B28" s="15" t="s">
        <v>126</v>
      </c>
      <c r="C28" s="16">
        <f t="shared" si="4"/>
        <v>14.726842105263158</v>
      </c>
      <c r="D28" s="17">
        <v>19</v>
      </c>
      <c r="E28" s="17">
        <v>0</v>
      </c>
      <c r="F28" s="18">
        <v>279.81</v>
      </c>
      <c r="G28" s="18">
        <v>0</v>
      </c>
      <c r="H28" s="32">
        <f t="shared" si="1"/>
        <v>0</v>
      </c>
      <c r="I28" s="32">
        <f t="shared" si="2"/>
        <v>0.19960656985331721</v>
      </c>
      <c r="J28" s="33">
        <f t="shared" si="5"/>
        <v>55.851914310656689</v>
      </c>
      <c r="K28" s="33">
        <f t="shared" si="3"/>
        <v>2.9395744374029835</v>
      </c>
      <c r="L28" s="17">
        <v>75</v>
      </c>
      <c r="M28" s="34">
        <f t="shared" si="6"/>
        <v>0.25333333333333335</v>
      </c>
      <c r="N28" s="17">
        <v>20</v>
      </c>
      <c r="O28" s="35">
        <f t="shared" ref="O28:P28" si="36">D28/7</f>
        <v>2.7142857142857144</v>
      </c>
      <c r="P28" s="35">
        <f t="shared" si="36"/>
        <v>0</v>
      </c>
      <c r="Q28" s="30">
        <f t="shared" si="8"/>
        <v>7</v>
      </c>
      <c r="R28" s="30"/>
      <c r="S28" s="22">
        <v>2.0471092077087789</v>
      </c>
      <c r="T28" s="15">
        <v>320</v>
      </c>
      <c r="U28" s="23">
        <v>128</v>
      </c>
      <c r="V28" s="1" t="s">
        <v>127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0.15235879629629631</v>
      </c>
      <c r="AD28" s="40">
        <f t="shared" si="12"/>
        <v>-3.9948476388888889</v>
      </c>
      <c r="AE28" s="26">
        <v>-4.95</v>
      </c>
      <c r="AF28" s="26">
        <v>-4.41798621318181</v>
      </c>
      <c r="AG28" s="26">
        <v>0</v>
      </c>
    </row>
    <row r="29" spans="1:33" ht="15.75" customHeight="1" x14ac:dyDescent="0.2">
      <c r="A29" s="15" t="s">
        <v>88</v>
      </c>
      <c r="B29" s="15" t="s">
        <v>54</v>
      </c>
      <c r="C29" s="16">
        <f t="shared" si="4"/>
        <v>13.836923076923076</v>
      </c>
      <c r="D29" s="17">
        <v>13</v>
      </c>
      <c r="E29" s="17">
        <v>0</v>
      </c>
      <c r="F29" s="18">
        <v>179.88</v>
      </c>
      <c r="G29" s="18">
        <v>0</v>
      </c>
      <c r="H29" s="32">
        <f t="shared" si="1"/>
        <v>0</v>
      </c>
      <c r="I29" s="32">
        <f t="shared" si="2"/>
        <v>0.15777664233422783</v>
      </c>
      <c r="J29" s="33">
        <f t="shared" si="5"/>
        <v>28.380862423080902</v>
      </c>
      <c r="K29" s="33">
        <f t="shared" si="3"/>
        <v>2.1831432633139154</v>
      </c>
      <c r="L29" s="17">
        <v>62</v>
      </c>
      <c r="M29" s="34">
        <f t="shared" si="6"/>
        <v>0.20967741935483872</v>
      </c>
      <c r="N29" s="17">
        <v>54</v>
      </c>
      <c r="O29" s="35">
        <f t="shared" ref="O29:P29" si="37">D29/7</f>
        <v>1.8571428571428572</v>
      </c>
      <c r="P29" s="35">
        <f t="shared" si="37"/>
        <v>0</v>
      </c>
      <c r="Q29" s="30">
        <f t="shared" si="8"/>
        <v>29</v>
      </c>
      <c r="R29" s="30"/>
      <c r="S29" s="22">
        <v>2.187793427230047</v>
      </c>
      <c r="T29" s="15" t="s">
        <v>34</v>
      </c>
      <c r="U29" s="23">
        <v>128</v>
      </c>
      <c r="V29" s="1" t="s">
        <v>127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0.15235879629629631</v>
      </c>
      <c r="AD29" s="40">
        <f t="shared" si="12"/>
        <v>-2.7333168055555555</v>
      </c>
      <c r="AE29" s="26">
        <v>-4.95</v>
      </c>
      <c r="AF29" s="26">
        <v>-4.41798621318181</v>
      </c>
      <c r="AG29" s="26">
        <v>0</v>
      </c>
    </row>
    <row r="30" spans="1:33" ht="15.75" customHeight="1" x14ac:dyDescent="0.2">
      <c r="A30" s="15" t="s">
        <v>90</v>
      </c>
      <c r="B30" s="15" t="s">
        <v>91</v>
      </c>
      <c r="C30" s="16">
        <f t="shared" si="4"/>
        <v>14.990000000000002</v>
      </c>
      <c r="D30" s="17">
        <v>18</v>
      </c>
      <c r="E30" s="17">
        <v>0</v>
      </c>
      <c r="F30" s="18">
        <v>269.82000000000005</v>
      </c>
      <c r="G30" s="18">
        <v>-0.55000000000000004</v>
      </c>
      <c r="H30" s="32">
        <f t="shared" si="1"/>
        <v>2.0383959676821581E-3</v>
      </c>
      <c r="I30" s="32">
        <f t="shared" si="2"/>
        <v>0.22604435114874086</v>
      </c>
      <c r="J30" s="33">
        <f t="shared" si="5"/>
        <v>60.991286826953271</v>
      </c>
      <c r="K30" s="33">
        <f t="shared" si="3"/>
        <v>3.3884048237196263</v>
      </c>
      <c r="L30" s="17">
        <v>61</v>
      </c>
      <c r="M30" s="34">
        <f t="shared" si="6"/>
        <v>0.29508196721311475</v>
      </c>
      <c r="N30" s="17">
        <v>39</v>
      </c>
      <c r="O30" s="35">
        <f t="shared" ref="O30:P30" si="38">D30/7</f>
        <v>2.5714285714285716</v>
      </c>
      <c r="P30" s="35">
        <f t="shared" si="38"/>
        <v>0</v>
      </c>
      <c r="Q30" s="30">
        <f t="shared" si="8"/>
        <v>15</v>
      </c>
      <c r="R30" s="30"/>
      <c r="S30" s="22">
        <v>2.395833333333333</v>
      </c>
      <c r="T30" s="15" t="s">
        <v>34</v>
      </c>
      <c r="U30" s="23">
        <v>128</v>
      </c>
      <c r="V30" s="1" t="s">
        <v>127</v>
      </c>
      <c r="W30" s="15">
        <v>0</v>
      </c>
      <c r="X30" s="39">
        <f t="shared" si="9"/>
        <v>0</v>
      </c>
      <c r="Y30" s="40">
        <f t="shared" si="10"/>
        <v>0.55000000000000004</v>
      </c>
      <c r="Z30" s="15">
        <v>1</v>
      </c>
      <c r="AA30" s="29" t="s">
        <v>35</v>
      </c>
      <c r="AB30" s="41">
        <f t="shared" si="11"/>
        <v>-0.69</v>
      </c>
      <c r="AC30" s="42">
        <v>0.15235879629629631</v>
      </c>
      <c r="AD30" s="40">
        <f t="shared" si="12"/>
        <v>-3.7845925</v>
      </c>
      <c r="AE30" s="26">
        <v>-4.95</v>
      </c>
      <c r="AF30" s="26">
        <v>-4.1622844818359299</v>
      </c>
      <c r="AG30" s="26">
        <v>0</v>
      </c>
    </row>
    <row r="31" spans="1:33" ht="15.75" customHeight="1" x14ac:dyDescent="0.2">
      <c r="A31" s="15" t="s">
        <v>93</v>
      </c>
      <c r="B31" s="15" t="s">
        <v>54</v>
      </c>
      <c r="C31" s="16">
        <f t="shared" si="4"/>
        <v>15.723333333333334</v>
      </c>
      <c r="D31" s="17">
        <v>15</v>
      </c>
      <c r="E31" s="17">
        <v>0</v>
      </c>
      <c r="F31" s="18">
        <v>235.85000000000002</v>
      </c>
      <c r="G31" s="18">
        <v>-0.71</v>
      </c>
      <c r="H31" s="32">
        <f t="shared" si="1"/>
        <v>3.0103879584481657E-3</v>
      </c>
      <c r="I31" s="32">
        <f t="shared" si="2"/>
        <v>0.25407846380804594</v>
      </c>
      <c r="J31" s="33">
        <f t="shared" si="5"/>
        <v>59.924405689127646</v>
      </c>
      <c r="K31" s="33">
        <f t="shared" si="3"/>
        <v>3.9949603792751764</v>
      </c>
      <c r="L31" s="17">
        <v>80</v>
      </c>
      <c r="M31" s="34">
        <f t="shared" si="6"/>
        <v>0.1875</v>
      </c>
      <c r="N31" s="17">
        <v>25</v>
      </c>
      <c r="O31" s="35">
        <f t="shared" ref="O31:P31" si="39">D31/7</f>
        <v>2.1428571428571428</v>
      </c>
      <c r="P31" s="35">
        <f t="shared" si="39"/>
        <v>0</v>
      </c>
      <c r="Q31" s="30">
        <f t="shared" si="8"/>
        <v>11</v>
      </c>
      <c r="R31" s="30"/>
      <c r="S31" s="22">
        <v>2.5558739255014302</v>
      </c>
      <c r="T31" s="15">
        <v>320</v>
      </c>
      <c r="U31" s="23">
        <v>128</v>
      </c>
      <c r="V31" s="1" t="s">
        <v>127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35</v>
      </c>
      <c r="AB31" s="41">
        <f t="shared" si="11"/>
        <v>-0.69</v>
      </c>
      <c r="AC31" s="28">
        <v>0.15235879629629631</v>
      </c>
      <c r="AD31" s="40">
        <f t="shared" si="12"/>
        <v>-3.1538270833333333</v>
      </c>
      <c r="AE31" s="26">
        <v>-4.95</v>
      </c>
      <c r="AF31" s="43">
        <v>-4.162284481835937</v>
      </c>
      <c r="AG31" s="26">
        <v>0</v>
      </c>
    </row>
    <row r="32" spans="1:33" ht="15.75" customHeight="1" x14ac:dyDescent="0.2">
      <c r="A32" s="15" t="s">
        <v>96</v>
      </c>
      <c r="B32" s="15" t="s">
        <v>54</v>
      </c>
      <c r="C32" s="16">
        <f t="shared" si="4"/>
        <v>15.99</v>
      </c>
      <c r="D32" s="17">
        <v>16</v>
      </c>
      <c r="E32" s="17">
        <v>0</v>
      </c>
      <c r="F32" s="18">
        <v>255.84</v>
      </c>
      <c r="G32" s="18">
        <v>-0.5</v>
      </c>
      <c r="H32" s="32">
        <f t="shared" si="1"/>
        <v>1.9543464665415884E-3</v>
      </c>
      <c r="I32" s="32">
        <f t="shared" si="2"/>
        <v>0.26502253779081814</v>
      </c>
      <c r="J32" s="33">
        <f t="shared" si="5"/>
        <v>67.803366068402909</v>
      </c>
      <c r="K32" s="33">
        <f t="shared" si="3"/>
        <v>4.2377103792751818</v>
      </c>
      <c r="L32" s="17">
        <v>70</v>
      </c>
      <c r="M32" s="34">
        <f t="shared" si="6"/>
        <v>0.22857142857142856</v>
      </c>
      <c r="N32" s="17">
        <v>86</v>
      </c>
      <c r="O32" s="35">
        <f t="shared" ref="O32:P32" si="40">D32/7</f>
        <v>2.2857142857142856</v>
      </c>
      <c r="P32" s="35">
        <f t="shared" si="40"/>
        <v>0</v>
      </c>
      <c r="Q32" s="30">
        <f t="shared" si="8"/>
        <v>37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2.1538461538461542</v>
      </c>
      <c r="T32" s="15">
        <f ca="1">IFERROR(__xludf.DUMMYFUNCTION("IFERROR(VLOOKUP($B$2,IMPORTRANGE(""https://docs.google.com/spreadsheets/d/1KiWZV1ko8G7lnRucBRBd29jj3Be6ltMfljMDqzOkQmI/edit#gid=1381463014"",""Lookup!A:D""),4,FALSE),"""")"),320)</f>
        <v>320</v>
      </c>
      <c r="U32" s="23">
        <f ca="1">IFERROR(__xludf.DUMMYFUNCTION("IFERROR(VLOOKUP($B$2,IMPORTRANGE(""https://docs.google.com/spreadsheets/d/1KiWZV1ko8G7lnRucBRBd29jj3Be6ltMfljMDqzOkQmI/edit#gid=1381463014"",""Lookup!A:D""),3,FALSE),"""")"),128)</f>
        <v>128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- 128 units 08/09")</f>
        <v>| AGL216  - 128 units 08/09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0.15235879629629631</v>
      </c>
      <c r="AD32" s="40">
        <f t="shared" si="12"/>
        <v>-3.3640822222222222</v>
      </c>
      <c r="AE32" s="26">
        <v>-4.95</v>
      </c>
      <c r="AF32" s="26">
        <v>-4.1622844818359299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3.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25.83203125" customWidth="1"/>
    <col min="22" max="22" width="74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- 12x16 Inch White Framed Hanging Chalk Board")</f>
        <v>Magnetic Kitchen Chalkboard Sign - 12x16 Inch White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Info!B1:BJ5000""),2,FALSE),"""")"),"B07H7QRRP9")</f>
        <v>B07H7QRRP9</v>
      </c>
      <c r="B2" s="3" t="s">
        <v>128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11.75" customHeight="1" x14ac:dyDescent="0.2">
      <c r="A3" s="57" t="s">
        <v>31</v>
      </c>
      <c r="B3" s="58"/>
      <c r="C3" s="4">
        <f>((AE32+AF32)/0.85)*-1</f>
        <v>11.579158213924622</v>
      </c>
      <c r="D3" s="5">
        <f>SUM(D4:D99519)</f>
        <v>505</v>
      </c>
      <c r="E3" s="5"/>
      <c r="F3" s="6">
        <f t="shared" ref="F3:G3" si="0">SUM(F4:F99519)</f>
        <v>7860.55</v>
      </c>
      <c r="G3" s="6">
        <f t="shared" si="0"/>
        <v>-2.2799999999999998</v>
      </c>
      <c r="H3" s="7">
        <f t="shared" ref="H3:H32" si="1">G3/F3*-1</f>
        <v>2.9005603933566988E-4</v>
      </c>
      <c r="I3" s="8">
        <f t="shared" ref="I3:I32" si="2">J3/F3</f>
        <v>0.22987491740031568</v>
      </c>
      <c r="J3" s="6">
        <f>SUM(J4:J99519)</f>
        <v>1806.9432819710514</v>
      </c>
      <c r="K3" s="6">
        <f t="shared" ref="K3:K32" si="3">J3/D3</f>
        <v>3.5781055088535672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Sheet!a1:g5000""),2,FALSE),"""")"),"5.0 - March
5.0 - April
5.0 - May
5.0 - June
5.0 - July
5.0 - Aug
5.0 - Sept
5.0 - Oct
5.0 - Nov
5.0 - Dec
5.0 - Jan
5.0 - Feb")</f>
        <v>5.0 - March
5.0 - April
5.0 - May
5.0 - June
5.0 - July
5.0 - Aug
5.0 - Sept
5.0 - Oct
5.0 - Nov
5.0 - Dec
5.0 - Jan
5.0 -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QTY-426")</f>
        <v>Del QTY-426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QTY-112")</f>
        <v>US QTY-112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Transit-0")</f>
        <v>In Transit-0</v>
      </c>
      <c r="W3" s="5">
        <f>SUM(W4:W99519)</f>
        <v>1</v>
      </c>
      <c r="X3" s="7">
        <f>W3/D3</f>
        <v>1.9801980198019802E-3</v>
      </c>
      <c r="Y3" s="6"/>
      <c r="Z3" s="5"/>
      <c r="AA3" s="5"/>
      <c r="AB3" s="5"/>
      <c r="AC3" s="5"/>
      <c r="AD3" s="6">
        <f>SUM(AD4:AD99519)</f>
        <v>-117.85872275175258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Info!B2:BZ3000""),37,FALSE)),"""")*-1"),-4.16228448183593)</f>
        <v>-4.1622844818359299</v>
      </c>
      <c r="AG3" s="6">
        <f>SUM(AG4:AG99519)</f>
        <v>0</v>
      </c>
    </row>
    <row r="4" spans="1:33" x14ac:dyDescent="0.2">
      <c r="A4" s="15" t="s">
        <v>32</v>
      </c>
      <c r="B4" s="15" t="s">
        <v>33</v>
      </c>
      <c r="C4" s="16">
        <f t="shared" ref="C4:C32" si="4">IFERROR(F4/D4," - ")</f>
        <v>17.490000000000006</v>
      </c>
      <c r="D4" s="17">
        <v>22</v>
      </c>
      <c r="E4" s="17">
        <v>0</v>
      </c>
      <c r="F4" s="18">
        <v>384.78000000000009</v>
      </c>
      <c r="G4" s="18">
        <v>-0.02</v>
      </c>
      <c r="H4" s="19">
        <f t="shared" si="1"/>
        <v>5.1977753521492789E-5</v>
      </c>
      <c r="I4" s="19">
        <f t="shared" si="2"/>
        <v>0.31437630892977814</v>
      </c>
      <c r="J4" s="18">
        <f t="shared" ref="J4:J32" si="5">F4*0.85+G4+AF4*D4+D4*AE4+AG4+AD4</f>
        <v>120.96571615000005</v>
      </c>
      <c r="K4" s="18">
        <f t="shared" si="3"/>
        <v>5.4984416431818204</v>
      </c>
      <c r="L4" s="17">
        <v>50</v>
      </c>
      <c r="M4" s="20">
        <f t="shared" ref="M4:M32" si="6">IFERROR(D4/L4,"-")</f>
        <v>0.44</v>
      </c>
      <c r="N4" s="17">
        <v>91</v>
      </c>
      <c r="O4" s="21">
        <f t="shared" ref="O4:P4" si="7">D4/7</f>
        <v>3.1428571428571428</v>
      </c>
      <c r="P4" s="21">
        <f t="shared" si="7"/>
        <v>0</v>
      </c>
      <c r="Q4" s="17">
        <f t="shared" ref="Q4:Q32" si="8">ROUNDDOWN(N4/(O4+P4),0)</f>
        <v>28</v>
      </c>
      <c r="R4" s="17"/>
      <c r="S4" s="22">
        <v>2.0985221674876802</v>
      </c>
      <c r="T4" s="15">
        <v>368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0.16911312499999998</v>
      </c>
      <c r="AD4" s="26">
        <f t="shared" ref="AD4:AD32" si="12">IFERROR(AB4*AC4*D4*2,0)</f>
        <v>-5.1342744749999989</v>
      </c>
      <c r="AE4" s="26">
        <v>-5.42</v>
      </c>
      <c r="AF4" s="26">
        <v>-3.713773153409091</v>
      </c>
      <c r="AG4" s="26">
        <v>0</v>
      </c>
    </row>
    <row r="5" spans="1:33" ht="15.75" customHeight="1" x14ac:dyDescent="0.2">
      <c r="A5" s="29" t="s">
        <v>36</v>
      </c>
      <c r="B5" s="29" t="s">
        <v>129</v>
      </c>
      <c r="C5" s="16">
        <f t="shared" si="4"/>
        <v>17.490000000000002</v>
      </c>
      <c r="D5" s="30">
        <v>14</v>
      </c>
      <c r="E5" s="30">
        <v>0</v>
      </c>
      <c r="F5" s="31">
        <v>244.86</v>
      </c>
      <c r="G5" s="31">
        <v>-0.08</v>
      </c>
      <c r="H5" s="32">
        <f t="shared" si="1"/>
        <v>3.2671730784938332E-4</v>
      </c>
      <c r="I5" s="32">
        <f t="shared" si="2"/>
        <v>0.31408610772694645</v>
      </c>
      <c r="J5" s="33">
        <f t="shared" si="5"/>
        <v>76.907124338020111</v>
      </c>
      <c r="K5" s="33">
        <f t="shared" si="3"/>
        <v>5.4933660241442936</v>
      </c>
      <c r="L5" s="30">
        <v>65</v>
      </c>
      <c r="M5" s="34">
        <f t="shared" si="6"/>
        <v>0.2153846153846154</v>
      </c>
      <c r="N5" s="30">
        <v>109</v>
      </c>
      <c r="O5" s="35">
        <f t="shared" ref="O5:P5" si="13">D5/7</f>
        <v>2</v>
      </c>
      <c r="P5" s="35">
        <f t="shared" si="13"/>
        <v>0</v>
      </c>
      <c r="Q5" s="30">
        <f t="shared" si="8"/>
        <v>54</v>
      </c>
      <c r="R5" s="30"/>
      <c r="S5" s="36">
        <v>1.5972461273666001</v>
      </c>
      <c r="T5" s="29">
        <v>368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35</v>
      </c>
      <c r="AB5" s="41">
        <f t="shared" si="11"/>
        <v>-0.69</v>
      </c>
      <c r="AC5" s="42">
        <v>0.16930908458864424</v>
      </c>
      <c r="AD5" s="40">
        <f t="shared" si="12"/>
        <v>-3.2710515142526067</v>
      </c>
      <c r="AE5" s="40">
        <v>-5.42</v>
      </c>
      <c r="AF5" s="40">
        <v>-3.713773153409091</v>
      </c>
      <c r="AG5" s="40">
        <v>0</v>
      </c>
    </row>
    <row r="6" spans="1:33" ht="15.75" customHeight="1" x14ac:dyDescent="0.2">
      <c r="A6" s="29" t="s">
        <v>38</v>
      </c>
      <c r="B6" s="29" t="s">
        <v>130</v>
      </c>
      <c r="C6" s="16">
        <f t="shared" si="4"/>
        <v>17.544193548387099</v>
      </c>
      <c r="D6" s="30">
        <v>31</v>
      </c>
      <c r="E6" s="30">
        <v>0</v>
      </c>
      <c r="F6" s="31">
        <v>543.87000000000012</v>
      </c>
      <c r="G6" s="31">
        <v>-0.1</v>
      </c>
      <c r="H6" s="32">
        <f t="shared" si="1"/>
        <v>1.8386746832882854E-4</v>
      </c>
      <c r="I6" s="32">
        <f t="shared" si="2"/>
        <v>0.31589878602757687</v>
      </c>
      <c r="J6" s="33">
        <f t="shared" si="5"/>
        <v>171.80787275681826</v>
      </c>
      <c r="K6" s="33">
        <f t="shared" si="3"/>
        <v>5.542189443768331</v>
      </c>
      <c r="L6" s="30">
        <v>75</v>
      </c>
      <c r="M6" s="34">
        <f t="shared" si="6"/>
        <v>0.41333333333333333</v>
      </c>
      <c r="N6" s="30">
        <v>81</v>
      </c>
      <c r="O6" s="35">
        <f t="shared" ref="O6:P6" si="14">D6/7</f>
        <v>4.4285714285714288</v>
      </c>
      <c r="P6" s="35">
        <f t="shared" si="14"/>
        <v>0</v>
      </c>
      <c r="Q6" s="30">
        <f t="shared" si="8"/>
        <v>18</v>
      </c>
      <c r="R6" s="30"/>
      <c r="S6" s="36">
        <v>1.9069767441860399</v>
      </c>
      <c r="T6" s="29">
        <v>368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0.16911312499999998</v>
      </c>
      <c r="AD6" s="40">
        <f t="shared" si="12"/>
        <v>-7.2346594874999983</v>
      </c>
      <c r="AE6" s="40">
        <v>-5.42</v>
      </c>
      <c r="AF6" s="40">
        <v>-3.713773153409091</v>
      </c>
      <c r="AG6" s="40">
        <v>0</v>
      </c>
    </row>
    <row r="7" spans="1:33" ht="15.75" customHeight="1" x14ac:dyDescent="0.2">
      <c r="A7" s="29" t="s">
        <v>41</v>
      </c>
      <c r="B7" s="29" t="s">
        <v>132</v>
      </c>
      <c r="C7" s="16">
        <f t="shared" si="4"/>
        <v>18.632380952380952</v>
      </c>
      <c r="D7" s="30">
        <v>21</v>
      </c>
      <c r="E7" s="30">
        <v>0</v>
      </c>
      <c r="F7" s="31">
        <v>391.28</v>
      </c>
      <c r="G7" s="31">
        <v>0</v>
      </c>
      <c r="H7" s="32">
        <f t="shared" si="1"/>
        <v>0</v>
      </c>
      <c r="I7" s="32">
        <f t="shared" si="2"/>
        <v>0.34726504144323522</v>
      </c>
      <c r="J7" s="33">
        <f t="shared" si="5"/>
        <v>135.87786541590907</v>
      </c>
      <c r="K7" s="33">
        <f t="shared" si="3"/>
        <v>6.4703745436147173</v>
      </c>
      <c r="L7" s="30">
        <v>69</v>
      </c>
      <c r="M7" s="34">
        <f t="shared" si="6"/>
        <v>0.30434782608695654</v>
      </c>
      <c r="N7" s="30">
        <v>57</v>
      </c>
      <c r="O7" s="35">
        <f t="shared" ref="O7:P7" si="15">D7/7</f>
        <v>3</v>
      </c>
      <c r="P7" s="35">
        <f t="shared" si="15"/>
        <v>0</v>
      </c>
      <c r="Q7" s="30">
        <f t="shared" si="8"/>
        <v>19</v>
      </c>
      <c r="R7" s="30"/>
      <c r="S7" s="36">
        <v>2.0687022900763301</v>
      </c>
      <c r="T7" s="29">
        <v>592</v>
      </c>
      <c r="U7" s="37">
        <v>224</v>
      </c>
      <c r="V7" s="38" t="s">
        <v>133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0.16911312499999998</v>
      </c>
      <c r="AD7" s="40">
        <f t="shared" si="12"/>
        <v>-4.9008983624999987</v>
      </c>
      <c r="AE7" s="40">
        <v>-5.42</v>
      </c>
      <c r="AF7" s="40">
        <v>-3.713773153409091</v>
      </c>
      <c r="AG7" s="40">
        <v>0</v>
      </c>
    </row>
    <row r="8" spans="1:33" ht="15.75" customHeight="1" x14ac:dyDescent="0.2">
      <c r="A8" s="29" t="s">
        <v>44</v>
      </c>
      <c r="B8" s="29" t="s">
        <v>134</v>
      </c>
      <c r="C8" s="16">
        <f t="shared" si="4"/>
        <v>19.400714285714287</v>
      </c>
      <c r="D8" s="30">
        <v>14</v>
      </c>
      <c r="E8" s="30">
        <v>0</v>
      </c>
      <c r="F8" s="31">
        <v>271.61</v>
      </c>
      <c r="G8" s="31">
        <v>-0.08</v>
      </c>
      <c r="H8" s="32">
        <f t="shared" si="1"/>
        <v>2.9453996539155404E-4</v>
      </c>
      <c r="I8" s="32">
        <f t="shared" si="2"/>
        <v>0.36707497671293399</v>
      </c>
      <c r="J8" s="33">
        <f t="shared" si="5"/>
        <v>99.70123442500001</v>
      </c>
      <c r="K8" s="33">
        <f t="shared" si="3"/>
        <v>7.1215167446428582</v>
      </c>
      <c r="L8" s="30">
        <v>49</v>
      </c>
      <c r="M8" s="34">
        <f t="shared" si="6"/>
        <v>0.2857142857142857</v>
      </c>
      <c r="N8" s="30">
        <v>73</v>
      </c>
      <c r="O8" s="35">
        <f t="shared" ref="O8:P8" si="16">D8/7</f>
        <v>2</v>
      </c>
      <c r="P8" s="35">
        <f t="shared" si="16"/>
        <v>0</v>
      </c>
      <c r="Q8" s="30">
        <f t="shared" si="8"/>
        <v>36</v>
      </c>
      <c r="R8" s="30"/>
      <c r="S8" s="36">
        <v>2.2999999999999998</v>
      </c>
      <c r="T8" s="29">
        <v>592</v>
      </c>
      <c r="U8" s="37">
        <v>224</v>
      </c>
      <c r="V8" s="38" t="s">
        <v>135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0.16911312499999998</v>
      </c>
      <c r="AD8" s="40">
        <f t="shared" si="12"/>
        <v>-3.2672655749999993</v>
      </c>
      <c r="AE8" s="40">
        <v>-5.42</v>
      </c>
      <c r="AF8" s="40">
        <v>-3.71</v>
      </c>
      <c r="AG8" s="40">
        <v>0</v>
      </c>
    </row>
    <row r="9" spans="1:33" ht="15.75" customHeight="1" x14ac:dyDescent="0.2">
      <c r="A9" s="29" t="s">
        <v>47</v>
      </c>
      <c r="B9" s="29" t="s">
        <v>102</v>
      </c>
      <c r="C9" s="16">
        <f t="shared" si="4"/>
        <v>16.463684210526321</v>
      </c>
      <c r="D9" s="30">
        <v>19</v>
      </c>
      <c r="E9" s="30">
        <v>0</v>
      </c>
      <c r="F9" s="31">
        <v>312.81000000000006</v>
      </c>
      <c r="G9" s="31">
        <v>0</v>
      </c>
      <c r="H9" s="32">
        <f t="shared" si="1"/>
        <v>0</v>
      </c>
      <c r="I9" s="32">
        <f t="shared" si="2"/>
        <v>0.27184289511713511</v>
      </c>
      <c r="J9" s="33">
        <f t="shared" si="5"/>
        <v>85.035176021591056</v>
      </c>
      <c r="K9" s="33">
        <f t="shared" si="3"/>
        <v>4.47553558008374</v>
      </c>
      <c r="L9" s="30">
        <v>57</v>
      </c>
      <c r="M9" s="34">
        <f t="shared" si="6"/>
        <v>0.33333333333333331</v>
      </c>
      <c r="N9" s="30">
        <v>59</v>
      </c>
      <c r="O9" s="35">
        <f t="shared" ref="O9:P9" si="17">D9/7</f>
        <v>2.7142857142857144</v>
      </c>
      <c r="P9" s="35">
        <f t="shared" si="17"/>
        <v>0</v>
      </c>
      <c r="Q9" s="30">
        <f t="shared" si="8"/>
        <v>21</v>
      </c>
      <c r="R9" s="30"/>
      <c r="S9" s="36">
        <v>2.55555555555555</v>
      </c>
      <c r="T9" s="29">
        <v>592</v>
      </c>
      <c r="U9" s="37">
        <v>112</v>
      </c>
      <c r="V9" s="38" t="s">
        <v>136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0.16911312499999998</v>
      </c>
      <c r="AD9" s="40">
        <f t="shared" si="12"/>
        <v>-4.4341461374999991</v>
      </c>
      <c r="AE9" s="40">
        <v>-5.42</v>
      </c>
      <c r="AF9" s="40">
        <v>-3.8652198863636298</v>
      </c>
      <c r="AG9" s="40">
        <v>0</v>
      </c>
    </row>
    <row r="10" spans="1:33" ht="15.75" customHeight="1" x14ac:dyDescent="0.2">
      <c r="A10" s="29" t="s">
        <v>50</v>
      </c>
      <c r="B10" s="29" t="s">
        <v>137</v>
      </c>
      <c r="C10" s="16">
        <f t="shared" si="4"/>
        <v>16.075217391304342</v>
      </c>
      <c r="D10" s="30">
        <v>23</v>
      </c>
      <c r="E10" s="30">
        <v>1</v>
      </c>
      <c r="F10" s="31">
        <v>369.72999999999985</v>
      </c>
      <c r="G10" s="31">
        <v>-0.16</v>
      </c>
      <c r="H10" s="32">
        <f t="shared" si="1"/>
        <v>4.3274822167527677E-4</v>
      </c>
      <c r="I10" s="32">
        <f t="shared" si="2"/>
        <v>0.25743864989623888</v>
      </c>
      <c r="J10" s="33">
        <f t="shared" si="5"/>
        <v>95.182792026136369</v>
      </c>
      <c r="K10" s="33">
        <f t="shared" si="3"/>
        <v>4.138382262005929</v>
      </c>
      <c r="L10" s="30">
        <v>70</v>
      </c>
      <c r="M10" s="34">
        <f t="shared" si="6"/>
        <v>0.32857142857142857</v>
      </c>
      <c r="N10" s="30">
        <v>29</v>
      </c>
      <c r="O10" s="35">
        <f t="shared" ref="O10:P10" si="18">D10/7</f>
        <v>3.2857142857142856</v>
      </c>
      <c r="P10" s="35">
        <f t="shared" si="18"/>
        <v>0.14285714285714285</v>
      </c>
      <c r="Q10" s="30">
        <f t="shared" si="8"/>
        <v>8</v>
      </c>
      <c r="R10" s="30"/>
      <c r="S10" s="36">
        <v>3.2261904761904701</v>
      </c>
      <c r="T10" s="29">
        <v>224</v>
      </c>
      <c r="U10" s="37">
        <v>112</v>
      </c>
      <c r="V10" s="38" t="s">
        <v>138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35</v>
      </c>
      <c r="AB10" s="41">
        <f t="shared" si="11"/>
        <v>-0.69</v>
      </c>
      <c r="AC10" s="42">
        <v>0.16911312499999998</v>
      </c>
      <c r="AD10" s="40">
        <f t="shared" si="12"/>
        <v>-5.3676505874999991</v>
      </c>
      <c r="AE10" s="40">
        <v>-5.42</v>
      </c>
      <c r="AF10" s="40">
        <v>-3.8652198863636298</v>
      </c>
      <c r="AG10" s="40">
        <v>0</v>
      </c>
    </row>
    <row r="11" spans="1:33" ht="15.75" customHeight="1" x14ac:dyDescent="0.2">
      <c r="A11" s="29" t="s">
        <v>53</v>
      </c>
      <c r="B11" s="29" t="s">
        <v>139</v>
      </c>
      <c r="C11" s="16">
        <f t="shared" si="4"/>
        <v>15.375</v>
      </c>
      <c r="D11" s="30">
        <v>26</v>
      </c>
      <c r="E11" s="30">
        <v>0</v>
      </c>
      <c r="F11" s="31">
        <v>399.75</v>
      </c>
      <c r="G11" s="31">
        <v>0</v>
      </c>
      <c r="H11" s="32">
        <f t="shared" si="1"/>
        <v>0</v>
      </c>
      <c r="I11" s="32">
        <f t="shared" si="2"/>
        <v>0.23090432527716226</v>
      </c>
      <c r="J11" s="33">
        <f t="shared" si="5"/>
        <v>92.304004029545609</v>
      </c>
      <c r="K11" s="33">
        <f t="shared" si="3"/>
        <v>3.5501540011363697</v>
      </c>
      <c r="L11" s="30">
        <v>48</v>
      </c>
      <c r="M11" s="34">
        <f t="shared" si="6"/>
        <v>0.54166666666666663</v>
      </c>
      <c r="N11" s="30">
        <v>103</v>
      </c>
      <c r="O11" s="35">
        <f t="shared" ref="O11:P11" si="19">D11/7</f>
        <v>3.7142857142857144</v>
      </c>
      <c r="P11" s="35">
        <f t="shared" si="19"/>
        <v>0</v>
      </c>
      <c r="Q11" s="30">
        <f t="shared" si="8"/>
        <v>27</v>
      </c>
      <c r="R11" s="30"/>
      <c r="S11" s="36">
        <v>2.34920634920634</v>
      </c>
      <c r="T11" s="29">
        <v>224</v>
      </c>
      <c r="U11" s="37">
        <v>112</v>
      </c>
      <c r="V11" s="38" t="s">
        <v>140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0.16911312499999998</v>
      </c>
      <c r="AD11" s="40">
        <f t="shared" si="12"/>
        <v>-6.0677789249999989</v>
      </c>
      <c r="AE11" s="40">
        <v>-5.42</v>
      </c>
      <c r="AF11" s="40">
        <v>-3.8652198863636298</v>
      </c>
      <c r="AG11" s="40">
        <v>0</v>
      </c>
    </row>
    <row r="12" spans="1:33" ht="15.75" customHeight="1" x14ac:dyDescent="0.2">
      <c r="A12" s="29" t="s">
        <v>56</v>
      </c>
      <c r="B12" s="29" t="s">
        <v>141</v>
      </c>
      <c r="C12" s="16">
        <f t="shared" si="4"/>
        <v>16.573333333333334</v>
      </c>
      <c r="D12" s="30">
        <v>9</v>
      </c>
      <c r="E12" s="30">
        <v>0</v>
      </c>
      <c r="F12" s="31">
        <v>149.16</v>
      </c>
      <c r="G12" s="31">
        <v>-7.0000000000000007E-2</v>
      </c>
      <c r="H12" s="32">
        <f t="shared" si="1"/>
        <v>4.6929471708232774E-4</v>
      </c>
      <c r="I12" s="32">
        <f t="shared" si="2"/>
        <v>0.27519868604335834</v>
      </c>
      <c r="J12" s="33">
        <f t="shared" si="5"/>
        <v>41.048636010227327</v>
      </c>
      <c r="K12" s="33">
        <f t="shared" si="3"/>
        <v>4.560959556691925</v>
      </c>
      <c r="L12" s="30">
        <v>50</v>
      </c>
      <c r="M12" s="34">
        <f t="shared" si="6"/>
        <v>0.18</v>
      </c>
      <c r="N12" s="30">
        <v>89</v>
      </c>
      <c r="O12" s="35">
        <f t="shared" ref="O12:P12" si="20">D12/7</f>
        <v>1.2857142857142858</v>
      </c>
      <c r="P12" s="35">
        <f t="shared" si="20"/>
        <v>0</v>
      </c>
      <c r="Q12" s="30">
        <f t="shared" si="8"/>
        <v>69</v>
      </c>
      <c r="R12" s="30"/>
      <c r="S12" s="36">
        <v>2.83516483516483</v>
      </c>
      <c r="T12" s="29">
        <v>224</v>
      </c>
      <c r="U12" s="37">
        <v>112</v>
      </c>
      <c r="V12" s="38" t="s">
        <v>138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0.16911312499999998</v>
      </c>
      <c r="AD12" s="40">
        <f t="shared" si="12"/>
        <v>-2.1003850124999994</v>
      </c>
      <c r="AE12" s="40">
        <v>-5.42</v>
      </c>
      <c r="AF12" s="40">
        <v>-3.8652198863636298</v>
      </c>
      <c r="AG12" s="40">
        <v>0</v>
      </c>
    </row>
    <row r="13" spans="1:33" ht="15.75" customHeight="1" x14ac:dyDescent="0.2">
      <c r="A13" s="29" t="s">
        <v>57</v>
      </c>
      <c r="B13" s="29" t="s">
        <v>142</v>
      </c>
      <c r="C13" s="16">
        <f t="shared" si="4"/>
        <v>16.188571428571429</v>
      </c>
      <c r="D13" s="30">
        <v>14</v>
      </c>
      <c r="E13" s="30">
        <v>0</v>
      </c>
      <c r="F13" s="33">
        <v>226.64000000000001</v>
      </c>
      <c r="G13" s="31">
        <v>0</v>
      </c>
      <c r="H13" s="32">
        <f t="shared" si="1"/>
        <v>0</v>
      </c>
      <c r="I13" s="32">
        <f t="shared" si="2"/>
        <v>0.25709377303412756</v>
      </c>
      <c r="J13" s="33">
        <f t="shared" si="5"/>
        <v>58.267732720454674</v>
      </c>
      <c r="K13" s="33">
        <f t="shared" si="3"/>
        <v>4.1619809086039057</v>
      </c>
      <c r="L13" s="30">
        <v>41</v>
      </c>
      <c r="M13" s="34">
        <f t="shared" si="6"/>
        <v>0.34146341463414637</v>
      </c>
      <c r="N13" s="30">
        <v>76</v>
      </c>
      <c r="O13" s="35">
        <f t="shared" ref="O13:P13" si="21">D13/7</f>
        <v>2</v>
      </c>
      <c r="P13" s="35">
        <f t="shared" si="21"/>
        <v>0</v>
      </c>
      <c r="Q13" s="30">
        <f t="shared" si="8"/>
        <v>38</v>
      </c>
      <c r="R13" s="30"/>
      <c r="S13" s="36">
        <v>2.7327823691459998</v>
      </c>
      <c r="T13" s="29">
        <v>224</v>
      </c>
      <c r="U13" s="37">
        <v>112</v>
      </c>
      <c r="V13" s="38" t="s">
        <v>138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0.16911312499999998</v>
      </c>
      <c r="AD13" s="40">
        <f t="shared" si="12"/>
        <v>-3.2672655749999993</v>
      </c>
      <c r="AE13" s="40">
        <v>-5.42</v>
      </c>
      <c r="AF13" s="40">
        <v>-3.9449286931818102</v>
      </c>
      <c r="AG13" s="40">
        <v>0</v>
      </c>
    </row>
    <row r="14" spans="1:33" ht="15.75" customHeight="1" x14ac:dyDescent="0.2">
      <c r="A14" s="29" t="s">
        <v>59</v>
      </c>
      <c r="B14" s="29" t="s">
        <v>54</v>
      </c>
      <c r="C14" s="16">
        <f t="shared" si="4"/>
        <v>15.200000000000005</v>
      </c>
      <c r="D14" s="30">
        <v>15</v>
      </c>
      <c r="E14" s="30">
        <v>1</v>
      </c>
      <c r="F14" s="33">
        <v>228.00000000000006</v>
      </c>
      <c r="G14" s="31">
        <v>-0.08</v>
      </c>
      <c r="H14" s="32">
        <f t="shared" si="1"/>
        <v>3.5087719298245606E-4</v>
      </c>
      <c r="I14" s="32">
        <f t="shared" si="2"/>
        <v>0.21818170138058271</v>
      </c>
      <c r="J14" s="33">
        <f t="shared" si="5"/>
        <v>49.745427914772868</v>
      </c>
      <c r="K14" s="33">
        <f t="shared" si="3"/>
        <v>3.3163618609848577</v>
      </c>
      <c r="L14" s="30">
        <v>63</v>
      </c>
      <c r="M14" s="34">
        <f t="shared" si="6"/>
        <v>0.23809523809523808</v>
      </c>
      <c r="N14" s="30">
        <v>58</v>
      </c>
      <c r="O14" s="35">
        <f t="shared" ref="O14:P14" si="22">D14/7</f>
        <v>2.1428571428571428</v>
      </c>
      <c r="P14" s="35">
        <f t="shared" si="22"/>
        <v>0.14285714285714285</v>
      </c>
      <c r="Q14" s="30">
        <f t="shared" si="8"/>
        <v>25</v>
      </c>
      <c r="R14" s="30"/>
      <c r="S14" s="36">
        <v>3.2982456140350802</v>
      </c>
      <c r="T14" s="29">
        <v>240</v>
      </c>
      <c r="U14" s="37" t="s">
        <v>34</v>
      </c>
      <c r="V14" s="38" t="s">
        <v>34</v>
      </c>
      <c r="W14" s="29">
        <v>1</v>
      </c>
      <c r="X14" s="39">
        <f t="shared" si="9"/>
        <v>6.6666666666666666E-2</v>
      </c>
      <c r="Y14" s="40">
        <f t="shared" si="10"/>
        <v>0.08</v>
      </c>
      <c r="Z14" s="29">
        <v>0</v>
      </c>
      <c r="AA14" s="29" t="s">
        <v>35</v>
      </c>
      <c r="AB14" s="41">
        <f t="shared" si="11"/>
        <v>-0.69</v>
      </c>
      <c r="AC14" s="42">
        <v>0.16911312499999998</v>
      </c>
      <c r="AD14" s="40">
        <f t="shared" si="12"/>
        <v>-3.5006416874999995</v>
      </c>
      <c r="AE14" s="40">
        <v>-5.42</v>
      </c>
      <c r="AF14" s="40">
        <v>-3.9449286931818102</v>
      </c>
      <c r="AG14" s="40">
        <v>0</v>
      </c>
    </row>
    <row r="15" spans="1:33" ht="15.75" customHeight="1" x14ac:dyDescent="0.2">
      <c r="A15" s="29" t="s">
        <v>61</v>
      </c>
      <c r="B15" s="29" t="s">
        <v>62</v>
      </c>
      <c r="C15" s="16">
        <f t="shared" si="4"/>
        <v>15.015925925925929</v>
      </c>
      <c r="D15" s="30">
        <v>27</v>
      </c>
      <c r="E15" s="30">
        <v>0</v>
      </c>
      <c r="F15" s="33">
        <v>405.43000000000006</v>
      </c>
      <c r="G15" s="31">
        <v>0</v>
      </c>
      <c r="H15" s="32">
        <f t="shared" si="1"/>
        <v>0</v>
      </c>
      <c r="I15" s="32">
        <f t="shared" si="2"/>
        <v>0.21079167857975767</v>
      </c>
      <c r="J15" s="33">
        <f t="shared" si="5"/>
        <v>85.46127024659117</v>
      </c>
      <c r="K15" s="33">
        <f t="shared" si="3"/>
        <v>3.1652322313552284</v>
      </c>
      <c r="L15" s="30">
        <v>55</v>
      </c>
      <c r="M15" s="34">
        <f t="shared" si="6"/>
        <v>0.49090909090909091</v>
      </c>
      <c r="N15" s="30">
        <v>33</v>
      </c>
      <c r="O15" s="35">
        <f t="shared" ref="O15:P15" si="23">D15/7</f>
        <v>3.8571428571428572</v>
      </c>
      <c r="P15" s="35">
        <f t="shared" si="23"/>
        <v>0</v>
      </c>
      <c r="Q15" s="30">
        <f t="shared" si="8"/>
        <v>8</v>
      </c>
      <c r="R15" s="30"/>
      <c r="S15" s="36">
        <v>3.3956834532374098</v>
      </c>
      <c r="T15" s="29">
        <v>240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35</v>
      </c>
      <c r="AB15" s="41">
        <f t="shared" si="11"/>
        <v>-0.69</v>
      </c>
      <c r="AC15" s="42">
        <v>0.16911312499999998</v>
      </c>
      <c r="AD15" s="40">
        <f t="shared" si="12"/>
        <v>-6.3011550374999992</v>
      </c>
      <c r="AE15" s="40">
        <v>-5.42</v>
      </c>
      <c r="AF15" s="40">
        <v>-3.9449286931818102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16.79</v>
      </c>
      <c r="D16" s="30">
        <v>10</v>
      </c>
      <c r="E16" s="30">
        <v>0</v>
      </c>
      <c r="F16" s="33">
        <v>167.9</v>
      </c>
      <c r="G16" s="31">
        <v>0</v>
      </c>
      <c r="H16" s="32">
        <f t="shared" si="1"/>
        <v>0</v>
      </c>
      <c r="I16" s="32">
        <f t="shared" si="2"/>
        <v>0.27833205445611608</v>
      </c>
      <c r="J16" s="33">
        <f t="shared" si="5"/>
        <v>46.73195194318189</v>
      </c>
      <c r="K16" s="33">
        <f t="shared" si="3"/>
        <v>4.6731951943181889</v>
      </c>
      <c r="L16" s="30">
        <v>39</v>
      </c>
      <c r="M16" s="34">
        <f t="shared" si="6"/>
        <v>0.25641025641025639</v>
      </c>
      <c r="N16" s="30">
        <v>106</v>
      </c>
      <c r="O16" s="35">
        <f t="shared" ref="O16:P16" si="24">D16/7</f>
        <v>1.4285714285714286</v>
      </c>
      <c r="P16" s="35">
        <f t="shared" si="24"/>
        <v>0</v>
      </c>
      <c r="Q16" s="30">
        <f t="shared" si="8"/>
        <v>74</v>
      </c>
      <c r="R16" s="30"/>
      <c r="S16" s="36">
        <v>2.53785900783289</v>
      </c>
      <c r="T16" s="29">
        <v>240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35</v>
      </c>
      <c r="AB16" s="41">
        <f t="shared" si="11"/>
        <v>-0.69</v>
      </c>
      <c r="AC16" s="42">
        <v>0.16911312499999998</v>
      </c>
      <c r="AD16" s="40">
        <f t="shared" si="12"/>
        <v>-2.3337611249999997</v>
      </c>
      <c r="AE16" s="40">
        <v>-5.42</v>
      </c>
      <c r="AF16" s="40">
        <v>-3.9449286931818102</v>
      </c>
      <c r="AG16" s="40">
        <v>0</v>
      </c>
    </row>
    <row r="17" spans="1:33" ht="15.75" customHeight="1" x14ac:dyDescent="0.2">
      <c r="A17" s="29" t="s">
        <v>66</v>
      </c>
      <c r="B17" s="29" t="s">
        <v>141</v>
      </c>
      <c r="C17" s="16">
        <f t="shared" si="4"/>
        <v>16.989999999999998</v>
      </c>
      <c r="D17" s="30">
        <v>6</v>
      </c>
      <c r="E17" s="30">
        <v>0</v>
      </c>
      <c r="F17" s="33">
        <v>101.94</v>
      </c>
      <c r="G17" s="31">
        <v>-0.16</v>
      </c>
      <c r="H17" s="32">
        <f t="shared" si="1"/>
        <v>1.5695507161075143E-3</v>
      </c>
      <c r="I17" s="32">
        <f t="shared" si="2"/>
        <v>0.28349196748978955</v>
      </c>
      <c r="J17" s="33">
        <f t="shared" si="5"/>
        <v>28.899171165909145</v>
      </c>
      <c r="K17" s="33">
        <f t="shared" si="3"/>
        <v>4.8165285276515242</v>
      </c>
      <c r="L17" s="30">
        <v>28</v>
      </c>
      <c r="M17" s="34">
        <f t="shared" si="6"/>
        <v>0.21428571428571427</v>
      </c>
      <c r="N17" s="30">
        <v>98</v>
      </c>
      <c r="O17" s="35">
        <f t="shared" ref="O17:P17" si="25">D17/7</f>
        <v>0.8571428571428571</v>
      </c>
      <c r="P17" s="35">
        <f t="shared" si="25"/>
        <v>0</v>
      </c>
      <c r="Q17" s="30">
        <f t="shared" si="8"/>
        <v>114</v>
      </c>
      <c r="R17" s="30"/>
      <c r="S17" s="36">
        <v>2.5683060109289602</v>
      </c>
      <c r="T17" s="29">
        <v>240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35</v>
      </c>
      <c r="AB17" s="41">
        <f t="shared" si="11"/>
        <v>-0.69</v>
      </c>
      <c r="AC17" s="42">
        <v>0.16911312499999998</v>
      </c>
      <c r="AD17" s="40">
        <f t="shared" si="12"/>
        <v>-1.4002566749999996</v>
      </c>
      <c r="AE17" s="40">
        <v>-5.42</v>
      </c>
      <c r="AF17" s="40">
        <v>-3.9449286931818102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16.339999999999996</v>
      </c>
      <c r="D18" s="30">
        <v>11</v>
      </c>
      <c r="E18" s="30">
        <v>0</v>
      </c>
      <c r="F18" s="33">
        <v>179.73999999999995</v>
      </c>
      <c r="G18" s="31">
        <v>-0.08</v>
      </c>
      <c r="H18" s="32">
        <f t="shared" si="1"/>
        <v>4.4508734839212211E-4</v>
      </c>
      <c r="I18" s="32">
        <f t="shared" si="2"/>
        <v>0.26214335783631953</v>
      </c>
      <c r="J18" s="33">
        <f t="shared" si="5"/>
        <v>47.117647137500057</v>
      </c>
      <c r="K18" s="33">
        <f t="shared" si="3"/>
        <v>4.2834224670454599</v>
      </c>
      <c r="L18" s="30">
        <v>28</v>
      </c>
      <c r="M18" s="34">
        <f t="shared" si="6"/>
        <v>0.39285714285714285</v>
      </c>
      <c r="N18" s="30">
        <v>88</v>
      </c>
      <c r="O18" s="35">
        <f t="shared" ref="O18:P18" si="26">D18/7</f>
        <v>1.5714285714285714</v>
      </c>
      <c r="P18" s="35">
        <f t="shared" si="26"/>
        <v>0</v>
      </c>
      <c r="Q18" s="30">
        <f t="shared" si="8"/>
        <v>56</v>
      </c>
      <c r="R18" s="30"/>
      <c r="S18" s="36">
        <v>2.75308641975308</v>
      </c>
      <c r="T18" s="29">
        <v>240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35</v>
      </c>
      <c r="AB18" s="41">
        <f t="shared" si="11"/>
        <v>-0.69</v>
      </c>
      <c r="AC18" s="42">
        <v>0.16911312499999998</v>
      </c>
      <c r="AD18" s="40">
        <f t="shared" si="12"/>
        <v>-2.5671372374999994</v>
      </c>
      <c r="AE18" s="40">
        <v>-5.42</v>
      </c>
      <c r="AF18" s="40">
        <v>-3.9449286931818102</v>
      </c>
      <c r="AG18" s="40">
        <v>0</v>
      </c>
    </row>
    <row r="19" spans="1:33" ht="15.75" customHeight="1" x14ac:dyDescent="0.2">
      <c r="A19" s="29" t="s">
        <v>71</v>
      </c>
      <c r="B19" s="29" t="s">
        <v>72</v>
      </c>
      <c r="C19" s="16">
        <f t="shared" si="4"/>
        <v>15.990000000000002</v>
      </c>
      <c r="D19" s="30">
        <v>12</v>
      </c>
      <c r="E19" s="30">
        <v>0</v>
      </c>
      <c r="F19" s="33">
        <v>191.88000000000002</v>
      </c>
      <c r="G19" s="31">
        <v>-0.08</v>
      </c>
      <c r="H19" s="32">
        <f t="shared" si="1"/>
        <v>4.1692724619553882E-4</v>
      </c>
      <c r="I19" s="32">
        <f t="shared" si="2"/>
        <v>0.2493138541370554</v>
      </c>
      <c r="J19" s="33">
        <f t="shared" si="5"/>
        <v>47.838342331818197</v>
      </c>
      <c r="K19" s="33">
        <f t="shared" si="3"/>
        <v>3.9865285276515166</v>
      </c>
      <c r="L19" s="30">
        <v>36</v>
      </c>
      <c r="M19" s="34">
        <f t="shared" si="6"/>
        <v>0.33333333333333331</v>
      </c>
      <c r="N19" s="30">
        <v>187</v>
      </c>
      <c r="O19" s="35">
        <f t="shared" ref="O19:P19" si="27">D19/7</f>
        <v>1.7142857142857142</v>
      </c>
      <c r="P19" s="35">
        <f t="shared" si="27"/>
        <v>0</v>
      </c>
      <c r="Q19" s="30">
        <f t="shared" si="8"/>
        <v>109</v>
      </c>
      <c r="R19" s="30"/>
      <c r="S19" s="36">
        <v>2.2916666666666599</v>
      </c>
      <c r="T19" s="29">
        <v>240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0.16911312499999998</v>
      </c>
      <c r="AD19" s="40">
        <f t="shared" si="12"/>
        <v>-2.8005133499999992</v>
      </c>
      <c r="AE19" s="40">
        <v>-5.42</v>
      </c>
      <c r="AF19" s="40">
        <v>-3.9449286931818182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14.082142857142859</v>
      </c>
      <c r="D20" s="30">
        <v>14</v>
      </c>
      <c r="E20" s="30">
        <v>0</v>
      </c>
      <c r="F20" s="33">
        <v>197.15000000000003</v>
      </c>
      <c r="G20" s="31">
        <v>0</v>
      </c>
      <c r="H20" s="32">
        <f t="shared" si="1"/>
        <v>0</v>
      </c>
      <c r="I20" s="32">
        <f t="shared" si="2"/>
        <v>0.16840594836649539</v>
      </c>
      <c r="J20" s="33">
        <f t="shared" si="5"/>
        <v>33.20123272045457</v>
      </c>
      <c r="K20" s="33">
        <f t="shared" si="3"/>
        <v>2.3715166228896121</v>
      </c>
      <c r="L20" s="30">
        <v>35</v>
      </c>
      <c r="M20" s="34">
        <f t="shared" si="6"/>
        <v>0.4</v>
      </c>
      <c r="N20" s="30">
        <v>173</v>
      </c>
      <c r="O20" s="35">
        <f t="shared" ref="O20:P20" si="28">D20/7</f>
        <v>2</v>
      </c>
      <c r="P20" s="35">
        <f t="shared" si="28"/>
        <v>0</v>
      </c>
      <c r="Q20" s="30">
        <f t="shared" si="8"/>
        <v>86</v>
      </c>
      <c r="R20" s="30"/>
      <c r="S20" s="36">
        <v>1.7216274089935699</v>
      </c>
      <c r="T20" s="29">
        <v>576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0.16911312499999998</v>
      </c>
      <c r="AD20" s="40">
        <f t="shared" si="12"/>
        <v>-3.2672655749999993</v>
      </c>
      <c r="AE20" s="40">
        <v>-5.42</v>
      </c>
      <c r="AF20" s="40">
        <v>-3.9449286931818182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15.010000000000002</v>
      </c>
      <c r="D21" s="30">
        <v>16</v>
      </c>
      <c r="E21" s="30">
        <v>0</v>
      </c>
      <c r="F21" s="33">
        <v>240.16000000000003</v>
      </c>
      <c r="G21" s="31">
        <v>0</v>
      </c>
      <c r="H21" s="32">
        <f t="shared" si="1"/>
        <v>0</v>
      </c>
      <c r="I21" s="32">
        <f t="shared" si="2"/>
        <v>0.21053932007449586</v>
      </c>
      <c r="J21" s="33">
        <f t="shared" si="5"/>
        <v>50.563123109090931</v>
      </c>
      <c r="K21" s="33">
        <f t="shared" si="3"/>
        <v>3.1601951943181832</v>
      </c>
      <c r="L21" s="30">
        <v>33</v>
      </c>
      <c r="M21" s="34">
        <f t="shared" si="6"/>
        <v>0.48484848484848486</v>
      </c>
      <c r="N21" s="30">
        <v>139</v>
      </c>
      <c r="O21" s="35">
        <f t="shared" ref="O21:P21" si="29">D21/7</f>
        <v>2.2857142857142856</v>
      </c>
      <c r="P21" s="35">
        <f t="shared" si="29"/>
        <v>0</v>
      </c>
      <c r="Q21" s="30">
        <f t="shared" si="8"/>
        <v>60</v>
      </c>
      <c r="R21" s="30"/>
      <c r="S21" s="36">
        <v>1.97542997542997</v>
      </c>
      <c r="T21" s="29">
        <v>576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0.16911312499999998</v>
      </c>
      <c r="AD21" s="40">
        <f t="shared" si="12"/>
        <v>-3.7340177999999993</v>
      </c>
      <c r="AE21" s="40">
        <v>-5.42</v>
      </c>
      <c r="AF21" s="40">
        <v>-3.9449286931818182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15.012400000000003</v>
      </c>
      <c r="D22" s="30">
        <v>25</v>
      </c>
      <c r="E22" s="30">
        <v>0</v>
      </c>
      <c r="F22" s="31">
        <v>375.31000000000006</v>
      </c>
      <c r="G22" s="31">
        <v>0</v>
      </c>
      <c r="H22" s="32">
        <f t="shared" si="1"/>
        <v>0</v>
      </c>
      <c r="I22" s="32">
        <f t="shared" si="2"/>
        <v>0.21064154927381243</v>
      </c>
      <c r="J22" s="33">
        <f t="shared" si="5"/>
        <v>79.055879857954551</v>
      </c>
      <c r="K22" s="33">
        <f t="shared" si="3"/>
        <v>3.1622351943181819</v>
      </c>
      <c r="L22" s="30">
        <v>45</v>
      </c>
      <c r="M22" s="34">
        <f t="shared" si="6"/>
        <v>0.55555555555555558</v>
      </c>
      <c r="N22" s="30">
        <v>130</v>
      </c>
      <c r="O22" s="35">
        <f t="shared" ref="O22:P22" si="30">D22/7</f>
        <v>3.5714285714285716</v>
      </c>
      <c r="P22" s="35">
        <f t="shared" si="30"/>
        <v>0</v>
      </c>
      <c r="Q22" s="30">
        <f t="shared" si="8"/>
        <v>36</v>
      </c>
      <c r="R22" s="30"/>
      <c r="S22" s="36">
        <v>2.1808510638297798</v>
      </c>
      <c r="T22" s="29">
        <v>576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0.16911312499999998</v>
      </c>
      <c r="AD22" s="40">
        <f t="shared" si="12"/>
        <v>-5.8344028124999987</v>
      </c>
      <c r="AE22" s="40">
        <v>-5.42</v>
      </c>
      <c r="AF22" s="40">
        <v>-3.9449286931818182</v>
      </c>
      <c r="AG22" s="40">
        <v>0</v>
      </c>
    </row>
    <row r="23" spans="1:33" ht="15.75" customHeight="1" x14ac:dyDescent="0.2">
      <c r="A23" s="29" t="s">
        <v>77</v>
      </c>
      <c r="B23" s="29" t="s">
        <v>118</v>
      </c>
      <c r="C23" s="16">
        <f t="shared" si="4"/>
        <v>15.556428571428574</v>
      </c>
      <c r="D23" s="30">
        <v>14</v>
      </c>
      <c r="E23" s="30">
        <v>0</v>
      </c>
      <c r="F23" s="33">
        <v>217.79000000000005</v>
      </c>
      <c r="G23" s="31">
        <v>0</v>
      </c>
      <c r="H23" s="32">
        <f t="shared" si="1"/>
        <v>0</v>
      </c>
      <c r="I23" s="32">
        <f t="shared" si="2"/>
        <v>0.23300074714382923</v>
      </c>
      <c r="J23" s="33">
        <f t="shared" si="5"/>
        <v>50.745232720454581</v>
      </c>
      <c r="K23" s="33">
        <f t="shared" si="3"/>
        <v>3.6246594800324701</v>
      </c>
      <c r="L23" s="30">
        <v>43</v>
      </c>
      <c r="M23" s="34">
        <f t="shared" si="6"/>
        <v>0.32558139534883723</v>
      </c>
      <c r="N23" s="30">
        <v>118</v>
      </c>
      <c r="O23" s="35">
        <f t="shared" ref="O23:P23" si="31">D23/7</f>
        <v>2</v>
      </c>
      <c r="P23" s="35">
        <f t="shared" si="31"/>
        <v>0</v>
      </c>
      <c r="Q23" s="30">
        <f t="shared" si="8"/>
        <v>59</v>
      </c>
      <c r="R23" s="30"/>
      <c r="S23" s="36">
        <v>2.3773584905660301</v>
      </c>
      <c r="T23" s="29">
        <v>576</v>
      </c>
      <c r="U23" s="37" t="s">
        <v>34</v>
      </c>
      <c r="V23" s="38" t="s">
        <v>143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0.16911312499999998</v>
      </c>
      <c r="AD23" s="40">
        <f t="shared" si="12"/>
        <v>-3.2672655749999993</v>
      </c>
      <c r="AE23" s="40">
        <v>-5.42</v>
      </c>
      <c r="AF23" s="40">
        <v>-3.9449286931818182</v>
      </c>
      <c r="AG23" s="40">
        <v>0</v>
      </c>
    </row>
    <row r="24" spans="1:33" ht="15.75" customHeight="1" x14ac:dyDescent="0.2">
      <c r="A24" s="29" t="s">
        <v>79</v>
      </c>
      <c r="B24" s="29" t="s">
        <v>120</v>
      </c>
      <c r="C24" s="16">
        <f t="shared" si="4"/>
        <v>13.488333333333337</v>
      </c>
      <c r="D24" s="30">
        <v>18</v>
      </c>
      <c r="E24" s="30">
        <v>0</v>
      </c>
      <c r="F24" s="33">
        <v>242.79000000000005</v>
      </c>
      <c r="G24" s="33">
        <v>0</v>
      </c>
      <c r="H24" s="32">
        <f t="shared" si="1"/>
        <v>0</v>
      </c>
      <c r="I24" s="32">
        <f t="shared" si="2"/>
        <v>0.13839949543938085</v>
      </c>
      <c r="J24" s="33">
        <f t="shared" si="5"/>
        <v>33.602013497727285</v>
      </c>
      <c r="K24" s="33">
        <f t="shared" si="3"/>
        <v>1.8667785276515159</v>
      </c>
      <c r="L24" s="30">
        <v>52</v>
      </c>
      <c r="M24" s="34">
        <f t="shared" si="6"/>
        <v>0.34615384615384615</v>
      </c>
      <c r="N24" s="30">
        <v>100</v>
      </c>
      <c r="O24" s="35">
        <f t="shared" ref="O24:P24" si="32">D24/7</f>
        <v>2.5714285714285716</v>
      </c>
      <c r="P24" s="35">
        <f t="shared" si="32"/>
        <v>0</v>
      </c>
      <c r="Q24" s="30">
        <f t="shared" si="8"/>
        <v>38</v>
      </c>
      <c r="R24" s="30"/>
      <c r="S24" s="36">
        <v>1.6919739696312299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Summary!A1:AD5000""),9,FALSE),"""")"),576)</f>
        <v>576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Summary!A1:AD5000""),28,FALSE),"""")"),240)</f>
        <v>240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240 - 08/09/21")</f>
        <v xml:space="preserve"> | AGL216: 240 - 08/09/21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0.16911312499999998</v>
      </c>
      <c r="AD24" s="40">
        <f t="shared" si="12"/>
        <v>-4.2007700249999989</v>
      </c>
      <c r="AE24" s="40">
        <v>-5.42</v>
      </c>
      <c r="AF24" s="40">
        <v>-3.9449286931818182</v>
      </c>
      <c r="AG24" s="40">
        <v>0</v>
      </c>
    </row>
    <row r="25" spans="1:33" ht="15.75" customHeight="1" x14ac:dyDescent="0.2">
      <c r="A25" s="15" t="s">
        <v>81</v>
      </c>
      <c r="B25" s="15" t="s">
        <v>121</v>
      </c>
      <c r="C25" s="16">
        <f t="shared" si="4"/>
        <v>12.657619047619047</v>
      </c>
      <c r="D25" s="17">
        <v>21</v>
      </c>
      <c r="E25" s="17">
        <v>0</v>
      </c>
      <c r="F25" s="18">
        <v>265.81</v>
      </c>
      <c r="G25" s="18">
        <v>0</v>
      </c>
      <c r="H25" s="32">
        <f t="shared" si="1"/>
        <v>0</v>
      </c>
      <c r="I25" s="32">
        <f t="shared" si="2"/>
        <v>9.2086835098378658E-2</v>
      </c>
      <c r="J25" s="33">
        <f t="shared" si="5"/>
        <v>24.477601637500033</v>
      </c>
      <c r="K25" s="33">
        <f t="shared" si="3"/>
        <v>1.1656000779761921</v>
      </c>
      <c r="L25" s="17">
        <v>49</v>
      </c>
      <c r="M25" s="34">
        <f t="shared" si="6"/>
        <v>0.42857142857142855</v>
      </c>
      <c r="N25" s="17">
        <v>79</v>
      </c>
      <c r="O25" s="35">
        <f t="shared" ref="O25:P25" si="33">D25/7</f>
        <v>3</v>
      </c>
      <c r="P25" s="35">
        <f t="shared" si="33"/>
        <v>0</v>
      </c>
      <c r="Q25" s="30">
        <f t="shared" si="8"/>
        <v>26</v>
      </c>
      <c r="R25" s="30"/>
      <c r="S25" s="36">
        <v>1.6919739696312299</v>
      </c>
      <c r="T25" s="29">
        <v>576</v>
      </c>
      <c r="U25" s="37" t="s">
        <v>34</v>
      </c>
      <c r="V25" s="38" t="s">
        <v>144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0.16911312499999998</v>
      </c>
      <c r="AD25" s="40">
        <f t="shared" si="12"/>
        <v>-4.9008983624999987</v>
      </c>
      <c r="AE25" s="26">
        <v>-5.42</v>
      </c>
      <c r="AF25" s="26">
        <v>-3.94</v>
      </c>
      <c r="AG25" s="26">
        <v>0</v>
      </c>
    </row>
    <row r="26" spans="1:33" ht="15.75" customHeight="1" x14ac:dyDescent="0.2">
      <c r="A26" s="15" t="s">
        <v>83</v>
      </c>
      <c r="B26" s="15" t="s">
        <v>145</v>
      </c>
      <c r="C26" s="16">
        <f t="shared" si="4"/>
        <v>13.99</v>
      </c>
      <c r="D26" s="17">
        <v>18</v>
      </c>
      <c r="E26" s="17">
        <v>0</v>
      </c>
      <c r="F26" s="18">
        <v>251.82</v>
      </c>
      <c r="G26" s="18">
        <v>0</v>
      </c>
      <c r="H26" s="32">
        <f t="shared" si="1"/>
        <v>0</v>
      </c>
      <c r="I26" s="32">
        <f t="shared" si="2"/>
        <v>0.145332036763273</v>
      </c>
      <c r="J26" s="33">
        <f t="shared" si="5"/>
        <v>36.597513497727405</v>
      </c>
      <c r="K26" s="33">
        <f t="shared" si="3"/>
        <v>2.0331951943181892</v>
      </c>
      <c r="L26" s="17">
        <v>54</v>
      </c>
      <c r="M26" s="34">
        <f t="shared" si="6"/>
        <v>0.33333333333333331</v>
      </c>
      <c r="N26" s="17">
        <v>63</v>
      </c>
      <c r="O26" s="35">
        <f t="shared" ref="O26:P26" si="34">D26/7</f>
        <v>2.5714285714285716</v>
      </c>
      <c r="P26" s="35">
        <f t="shared" si="34"/>
        <v>0</v>
      </c>
      <c r="Q26" s="30">
        <f t="shared" si="8"/>
        <v>24</v>
      </c>
      <c r="R26" s="30"/>
      <c r="S26" s="22">
        <v>2</v>
      </c>
      <c r="T26" s="29">
        <v>576</v>
      </c>
      <c r="U26" s="37">
        <v>240</v>
      </c>
      <c r="V26" s="38" t="s">
        <v>146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0.16911312499999998</v>
      </c>
      <c r="AD26" s="40">
        <f t="shared" si="12"/>
        <v>-4.2007700249999989</v>
      </c>
      <c r="AE26" s="26">
        <v>-5.68</v>
      </c>
      <c r="AF26" s="26">
        <v>-3.9449286931818102</v>
      </c>
      <c r="AG26" s="26">
        <v>0</v>
      </c>
    </row>
    <row r="27" spans="1:33" ht="15.75" customHeight="1" x14ac:dyDescent="0.2">
      <c r="A27" s="15" t="s">
        <v>84</v>
      </c>
      <c r="B27" s="15" t="s">
        <v>125</v>
      </c>
      <c r="C27" s="16">
        <f t="shared" si="4"/>
        <v>13.993870967741936</v>
      </c>
      <c r="D27" s="17">
        <v>31</v>
      </c>
      <c r="E27" s="17">
        <v>0</v>
      </c>
      <c r="F27" s="18">
        <v>433.81</v>
      </c>
      <c r="G27" s="18">
        <v>0</v>
      </c>
      <c r="H27" s="32">
        <f t="shared" si="1"/>
        <v>0</v>
      </c>
      <c r="I27" s="32">
        <f t="shared" si="2"/>
        <v>0.14552696116701758</v>
      </c>
      <c r="J27" s="33">
        <f t="shared" si="5"/>
        <v>63.13105102386389</v>
      </c>
      <c r="K27" s="33">
        <f t="shared" si="3"/>
        <v>2.0364855168988352</v>
      </c>
      <c r="L27" s="17">
        <v>68</v>
      </c>
      <c r="M27" s="34">
        <f t="shared" si="6"/>
        <v>0.45588235294117646</v>
      </c>
      <c r="N27" s="17">
        <v>34</v>
      </c>
      <c r="O27" s="35">
        <f t="shared" ref="O27:P27" si="35">D27/7</f>
        <v>4.4285714285714288</v>
      </c>
      <c r="P27" s="35">
        <f t="shared" si="35"/>
        <v>0</v>
      </c>
      <c r="Q27" s="30">
        <f t="shared" si="8"/>
        <v>7</v>
      </c>
      <c r="R27" s="30"/>
      <c r="S27" s="22">
        <v>2.6097560975609762</v>
      </c>
      <c r="T27" s="29">
        <v>576</v>
      </c>
      <c r="U27" s="37">
        <v>240</v>
      </c>
      <c r="V27" s="38" t="s">
        <v>146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0.16911312499999998</v>
      </c>
      <c r="AD27" s="40">
        <f t="shared" si="12"/>
        <v>-7.2346594874999983</v>
      </c>
      <c r="AE27" s="26">
        <v>-5.68</v>
      </c>
      <c r="AF27" s="26">
        <v>-3.9449286931818102</v>
      </c>
      <c r="AG27" s="26">
        <v>0</v>
      </c>
    </row>
    <row r="28" spans="1:33" ht="15.75" customHeight="1" x14ac:dyDescent="0.2">
      <c r="A28" s="15" t="s">
        <v>85</v>
      </c>
      <c r="B28" s="15" t="s">
        <v>126</v>
      </c>
      <c r="C28" s="16">
        <f t="shared" si="4"/>
        <v>14.847142857142858</v>
      </c>
      <c r="D28" s="17">
        <v>14</v>
      </c>
      <c r="E28" s="17">
        <v>0</v>
      </c>
      <c r="F28" s="18">
        <v>207.86</v>
      </c>
      <c r="G28" s="18">
        <v>-0.24</v>
      </c>
      <c r="H28" s="32">
        <f t="shared" si="1"/>
        <v>1.1546233041470218E-3</v>
      </c>
      <c r="I28" s="32">
        <f t="shared" si="2"/>
        <v>0.15299686058142342</v>
      </c>
      <c r="J28" s="33">
        <f t="shared" si="5"/>
        <v>31.801927440454673</v>
      </c>
      <c r="K28" s="33">
        <f t="shared" si="3"/>
        <v>2.2715662457467625</v>
      </c>
      <c r="L28" s="17">
        <v>54</v>
      </c>
      <c r="M28" s="34">
        <f t="shared" si="6"/>
        <v>0.25925925925925924</v>
      </c>
      <c r="N28" s="17">
        <v>16</v>
      </c>
      <c r="O28" s="35">
        <f t="shared" ref="O28:P28" si="36">D28/7</f>
        <v>2</v>
      </c>
      <c r="P28" s="35">
        <f t="shared" si="36"/>
        <v>0</v>
      </c>
      <c r="Q28" s="30">
        <f t="shared" si="8"/>
        <v>8</v>
      </c>
      <c r="R28" s="30"/>
      <c r="S28" s="22">
        <v>2.249336870026525</v>
      </c>
      <c r="T28" s="15">
        <v>336</v>
      </c>
      <c r="U28" s="23">
        <v>240</v>
      </c>
      <c r="V28" s="1" t="s">
        <v>147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0.16911312499999998</v>
      </c>
      <c r="AD28" s="40">
        <f t="shared" si="12"/>
        <v>-3.2672655749999993</v>
      </c>
      <c r="AE28" s="26">
        <v>-5.68</v>
      </c>
      <c r="AF28" s="26">
        <v>-4.41798621318181</v>
      </c>
      <c r="AG28" s="26">
        <v>0</v>
      </c>
    </row>
    <row r="29" spans="1:33" ht="15.75" customHeight="1" x14ac:dyDescent="0.2">
      <c r="A29" s="15" t="s">
        <v>88</v>
      </c>
      <c r="B29" s="15" t="s">
        <v>54</v>
      </c>
      <c r="C29" s="16">
        <f t="shared" si="4"/>
        <v>14.99</v>
      </c>
      <c r="D29" s="17">
        <v>13</v>
      </c>
      <c r="E29" s="17">
        <v>0</v>
      </c>
      <c r="F29" s="18">
        <v>194.87</v>
      </c>
      <c r="G29" s="18">
        <v>-0.08</v>
      </c>
      <c r="H29" s="32">
        <f t="shared" si="1"/>
        <v>4.1053009698773543E-4</v>
      </c>
      <c r="I29" s="32">
        <f t="shared" si="2"/>
        <v>0.16037250354665394</v>
      </c>
      <c r="J29" s="33">
        <f t="shared" si="5"/>
        <v>31.251789766136454</v>
      </c>
      <c r="K29" s="33">
        <f t="shared" si="3"/>
        <v>2.4039838281643426</v>
      </c>
      <c r="L29" s="17">
        <v>41</v>
      </c>
      <c r="M29" s="34">
        <f t="shared" si="6"/>
        <v>0.31707317073170732</v>
      </c>
      <c r="N29" s="17">
        <v>100</v>
      </c>
      <c r="O29" s="35">
        <f t="shared" ref="O29:P29" si="37">D29/7</f>
        <v>1.8571428571428572</v>
      </c>
      <c r="P29" s="35">
        <f t="shared" si="37"/>
        <v>0</v>
      </c>
      <c r="Q29" s="30">
        <f t="shared" si="8"/>
        <v>53</v>
      </c>
      <c r="R29" s="30"/>
      <c r="S29" s="22">
        <v>1.6599190283400811</v>
      </c>
      <c r="T29" s="15" t="s">
        <v>34</v>
      </c>
      <c r="U29" s="23">
        <v>240</v>
      </c>
      <c r="V29" s="1" t="s">
        <v>147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0.16911312499999998</v>
      </c>
      <c r="AD29" s="40">
        <f t="shared" si="12"/>
        <v>-3.0338894624999995</v>
      </c>
      <c r="AE29" s="26">
        <v>-5.68</v>
      </c>
      <c r="AF29" s="26">
        <v>-4.41798621318181</v>
      </c>
      <c r="AG29" s="26">
        <v>0</v>
      </c>
    </row>
    <row r="30" spans="1:33" ht="15.75" customHeight="1" x14ac:dyDescent="0.2">
      <c r="A30" s="15" t="s">
        <v>90</v>
      </c>
      <c r="B30" s="15" t="s">
        <v>54</v>
      </c>
      <c r="C30" s="16">
        <f t="shared" si="4"/>
        <v>14.989999999999998</v>
      </c>
      <c r="D30" s="17">
        <v>11</v>
      </c>
      <c r="E30" s="17">
        <v>0</v>
      </c>
      <c r="F30" s="18">
        <v>164.89</v>
      </c>
      <c r="G30" s="18">
        <v>-0.28000000000000003</v>
      </c>
      <c r="H30" s="32">
        <f t="shared" si="1"/>
        <v>1.698101764812906E-3</v>
      </c>
      <c r="I30" s="32">
        <f t="shared" si="2"/>
        <v>0.17614308607134924</v>
      </c>
      <c r="J30" s="33">
        <f t="shared" si="5"/>
        <v>29.044233462304774</v>
      </c>
      <c r="K30" s="33">
        <f t="shared" si="3"/>
        <v>2.640384860209525</v>
      </c>
      <c r="L30" s="17">
        <v>47</v>
      </c>
      <c r="M30" s="34">
        <f t="shared" si="6"/>
        <v>0.23404255319148937</v>
      </c>
      <c r="N30" s="17">
        <v>91</v>
      </c>
      <c r="O30" s="35">
        <f t="shared" ref="O30:P30" si="38">D30/7</f>
        <v>1.5714285714285714</v>
      </c>
      <c r="P30" s="35">
        <f t="shared" si="38"/>
        <v>0</v>
      </c>
      <c r="Q30" s="30">
        <f t="shared" si="8"/>
        <v>57</v>
      </c>
      <c r="R30" s="30"/>
      <c r="S30" s="22">
        <v>1.939393939393939</v>
      </c>
      <c r="T30" s="15" t="s">
        <v>34</v>
      </c>
      <c r="U30" s="23">
        <v>400</v>
      </c>
      <c r="V30" s="1" t="s">
        <v>148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0.16911312499999998</v>
      </c>
      <c r="AD30" s="40">
        <f t="shared" si="12"/>
        <v>-2.5671372374999994</v>
      </c>
      <c r="AE30" s="26">
        <v>-5.68</v>
      </c>
      <c r="AF30" s="26">
        <v>-4.1622844818359299</v>
      </c>
      <c r="AG30" s="26">
        <v>0</v>
      </c>
    </row>
    <row r="31" spans="1:33" ht="15.75" customHeight="1" x14ac:dyDescent="0.2">
      <c r="A31" s="15" t="s">
        <v>93</v>
      </c>
      <c r="B31" s="15" t="s">
        <v>149</v>
      </c>
      <c r="C31" s="16">
        <f t="shared" si="4"/>
        <v>14.99</v>
      </c>
      <c r="D31" s="17">
        <v>9</v>
      </c>
      <c r="E31" s="17">
        <v>0</v>
      </c>
      <c r="F31" s="18">
        <v>134.91</v>
      </c>
      <c r="G31" s="18">
        <v>-0.17</v>
      </c>
      <c r="H31" s="32">
        <f t="shared" si="1"/>
        <v>1.2600993254762436E-3</v>
      </c>
      <c r="I31" s="32">
        <f t="shared" si="2"/>
        <v>0.17658108851068527</v>
      </c>
      <c r="J31" s="33">
        <f t="shared" si="5"/>
        <v>23.822554650976549</v>
      </c>
      <c r="K31" s="33">
        <f t="shared" si="3"/>
        <v>2.6469505167751723</v>
      </c>
      <c r="L31" s="17">
        <v>52</v>
      </c>
      <c r="M31" s="34">
        <f t="shared" si="6"/>
        <v>0.17307692307692307</v>
      </c>
      <c r="N31" s="17">
        <v>67</v>
      </c>
      <c r="O31" s="35">
        <f t="shared" ref="O31:P31" si="39">D31/7</f>
        <v>1.2857142857142858</v>
      </c>
      <c r="P31" s="35">
        <f t="shared" si="39"/>
        <v>0</v>
      </c>
      <c r="Q31" s="30">
        <f t="shared" si="8"/>
        <v>52</v>
      </c>
      <c r="R31" s="30"/>
      <c r="S31" s="22">
        <v>2.1912144702842302</v>
      </c>
      <c r="T31" s="15">
        <v>176</v>
      </c>
      <c r="U31" s="23">
        <v>400</v>
      </c>
      <c r="V31" s="1" t="s">
        <v>150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0.16911312499999998</v>
      </c>
      <c r="AD31" s="40">
        <f t="shared" si="12"/>
        <v>-2.1003850124999994</v>
      </c>
      <c r="AE31" s="26">
        <v>-5.68</v>
      </c>
      <c r="AF31" s="43">
        <v>-4.162284481835937</v>
      </c>
      <c r="AG31" s="26">
        <v>0</v>
      </c>
    </row>
    <row r="32" spans="1:33" ht="15.75" customHeight="1" x14ac:dyDescent="0.2">
      <c r="A32" s="15" t="s">
        <v>96</v>
      </c>
      <c r="B32" s="44" t="s">
        <v>151</v>
      </c>
      <c r="C32" s="16">
        <f t="shared" si="4"/>
        <v>13.481481481481481</v>
      </c>
      <c r="D32" s="17">
        <v>27</v>
      </c>
      <c r="E32" s="17">
        <v>0</v>
      </c>
      <c r="F32" s="18">
        <v>364</v>
      </c>
      <c r="G32" s="18">
        <v>-0.6</v>
      </c>
      <c r="H32" s="32">
        <f t="shared" si="1"/>
        <v>1.6483516483516484E-3</v>
      </c>
      <c r="I32" s="32">
        <f t="shared" si="2"/>
        <v>0.1009812196509062</v>
      </c>
      <c r="J32" s="33">
        <f t="shared" si="5"/>
        <v>36.757163952929858</v>
      </c>
      <c r="K32" s="33">
        <f t="shared" si="3"/>
        <v>1.3613764427011059</v>
      </c>
      <c r="L32" s="17">
        <v>61</v>
      </c>
      <c r="M32" s="34">
        <f t="shared" si="6"/>
        <v>0.44262295081967212</v>
      </c>
      <c r="N32" s="17">
        <v>53</v>
      </c>
      <c r="O32" s="35">
        <f t="shared" ref="O32:P32" si="40">D32/7</f>
        <v>3.8571428571428572</v>
      </c>
      <c r="P32" s="35">
        <f t="shared" si="40"/>
        <v>0</v>
      </c>
      <c r="Q32" s="30">
        <f t="shared" si="8"/>
        <v>13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2.1925925925925931</v>
      </c>
      <c r="T32" s="15">
        <f ca="1">IFERROR(__xludf.DUMMYFUNCTION("IFERROR(VLOOKUP($B$2,IMPORTRANGE(""https://docs.google.com/spreadsheets/d/1KiWZV1ko8G7lnRucBRBd29jj3Be6ltMfljMDqzOkQmI/edit#gid=1381463014"",""Lookup!A:D""),4,FALSE),"""")"),176)</f>
        <v>176</v>
      </c>
      <c r="U32" s="23">
        <f ca="1">IFERROR(__xludf.DUMMYFUNCTION("IFERROR(VLOOKUP($B$2,IMPORTRANGE(""https://docs.google.com/spreadsheets/d/1KiWZV1ko8G7lnRucBRBd29jj3Be6ltMfljMDqzOkQmI/edit#gid=1381463014"",""Lookup!A:D""),3,FALSE),"""")"),240)</f>
        <v>240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- 240 units 08/09| S210707  - 160 units 09/17")</f>
        <v>| AGL216  - 240 units 08/09| S210707  - 160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0.16911312499999998</v>
      </c>
      <c r="AD32" s="40">
        <f t="shared" si="12"/>
        <v>-6.3011550374999992</v>
      </c>
      <c r="AE32" s="26">
        <v>-5.68</v>
      </c>
      <c r="AF32" s="26">
        <v>-4.1622844818359299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7.6640625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28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- 18x22 Inch Rustic Framed Hanging Chalk Board")</f>
        <v>Magnetic Kitchen Chalkboard Sign - 18x22 Inch Rustic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Info!B1:BJ5000""),2,FALSE),"""")"),"B07JMXJ9XQ")</f>
        <v>B07JMXJ9XQ</v>
      </c>
      <c r="B2" s="3" t="s">
        <v>152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20.804470588235294</v>
      </c>
      <c r="D3" s="5">
        <f>SUM(D4:D99519)</f>
        <v>162</v>
      </c>
      <c r="E3" s="5"/>
      <c r="F3" s="6">
        <f t="shared" ref="F3:G3" si="0">SUM(F4:F99519)</f>
        <v>3952.9099999999989</v>
      </c>
      <c r="G3" s="6">
        <f t="shared" si="0"/>
        <v>-0.78</v>
      </c>
      <c r="H3" s="7">
        <f t="shared" ref="H3:H32" si="1">G3/F3*-1</f>
        <v>1.973229848390174E-4</v>
      </c>
      <c r="I3" s="8">
        <f t="shared" ref="I3:I32" si="2">J3/F3</f>
        <v>0.15331530902090332</v>
      </c>
      <c r="J3" s="6">
        <f>SUM(J4:J99519)</f>
        <v>606.04161818181876</v>
      </c>
      <c r="K3" s="6">
        <f t="shared" ref="K3:K32" si="3">J3/D3</f>
        <v>3.7409976430976468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Sheet!a1:g5000""),2,FALSE),"""")"),"2.0 - March
2.0 - April
2.0 - May
2.0 - June
2.0 - July
2.0 - Aug
2.0 - Sept
2.0 - Oct
2.0 - Nov
2.0 - Dec
2.0 - Jan
2.0 - Feb")</f>
        <v>2.0 - March
2.0 - April
2.0 - May
2.0 - June
2.0 - July
2.0 - Aug
2.0 - Sept
2.0 - Oct
2.0 - Nov
2.0 - Dec
2.0 - Jan
2.0 -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-51.795900000000003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Info!B2:BZ3000""),37,FALSE)),"""")*-1"),-6.7438)</f>
        <v>-6.7438000000000002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430</v>
      </c>
      <c r="U4" s="23">
        <v>130</v>
      </c>
      <c r="V4" s="24" t="s">
        <v>153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-5.3109090909090906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430</v>
      </c>
      <c r="U5" s="37">
        <v>130</v>
      </c>
      <c r="V5" s="38" t="s">
        <v>154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-5.3109090909090906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430</v>
      </c>
      <c r="U6" s="37">
        <v>130</v>
      </c>
      <c r="V6" s="38" t="s">
        <v>155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-5.3109090909090906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430</v>
      </c>
      <c r="U7" s="37">
        <v>130</v>
      </c>
      <c r="V7" s="38" t="s">
        <v>156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-5.3109090909090906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430</v>
      </c>
      <c r="U8" s="37">
        <v>130</v>
      </c>
      <c r="V8" s="38" t="s">
        <v>157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-5.31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430</v>
      </c>
      <c r="U9" s="37">
        <v>130</v>
      </c>
      <c r="V9" s="38" t="s">
        <v>158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-5.65636363636363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130</v>
      </c>
      <c r="U10" s="37">
        <v>130</v>
      </c>
      <c r="V10" s="38" t="s">
        <v>159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-5.65636363636363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130</v>
      </c>
      <c r="U11" s="37">
        <v>130</v>
      </c>
      <c r="V11" s="38" t="s">
        <v>159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-5.65636363636363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130</v>
      </c>
      <c r="U12" s="37">
        <v>130</v>
      </c>
      <c r="V12" s="38" t="s">
        <v>160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-5.65636363636363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130</v>
      </c>
      <c r="U13" s="37">
        <v>130</v>
      </c>
      <c r="V13" s="38" t="s">
        <v>161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-5.8381818181818099</v>
      </c>
      <c r="AG13" s="40">
        <v>0</v>
      </c>
    </row>
    <row r="14" spans="1:33" ht="15.75" customHeight="1" x14ac:dyDescent="0.2">
      <c r="A14" s="29" t="s">
        <v>59</v>
      </c>
      <c r="B14" s="29" t="s">
        <v>162</v>
      </c>
      <c r="C14" s="16">
        <f t="shared" si="4"/>
        <v>29.99</v>
      </c>
      <c r="D14" s="30">
        <v>1</v>
      </c>
      <c r="E14" s="30">
        <v>0</v>
      </c>
      <c r="F14" s="33">
        <v>29.99</v>
      </c>
      <c r="G14" s="31">
        <v>0</v>
      </c>
      <c r="H14" s="32">
        <f t="shared" si="1"/>
        <v>0</v>
      </c>
      <c r="I14" s="32">
        <f t="shared" si="2"/>
        <v>0.29321741927443856</v>
      </c>
      <c r="J14" s="33">
        <f t="shared" si="5"/>
        <v>8.7935904040404118</v>
      </c>
      <c r="K14" s="33">
        <f t="shared" si="3"/>
        <v>8.7935904040404118</v>
      </c>
      <c r="L14" s="30">
        <v>0</v>
      </c>
      <c r="M14" s="34" t="str">
        <f t="shared" si="6"/>
        <v>-</v>
      </c>
      <c r="N14" s="30">
        <v>131</v>
      </c>
      <c r="O14" s="35">
        <f t="shared" ref="O14:P14" si="22">D14/7</f>
        <v>0.14285714285714285</v>
      </c>
      <c r="P14" s="35">
        <f t="shared" si="22"/>
        <v>0</v>
      </c>
      <c r="Q14" s="30">
        <f t="shared" si="8"/>
        <v>917</v>
      </c>
      <c r="R14" s="30"/>
      <c r="S14" s="36">
        <v>0</v>
      </c>
      <c r="T14" s="29">
        <v>244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0.33304976851851853</v>
      </c>
      <c r="AD14" s="40">
        <f t="shared" si="12"/>
        <v>-0.31972777777777778</v>
      </c>
      <c r="AE14" s="40">
        <v>-10.54</v>
      </c>
      <c r="AF14" s="40">
        <v>-5.8381818181818099</v>
      </c>
      <c r="AG14" s="40">
        <v>0</v>
      </c>
    </row>
    <row r="15" spans="1:33" ht="15.75" customHeight="1" x14ac:dyDescent="0.2">
      <c r="A15" s="29" t="s">
        <v>61</v>
      </c>
      <c r="B15" s="29" t="s">
        <v>54</v>
      </c>
      <c r="C15" s="16">
        <f t="shared" si="4"/>
        <v>27.523333333333337</v>
      </c>
      <c r="D15" s="30">
        <v>12</v>
      </c>
      <c r="E15" s="30">
        <v>0</v>
      </c>
      <c r="F15" s="33">
        <v>330.28000000000003</v>
      </c>
      <c r="G15" s="31">
        <v>0</v>
      </c>
      <c r="H15" s="32">
        <f t="shared" si="1"/>
        <v>0</v>
      </c>
      <c r="I15" s="32">
        <f t="shared" si="2"/>
        <v>0.24331804786388811</v>
      </c>
      <c r="J15" s="33">
        <f t="shared" si="5"/>
        <v>80.363084848484974</v>
      </c>
      <c r="K15" s="33">
        <f t="shared" si="3"/>
        <v>6.6969237373737478</v>
      </c>
      <c r="L15" s="30">
        <v>25</v>
      </c>
      <c r="M15" s="34">
        <f t="shared" si="6"/>
        <v>0.48</v>
      </c>
      <c r="N15" s="30">
        <v>122</v>
      </c>
      <c r="O15" s="35">
        <f t="shared" ref="O15:P15" si="23">D15/7</f>
        <v>1.7142857142857142</v>
      </c>
      <c r="P15" s="35">
        <f t="shared" si="23"/>
        <v>0</v>
      </c>
      <c r="Q15" s="30">
        <f t="shared" si="8"/>
        <v>71</v>
      </c>
      <c r="R15" s="30"/>
      <c r="S15" s="36">
        <v>0.26229508196721302</v>
      </c>
      <c r="T15" s="29">
        <v>414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0.33304976851851853</v>
      </c>
      <c r="AD15" s="40">
        <f t="shared" si="12"/>
        <v>-3.8367333333333331</v>
      </c>
      <c r="AE15" s="40">
        <v>-10.54</v>
      </c>
      <c r="AF15" s="40">
        <v>-5.8381818181818099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24.07</v>
      </c>
      <c r="D16" s="30">
        <v>8</v>
      </c>
      <c r="E16" s="30">
        <v>0</v>
      </c>
      <c r="F16" s="33">
        <v>192.56</v>
      </c>
      <c r="G16" s="31">
        <v>0</v>
      </c>
      <c r="H16" s="32">
        <f t="shared" si="1"/>
        <v>0</v>
      </c>
      <c r="I16" s="32">
        <f t="shared" si="2"/>
        <v>0.15627712521979278</v>
      </c>
      <c r="J16" s="33">
        <f t="shared" si="5"/>
        <v>30.092723232323301</v>
      </c>
      <c r="K16" s="33">
        <f t="shared" si="3"/>
        <v>3.7615904040404127</v>
      </c>
      <c r="L16" s="30">
        <v>32</v>
      </c>
      <c r="M16" s="34">
        <f t="shared" si="6"/>
        <v>0.25</v>
      </c>
      <c r="N16" s="30">
        <v>110</v>
      </c>
      <c r="O16" s="35">
        <f t="shared" ref="O16:P16" si="24">D16/7</f>
        <v>1.1428571428571428</v>
      </c>
      <c r="P16" s="35">
        <f t="shared" si="24"/>
        <v>0</v>
      </c>
      <c r="Q16" s="30">
        <f t="shared" si="8"/>
        <v>96</v>
      </c>
      <c r="R16" s="30"/>
      <c r="S16" s="36">
        <v>0.72727272727272696</v>
      </c>
      <c r="T16" s="29">
        <v>414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0.33304976851851853</v>
      </c>
      <c r="AD16" s="40">
        <f t="shared" si="12"/>
        <v>-2.5578222222222222</v>
      </c>
      <c r="AE16" s="40">
        <v>-10.54</v>
      </c>
      <c r="AF16" s="40">
        <v>-5.8381818181818099</v>
      </c>
      <c r="AG16" s="40">
        <v>0</v>
      </c>
    </row>
    <row r="17" spans="1:33" ht="15.75" customHeight="1" x14ac:dyDescent="0.2">
      <c r="A17" s="29" t="s">
        <v>66</v>
      </c>
      <c r="B17" s="29" t="s">
        <v>164</v>
      </c>
      <c r="C17" s="16">
        <f t="shared" si="4"/>
        <v>23.990000000000002</v>
      </c>
      <c r="D17" s="30">
        <v>7</v>
      </c>
      <c r="E17" s="30">
        <v>0</v>
      </c>
      <c r="F17" s="33">
        <v>167.93</v>
      </c>
      <c r="G17" s="31">
        <v>-0.08</v>
      </c>
      <c r="H17" s="32">
        <f t="shared" si="1"/>
        <v>4.7638897159530758E-4</v>
      </c>
      <c r="I17" s="32">
        <f t="shared" si="2"/>
        <v>0.15348736275997654</v>
      </c>
      <c r="J17" s="33">
        <f t="shared" si="5"/>
        <v>25.77513282828286</v>
      </c>
      <c r="K17" s="33">
        <f t="shared" si="3"/>
        <v>3.682161832611837</v>
      </c>
      <c r="L17" s="30">
        <v>26</v>
      </c>
      <c r="M17" s="34">
        <f t="shared" si="6"/>
        <v>0.26923076923076922</v>
      </c>
      <c r="N17" s="30">
        <v>103</v>
      </c>
      <c r="O17" s="35">
        <f t="shared" ref="O17:P17" si="25">D17/7</f>
        <v>1</v>
      </c>
      <c r="P17" s="35">
        <f t="shared" si="25"/>
        <v>0</v>
      </c>
      <c r="Q17" s="30">
        <f t="shared" si="8"/>
        <v>103</v>
      </c>
      <c r="R17" s="30"/>
      <c r="S17" s="36">
        <v>1</v>
      </c>
      <c r="T17" s="29">
        <v>414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0.33304976851851853</v>
      </c>
      <c r="AD17" s="40">
        <f t="shared" si="12"/>
        <v>-2.2380944444444446</v>
      </c>
      <c r="AE17" s="40">
        <v>-10.54</v>
      </c>
      <c r="AF17" s="40">
        <v>-5.8381818181818099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23.315000000000001</v>
      </c>
      <c r="D18" s="30">
        <v>8</v>
      </c>
      <c r="E18" s="30">
        <v>0</v>
      </c>
      <c r="F18" s="33">
        <v>186.52</v>
      </c>
      <c r="G18" s="31">
        <v>0</v>
      </c>
      <c r="H18" s="32">
        <f t="shared" si="1"/>
        <v>0</v>
      </c>
      <c r="I18" s="32">
        <f t="shared" si="2"/>
        <v>0.13381258434657578</v>
      </c>
      <c r="J18" s="33">
        <f t="shared" si="5"/>
        <v>24.958723232323315</v>
      </c>
      <c r="K18" s="33">
        <f t="shared" si="3"/>
        <v>3.1198404040404144</v>
      </c>
      <c r="L18" s="30">
        <v>13</v>
      </c>
      <c r="M18" s="34">
        <f t="shared" si="6"/>
        <v>0.61538461538461542</v>
      </c>
      <c r="N18" s="30">
        <v>95</v>
      </c>
      <c r="O18" s="35">
        <f t="shared" ref="O18:P18" si="26">D18/7</f>
        <v>1.1428571428571428</v>
      </c>
      <c r="P18" s="35">
        <f t="shared" si="26"/>
        <v>0</v>
      </c>
      <c r="Q18" s="30">
        <f t="shared" si="8"/>
        <v>83</v>
      </c>
      <c r="R18" s="30"/>
      <c r="S18" s="36">
        <v>1.4166666666666601</v>
      </c>
      <c r="T18" s="29">
        <v>414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0.33304976851851853</v>
      </c>
      <c r="AD18" s="40">
        <f t="shared" si="12"/>
        <v>-2.5578222222222222</v>
      </c>
      <c r="AE18" s="40">
        <v>-10.54</v>
      </c>
      <c r="AF18" s="40">
        <v>-5.8381818181818099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22.990000000000002</v>
      </c>
      <c r="D19" s="30">
        <v>7</v>
      </c>
      <c r="E19" s="30">
        <v>0</v>
      </c>
      <c r="F19" s="33">
        <v>160.93</v>
      </c>
      <c r="G19" s="31">
        <v>0</v>
      </c>
      <c r="H19" s="32">
        <f t="shared" si="1"/>
        <v>0</v>
      </c>
      <c r="I19" s="32">
        <f t="shared" si="2"/>
        <v>0.12368814284647255</v>
      </c>
      <c r="J19" s="33">
        <f t="shared" si="5"/>
        <v>19.905132828282827</v>
      </c>
      <c r="K19" s="33">
        <f t="shared" si="3"/>
        <v>2.8435904040404041</v>
      </c>
      <c r="L19" s="30">
        <v>24</v>
      </c>
      <c r="M19" s="34">
        <f t="shared" si="6"/>
        <v>0.29166666666666669</v>
      </c>
      <c r="N19" s="30">
        <v>89</v>
      </c>
      <c r="O19" s="35">
        <f t="shared" ref="O19:P19" si="27">D19/7</f>
        <v>1</v>
      </c>
      <c r="P19" s="35">
        <f t="shared" si="27"/>
        <v>0</v>
      </c>
      <c r="Q19" s="30">
        <f t="shared" si="8"/>
        <v>89</v>
      </c>
      <c r="R19" s="30"/>
      <c r="S19" s="36">
        <v>0.73059360730593603</v>
      </c>
      <c r="T19" s="29">
        <v>612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0.33304976851851853</v>
      </c>
      <c r="AD19" s="40">
        <f t="shared" si="12"/>
        <v>-2.2380944444444446</v>
      </c>
      <c r="AE19" s="40">
        <v>-10.54</v>
      </c>
      <c r="AF19" s="40">
        <v>-5.8381818181818179</v>
      </c>
      <c r="AG19" s="40">
        <v>0</v>
      </c>
    </row>
    <row r="20" spans="1:33" ht="15.75" customHeight="1" x14ac:dyDescent="0.2">
      <c r="A20" s="29" t="s">
        <v>74</v>
      </c>
      <c r="B20" s="29" t="s">
        <v>165</v>
      </c>
      <c r="C20" s="16">
        <f t="shared" si="4"/>
        <v>22.990000000000002</v>
      </c>
      <c r="D20" s="30">
        <v>19</v>
      </c>
      <c r="E20" s="30">
        <v>0</v>
      </c>
      <c r="F20" s="33">
        <v>436.81000000000006</v>
      </c>
      <c r="G20" s="31">
        <v>0</v>
      </c>
      <c r="H20" s="32">
        <f t="shared" si="1"/>
        <v>0</v>
      </c>
      <c r="I20" s="32">
        <f t="shared" si="2"/>
        <v>0.12368814284647266</v>
      </c>
      <c r="J20" s="33">
        <f t="shared" si="5"/>
        <v>54.028217676767731</v>
      </c>
      <c r="K20" s="33">
        <f t="shared" si="3"/>
        <v>2.8435904040404067</v>
      </c>
      <c r="L20" s="30">
        <v>37</v>
      </c>
      <c r="M20" s="34">
        <f t="shared" si="6"/>
        <v>0.51351351351351349</v>
      </c>
      <c r="N20" s="30">
        <v>76</v>
      </c>
      <c r="O20" s="35">
        <f t="shared" ref="O20:P20" si="28">D20/7</f>
        <v>2.7142857142857144</v>
      </c>
      <c r="P20" s="35">
        <f t="shared" si="28"/>
        <v>0</v>
      </c>
      <c r="Q20" s="30">
        <f t="shared" si="8"/>
        <v>28</v>
      </c>
      <c r="R20" s="30"/>
      <c r="S20" s="36">
        <v>1.05699481865284</v>
      </c>
      <c r="T20" s="29">
        <v>442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0.33304976851851853</v>
      </c>
      <c r="AD20" s="40">
        <f t="shared" si="12"/>
        <v>-6.0748277777777782</v>
      </c>
      <c r="AE20" s="40">
        <v>-10.54</v>
      </c>
      <c r="AF20" s="40">
        <v>-5.8381818181818179</v>
      </c>
      <c r="AG20" s="40">
        <v>0</v>
      </c>
    </row>
    <row r="21" spans="1:33" ht="15.75" customHeight="1" x14ac:dyDescent="0.2">
      <c r="A21" s="29" t="s">
        <v>75</v>
      </c>
      <c r="B21" s="29" t="s">
        <v>166</v>
      </c>
      <c r="C21" s="16">
        <f t="shared" si="4"/>
        <v>24.741875</v>
      </c>
      <c r="D21" s="30">
        <v>16</v>
      </c>
      <c r="E21" s="30">
        <v>0</v>
      </c>
      <c r="F21" s="33">
        <v>395.87</v>
      </c>
      <c r="G21" s="31">
        <v>-0.08</v>
      </c>
      <c r="H21" s="32">
        <f t="shared" si="1"/>
        <v>2.0208654356228056E-4</v>
      </c>
      <c r="I21" s="32">
        <f t="shared" si="2"/>
        <v>0.17491334646385562</v>
      </c>
      <c r="J21" s="33">
        <f t="shared" si="5"/>
        <v>69.242946464646522</v>
      </c>
      <c r="K21" s="33">
        <f t="shared" si="3"/>
        <v>4.3276841540404076</v>
      </c>
      <c r="L21" s="30">
        <v>31</v>
      </c>
      <c r="M21" s="34">
        <f t="shared" si="6"/>
        <v>0.5161290322580645</v>
      </c>
      <c r="N21" s="30">
        <v>57</v>
      </c>
      <c r="O21" s="35">
        <f t="shared" ref="O21:P21" si="29">D21/7</f>
        <v>2.2857142857142856</v>
      </c>
      <c r="P21" s="35">
        <f t="shared" si="29"/>
        <v>0</v>
      </c>
      <c r="Q21" s="30">
        <f t="shared" si="8"/>
        <v>24</v>
      </c>
      <c r="R21" s="30"/>
      <c r="S21" s="36">
        <v>1.7108433734939701</v>
      </c>
      <c r="T21" s="29">
        <v>442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0.08</v>
      </c>
      <c r="Z21" s="29">
        <v>1</v>
      </c>
      <c r="AA21" s="29" t="s">
        <v>163</v>
      </c>
      <c r="AB21" s="41">
        <f t="shared" si="11"/>
        <v>-0.48</v>
      </c>
      <c r="AC21" s="42">
        <v>0.33304976851851853</v>
      </c>
      <c r="AD21" s="40">
        <f t="shared" si="12"/>
        <v>-5.1156444444444444</v>
      </c>
      <c r="AE21" s="40">
        <v>-10.54</v>
      </c>
      <c r="AF21" s="40">
        <v>-5.8381818181818179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25.878888888888891</v>
      </c>
      <c r="D22" s="30">
        <v>9</v>
      </c>
      <c r="E22" s="30">
        <v>0</v>
      </c>
      <c r="F22" s="31">
        <v>232.91000000000003</v>
      </c>
      <c r="G22" s="31">
        <v>0</v>
      </c>
      <c r="H22" s="32">
        <f t="shared" si="1"/>
        <v>0</v>
      </c>
      <c r="I22" s="32">
        <f t="shared" si="2"/>
        <v>0.2047671359596569</v>
      </c>
      <c r="J22" s="33">
        <f t="shared" si="5"/>
        <v>47.692313636363693</v>
      </c>
      <c r="K22" s="33">
        <f t="shared" si="3"/>
        <v>5.2991459595959656</v>
      </c>
      <c r="L22" s="30">
        <v>32</v>
      </c>
      <c r="M22" s="34">
        <f t="shared" si="6"/>
        <v>0.28125</v>
      </c>
      <c r="N22" s="30">
        <v>46</v>
      </c>
      <c r="O22" s="35">
        <f t="shared" ref="O22:P22" si="30">D22/7</f>
        <v>1.2857142857142858</v>
      </c>
      <c r="P22" s="35">
        <f t="shared" si="30"/>
        <v>0</v>
      </c>
      <c r="Q22" s="30">
        <f t="shared" si="8"/>
        <v>35</v>
      </c>
      <c r="R22" s="30"/>
      <c r="S22" s="36">
        <v>2.2312925170067999</v>
      </c>
      <c r="T22" s="29">
        <v>612</v>
      </c>
      <c r="U22" s="37">
        <v>170</v>
      </c>
      <c r="V22" s="38" t="s">
        <v>167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0.33304976851851853</v>
      </c>
      <c r="AD22" s="40">
        <f t="shared" si="12"/>
        <v>-2.8775499999999998</v>
      </c>
      <c r="AE22" s="40">
        <v>-10.54</v>
      </c>
      <c r="AF22" s="40">
        <v>-5.8381818181818179</v>
      </c>
      <c r="AG22" s="40">
        <v>0</v>
      </c>
    </row>
    <row r="23" spans="1:33" ht="15.75" customHeight="1" x14ac:dyDescent="0.2">
      <c r="A23" s="29" t="s">
        <v>77</v>
      </c>
      <c r="B23" s="29" t="s">
        <v>168</v>
      </c>
      <c r="C23" s="16">
        <f t="shared" si="4"/>
        <v>25.990000000000002</v>
      </c>
      <c r="D23" s="30">
        <v>7</v>
      </c>
      <c r="E23" s="30">
        <v>0</v>
      </c>
      <c r="F23" s="33">
        <v>181.93</v>
      </c>
      <c r="G23" s="31">
        <v>-0.08</v>
      </c>
      <c r="H23" s="32">
        <f t="shared" si="1"/>
        <v>4.3972956631671523E-4</v>
      </c>
      <c r="I23" s="32">
        <f t="shared" si="2"/>
        <v>0.20708587274381801</v>
      </c>
      <c r="J23" s="33">
        <f t="shared" si="5"/>
        <v>37.675132828282813</v>
      </c>
      <c r="K23" s="33">
        <f t="shared" si="3"/>
        <v>5.3821618326118301</v>
      </c>
      <c r="L23" s="30">
        <v>46</v>
      </c>
      <c r="M23" s="34">
        <f t="shared" si="6"/>
        <v>0.15217391304347827</v>
      </c>
      <c r="N23" s="30">
        <v>36</v>
      </c>
      <c r="O23" s="35">
        <f t="shared" ref="O23:P23" si="31">D23/7</f>
        <v>1</v>
      </c>
      <c r="P23" s="35">
        <f t="shared" si="31"/>
        <v>0</v>
      </c>
      <c r="Q23" s="30">
        <f t="shared" si="8"/>
        <v>36</v>
      </c>
      <c r="R23" s="30"/>
      <c r="S23" s="36">
        <v>1.3233082706766901</v>
      </c>
      <c r="T23" s="29">
        <v>612</v>
      </c>
      <c r="U23" s="37" t="s">
        <v>34</v>
      </c>
      <c r="V23" s="38" t="s">
        <v>169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0.33304976851851853</v>
      </c>
      <c r="AD23" s="40">
        <f t="shared" si="12"/>
        <v>-2.2380944444444446</v>
      </c>
      <c r="AE23" s="40">
        <v>-10.54</v>
      </c>
      <c r="AF23" s="40">
        <v>-5.8381818181818179</v>
      </c>
      <c r="AG23" s="40">
        <v>0</v>
      </c>
    </row>
    <row r="24" spans="1:33" ht="15.75" customHeight="1" x14ac:dyDescent="0.2">
      <c r="A24" s="29" t="s">
        <v>79</v>
      </c>
      <c r="B24" s="29" t="s">
        <v>168</v>
      </c>
      <c r="C24" s="16">
        <f t="shared" si="4"/>
        <v>24.641111111111112</v>
      </c>
      <c r="D24" s="30">
        <v>9</v>
      </c>
      <c r="E24" s="30">
        <v>0</v>
      </c>
      <c r="F24" s="33">
        <v>221.77</v>
      </c>
      <c r="G24" s="33">
        <v>-0.16</v>
      </c>
      <c r="H24" s="32">
        <f t="shared" si="1"/>
        <v>7.2146818776209587E-4</v>
      </c>
      <c r="I24" s="32">
        <f t="shared" si="2"/>
        <v>0.17163418693404731</v>
      </c>
      <c r="J24" s="33">
        <f t="shared" si="5"/>
        <v>38.063313636363674</v>
      </c>
      <c r="K24" s="33">
        <f t="shared" si="3"/>
        <v>4.2292570707070745</v>
      </c>
      <c r="L24" s="30">
        <v>52</v>
      </c>
      <c r="M24" s="34">
        <f t="shared" si="6"/>
        <v>0.17307692307692307</v>
      </c>
      <c r="N24" s="30">
        <v>26</v>
      </c>
      <c r="O24" s="35">
        <f t="shared" ref="O24:P24" si="32">D24/7</f>
        <v>1.2857142857142858</v>
      </c>
      <c r="P24" s="35">
        <f t="shared" si="32"/>
        <v>0</v>
      </c>
      <c r="Q24" s="30">
        <f t="shared" si="8"/>
        <v>20</v>
      </c>
      <c r="R24" s="30"/>
      <c r="S24" s="36">
        <v>1.56378600823045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Summary!A1:AD5000""),9,FALSE),"""")"),612)</f>
        <v>612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Summary!A1:AD5000""),28,FALSE),"""")"),170)</f>
        <v>170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170 - 07/01/21")</f>
        <v xml:space="preserve"> | AGL195: 170 - 07/01/21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0.33304976851851853</v>
      </c>
      <c r="AD24" s="40">
        <f t="shared" si="12"/>
        <v>-2.8775499999999998</v>
      </c>
      <c r="AE24" s="40">
        <v>-10.54</v>
      </c>
      <c r="AF24" s="40">
        <v>-5.8381818181818179</v>
      </c>
      <c r="AG24" s="40">
        <v>0</v>
      </c>
    </row>
    <row r="25" spans="1:33" ht="15.75" customHeight="1" x14ac:dyDescent="0.2">
      <c r="A25" s="15" t="s">
        <v>81</v>
      </c>
      <c r="B25" s="15" t="s">
        <v>170</v>
      </c>
      <c r="C25" s="16">
        <f t="shared" si="4"/>
        <v>23.99</v>
      </c>
      <c r="D25" s="17">
        <v>9</v>
      </c>
      <c r="E25" s="17">
        <v>0</v>
      </c>
      <c r="F25" s="18">
        <v>215.91</v>
      </c>
      <c r="G25" s="18">
        <v>0</v>
      </c>
      <c r="H25" s="32">
        <f t="shared" si="1"/>
        <v>0</v>
      </c>
      <c r="I25" s="32">
        <f t="shared" si="2"/>
        <v>0.15388796257699966</v>
      </c>
      <c r="J25" s="33">
        <f t="shared" si="5"/>
        <v>33.225949999999997</v>
      </c>
      <c r="K25" s="33">
        <f t="shared" si="3"/>
        <v>3.6917722222222218</v>
      </c>
      <c r="L25" s="17">
        <v>52</v>
      </c>
      <c r="M25" s="34">
        <f t="shared" si="6"/>
        <v>0.17307692307692307</v>
      </c>
      <c r="N25" s="17">
        <v>19</v>
      </c>
      <c r="O25" s="35">
        <f t="shared" ref="O25:P25" si="33">D25/7</f>
        <v>1.2857142857142858</v>
      </c>
      <c r="P25" s="35">
        <f t="shared" si="33"/>
        <v>0</v>
      </c>
      <c r="Q25" s="30">
        <f t="shared" si="8"/>
        <v>14</v>
      </c>
      <c r="R25" s="30"/>
      <c r="S25" s="36">
        <v>1.56378600823045</v>
      </c>
      <c r="T25" s="29">
        <v>612</v>
      </c>
      <c r="U25" s="37">
        <v>170</v>
      </c>
      <c r="V25" s="38" t="s">
        <v>171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0.33304976851851853</v>
      </c>
      <c r="AD25" s="40">
        <f t="shared" si="12"/>
        <v>-2.8775499999999998</v>
      </c>
      <c r="AE25" s="26">
        <v>-10.54</v>
      </c>
      <c r="AF25" s="26">
        <v>-5.84</v>
      </c>
      <c r="AG25" s="26">
        <v>0</v>
      </c>
    </row>
    <row r="26" spans="1:33" ht="15.75" customHeight="1" x14ac:dyDescent="0.2">
      <c r="A26" s="15" t="s">
        <v>83</v>
      </c>
      <c r="B26" s="15" t="s">
        <v>170</v>
      </c>
      <c r="C26" s="16">
        <f t="shared" si="4"/>
        <v>23.99</v>
      </c>
      <c r="D26" s="17">
        <v>8</v>
      </c>
      <c r="E26" s="17">
        <v>0</v>
      </c>
      <c r="F26" s="18">
        <v>191.92</v>
      </c>
      <c r="G26" s="18">
        <v>0</v>
      </c>
      <c r="H26" s="32">
        <f t="shared" si="1"/>
        <v>0</v>
      </c>
      <c r="I26" s="32">
        <f t="shared" si="2"/>
        <v>0.1372901377257362</v>
      </c>
      <c r="J26" s="33">
        <f t="shared" si="5"/>
        <v>26.348723232323287</v>
      </c>
      <c r="K26" s="33">
        <f t="shared" si="3"/>
        <v>3.2935904040404109</v>
      </c>
      <c r="L26" s="17">
        <v>43</v>
      </c>
      <c r="M26" s="34">
        <f t="shared" si="6"/>
        <v>0.18604651162790697</v>
      </c>
      <c r="N26" s="17">
        <v>11</v>
      </c>
      <c r="O26" s="35">
        <f t="shared" ref="O26:P26" si="34">D26/7</f>
        <v>1.1428571428571428</v>
      </c>
      <c r="P26" s="35">
        <f t="shared" si="34"/>
        <v>0</v>
      </c>
      <c r="Q26" s="30">
        <f t="shared" si="8"/>
        <v>9</v>
      </c>
      <c r="R26" s="30"/>
      <c r="S26" s="22">
        <v>2.8263473053892221</v>
      </c>
      <c r="T26" s="29">
        <v>612</v>
      </c>
      <c r="U26" s="37">
        <v>170</v>
      </c>
      <c r="V26" s="38" t="s">
        <v>171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0.33304976851851853</v>
      </c>
      <c r="AD26" s="40">
        <f t="shared" si="12"/>
        <v>-2.5578222222222222</v>
      </c>
      <c r="AE26" s="26">
        <v>-10.94</v>
      </c>
      <c r="AF26" s="26">
        <v>-5.8381818181818099</v>
      </c>
      <c r="AG26" s="26">
        <v>0</v>
      </c>
    </row>
    <row r="27" spans="1:33" ht="15.75" customHeight="1" x14ac:dyDescent="0.2">
      <c r="A27" s="15" t="s">
        <v>84</v>
      </c>
      <c r="B27" s="15" t="s">
        <v>172</v>
      </c>
      <c r="C27" s="16">
        <f t="shared" si="4"/>
        <v>23.99</v>
      </c>
      <c r="D27" s="17">
        <v>9</v>
      </c>
      <c r="E27" s="17">
        <v>0</v>
      </c>
      <c r="F27" s="18">
        <v>215.91</v>
      </c>
      <c r="G27" s="18">
        <v>0</v>
      </c>
      <c r="H27" s="32">
        <f t="shared" si="1"/>
        <v>0</v>
      </c>
      <c r="I27" s="32">
        <f t="shared" si="2"/>
        <v>0.13729013772573617</v>
      </c>
      <c r="J27" s="33">
        <f t="shared" si="5"/>
        <v>29.642313636363696</v>
      </c>
      <c r="K27" s="33">
        <f t="shared" si="3"/>
        <v>3.2935904040404105</v>
      </c>
      <c r="L27" s="17">
        <v>40</v>
      </c>
      <c r="M27" s="34">
        <f t="shared" si="6"/>
        <v>0.22500000000000001</v>
      </c>
      <c r="N27" s="17">
        <v>2</v>
      </c>
      <c r="O27" s="35">
        <f t="shared" ref="O27:P27" si="35">D27/7</f>
        <v>1.2857142857142858</v>
      </c>
      <c r="P27" s="35">
        <f t="shared" si="35"/>
        <v>0</v>
      </c>
      <c r="Q27" s="30">
        <f t="shared" si="8"/>
        <v>1</v>
      </c>
      <c r="R27" s="30"/>
      <c r="S27" s="22">
        <v>0</v>
      </c>
      <c r="T27" s="29">
        <v>612</v>
      </c>
      <c r="U27" s="37">
        <v>170</v>
      </c>
      <c r="V27" s="38" t="s">
        <v>171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0.33304976851851853</v>
      </c>
      <c r="AD27" s="40">
        <f t="shared" si="12"/>
        <v>-2.8775499999999998</v>
      </c>
      <c r="AE27" s="26">
        <v>-10.94</v>
      </c>
      <c r="AF27" s="26">
        <v>-5.8381818181818099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2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170</v>
      </c>
      <c r="V28" s="1" t="s">
        <v>173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0.33304976851851853</v>
      </c>
      <c r="AD28" s="40">
        <f t="shared" si="12"/>
        <v>0</v>
      </c>
      <c r="AE28" s="26">
        <v>-10.94</v>
      </c>
      <c r="AF28" s="26">
        <v>-5.8381818181818099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>
        <f t="shared" si="4"/>
        <v>23.99</v>
      </c>
      <c r="D29" s="17">
        <v>2</v>
      </c>
      <c r="E29" s="17">
        <v>0</v>
      </c>
      <c r="F29" s="18">
        <v>47.98</v>
      </c>
      <c r="G29" s="18">
        <v>0</v>
      </c>
      <c r="H29" s="32">
        <f t="shared" si="1"/>
        <v>0</v>
      </c>
      <c r="I29" s="32">
        <f t="shared" si="2"/>
        <v>0.1372901377257362</v>
      </c>
      <c r="J29" s="33">
        <f t="shared" si="5"/>
        <v>6.5871808080808218</v>
      </c>
      <c r="K29" s="33">
        <f t="shared" si="3"/>
        <v>3.2935904040404109</v>
      </c>
      <c r="L29" s="17">
        <v>15</v>
      </c>
      <c r="M29" s="34">
        <f t="shared" si="6"/>
        <v>0.13333333333333333</v>
      </c>
      <c r="N29" s="17">
        <v>1</v>
      </c>
      <c r="O29" s="35">
        <f t="shared" ref="O29:P29" si="37">D29/7</f>
        <v>0.2857142857142857</v>
      </c>
      <c r="P29" s="35">
        <f t="shared" si="37"/>
        <v>0</v>
      </c>
      <c r="Q29" s="30">
        <f t="shared" si="8"/>
        <v>3</v>
      </c>
      <c r="R29" s="30"/>
      <c r="S29" s="22">
        <v>2.1280788177339902</v>
      </c>
      <c r="T29" s="15" t="s">
        <v>34</v>
      </c>
      <c r="U29" s="23">
        <v>170</v>
      </c>
      <c r="V29" s="1" t="s">
        <v>173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0.33304976851851853</v>
      </c>
      <c r="AD29" s="40">
        <f t="shared" si="12"/>
        <v>-0.63945555555555555</v>
      </c>
      <c r="AE29" s="26">
        <v>-10.94</v>
      </c>
      <c r="AF29" s="26">
        <v>-5.8381818181818099</v>
      </c>
      <c r="AG29" s="26">
        <v>0</v>
      </c>
    </row>
    <row r="30" spans="1:33" ht="15.75" customHeight="1" x14ac:dyDescent="0.2">
      <c r="A30" s="15" t="s">
        <v>90</v>
      </c>
      <c r="B30" s="15" t="s">
        <v>174</v>
      </c>
      <c r="C30" s="16">
        <f t="shared" si="4"/>
        <v>23.99</v>
      </c>
      <c r="D30" s="17">
        <v>3</v>
      </c>
      <c r="E30" s="17">
        <v>0</v>
      </c>
      <c r="F30" s="18">
        <v>71.97</v>
      </c>
      <c r="G30" s="18">
        <v>0</v>
      </c>
      <c r="H30" s="32">
        <f t="shared" si="1"/>
        <v>0</v>
      </c>
      <c r="I30" s="32">
        <f t="shared" si="2"/>
        <v>9.9540317724977914E-2</v>
      </c>
      <c r="J30" s="33">
        <f t="shared" si="5"/>
        <v>7.16391666666666</v>
      </c>
      <c r="K30" s="33">
        <f t="shared" si="3"/>
        <v>2.3879722222222202</v>
      </c>
      <c r="L30" s="17">
        <v>1</v>
      </c>
      <c r="M30" s="34">
        <f t="shared" si="6"/>
        <v>3</v>
      </c>
      <c r="N30" s="17">
        <v>170</v>
      </c>
      <c r="O30" s="35">
        <f t="shared" ref="O30:P30" si="38">D30/7</f>
        <v>0.42857142857142855</v>
      </c>
      <c r="P30" s="35">
        <f t="shared" si="38"/>
        <v>0</v>
      </c>
      <c r="Q30" s="30">
        <f t="shared" si="8"/>
        <v>396</v>
      </c>
      <c r="R30" s="30"/>
      <c r="S30" s="22">
        <v>0</v>
      </c>
      <c r="T30" s="15" t="s">
        <v>34</v>
      </c>
      <c r="U30" s="23">
        <v>170</v>
      </c>
      <c r="V30" s="1" t="s">
        <v>173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0.33304976851851853</v>
      </c>
      <c r="AD30" s="40">
        <f t="shared" si="12"/>
        <v>-0.95918333333333328</v>
      </c>
      <c r="AE30" s="26">
        <v>-10.94</v>
      </c>
      <c r="AF30" s="26">
        <v>-6.7438000000000002</v>
      </c>
      <c r="AG30" s="26">
        <v>0</v>
      </c>
    </row>
    <row r="31" spans="1:33" ht="15.75" customHeight="1" x14ac:dyDescent="0.2">
      <c r="A31" s="29" t="s">
        <v>93</v>
      </c>
      <c r="B31" s="29" t="s">
        <v>54</v>
      </c>
      <c r="C31" s="16">
        <f t="shared" si="4"/>
        <v>23.990000000000006</v>
      </c>
      <c r="D31" s="17">
        <v>17</v>
      </c>
      <c r="E31" s="17">
        <v>0</v>
      </c>
      <c r="F31" s="18">
        <v>407.8300000000001</v>
      </c>
      <c r="G31" s="18">
        <v>-0.38</v>
      </c>
      <c r="H31" s="32">
        <f t="shared" si="1"/>
        <v>9.3176078267905721E-4</v>
      </c>
      <c r="I31" s="32">
        <f t="shared" si="2"/>
        <v>9.8608556942299155E-2</v>
      </c>
      <c r="J31" s="33">
        <f t="shared" si="5"/>
        <v>40.215527777777872</v>
      </c>
      <c r="K31" s="33">
        <f t="shared" si="3"/>
        <v>2.365619281045757</v>
      </c>
      <c r="L31" s="17">
        <v>44</v>
      </c>
      <c r="M31" s="34">
        <f t="shared" si="6"/>
        <v>0.38636363636363635</v>
      </c>
      <c r="N31" s="17">
        <v>157</v>
      </c>
      <c r="O31" s="35">
        <f t="shared" ref="O31:P31" si="39">D31/7</f>
        <v>2.4285714285714284</v>
      </c>
      <c r="P31" s="35">
        <f t="shared" si="39"/>
        <v>0</v>
      </c>
      <c r="Q31" s="30">
        <f t="shared" si="8"/>
        <v>64</v>
      </c>
      <c r="R31" s="30"/>
      <c r="S31" s="22">
        <v>1.325</v>
      </c>
      <c r="T31" s="15">
        <v>442</v>
      </c>
      <c r="U31" s="23" t="s">
        <v>34</v>
      </c>
      <c r="V31" s="1" t="s">
        <v>175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0.33304976851851853</v>
      </c>
      <c r="AD31" s="40">
        <f t="shared" si="12"/>
        <v>-5.435372222222222</v>
      </c>
      <c r="AE31" s="26">
        <v>-10.94</v>
      </c>
      <c r="AF31" s="43">
        <v>-6.7438000000000002</v>
      </c>
      <c r="AG31" s="26">
        <v>0</v>
      </c>
    </row>
    <row r="32" spans="1:33" ht="15.75" customHeight="1" x14ac:dyDescent="0.2">
      <c r="A32" s="15" t="s">
        <v>96</v>
      </c>
      <c r="B32" s="29" t="s">
        <v>54</v>
      </c>
      <c r="C32" s="16">
        <f t="shared" si="4"/>
        <v>23.99</v>
      </c>
      <c r="D32" s="17">
        <v>11</v>
      </c>
      <c r="E32" s="17">
        <v>0</v>
      </c>
      <c r="F32" s="18">
        <v>263.89</v>
      </c>
      <c r="G32" s="18">
        <v>0</v>
      </c>
      <c r="H32" s="32">
        <f t="shared" si="1"/>
        <v>0</v>
      </c>
      <c r="I32" s="32">
        <f t="shared" si="2"/>
        <v>9.95403177249779E-2</v>
      </c>
      <c r="J32" s="33">
        <f t="shared" si="5"/>
        <v>26.267694444444416</v>
      </c>
      <c r="K32" s="33">
        <f t="shared" si="3"/>
        <v>2.3879722222222197</v>
      </c>
      <c r="L32" s="17">
        <v>38</v>
      </c>
      <c r="M32" s="34">
        <f t="shared" si="6"/>
        <v>0.28947368421052633</v>
      </c>
      <c r="N32" s="17">
        <v>142</v>
      </c>
      <c r="O32" s="35">
        <f t="shared" ref="O32:P32" si="40">D32/7</f>
        <v>1.5714285714285714</v>
      </c>
      <c r="P32" s="35">
        <f t="shared" si="40"/>
        <v>0</v>
      </c>
      <c r="Q32" s="30">
        <f t="shared" si="8"/>
        <v>90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1.7397769516728629</v>
      </c>
      <c r="T32" s="15">
        <f ca="1">IFERROR(__xludf.DUMMYFUNCTION("IFERROR(VLOOKUP($B$2,IMPORTRANGE(""https://docs.google.com/spreadsheets/d/1KiWZV1ko8G7lnRucBRBd29jj3Be6ltMfljMDqzOkQmI/edit#gid=1381463014"",""Lookup!A:D""),4,FALSE),"""")"),442)</f>
        <v>442</v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IFERROR(__xludf.DUMMYFUNCTION("IFERROR(VLOOKUP($B$2,IMPORTRANGE(""https://docs.google.com/spreadsheets/d/1KiWZV1ko8G7lnRucBRBd29jj3Be6ltMfljMDqzOkQmI/edit#gid=1381463014"",""Lookup!A:D""),2,FALSE),"""")"),"No Transit, But 442 At Factory 50-75 days from Earliest Arrival")</f>
        <v>No Transit, But 442 At Factory 50-75 days from Earliest Arrival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0.33304976851851853</v>
      </c>
      <c r="AD32" s="40">
        <f t="shared" si="12"/>
        <v>-3.5170055555555555</v>
      </c>
      <c r="AE32" s="26">
        <v>-10.94</v>
      </c>
      <c r="AF32" s="26">
        <v>-6.7438000000000002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22.332031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- 18x22 Inch Graywash Framed Hanging Chalk Board")</f>
        <v>Magnetic Kitchen Chalkboard Sign - 18x22 Inch Graywash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Info!B1:BJ5000""),2,FALSE),"""")"),"B07JNNM4GW")</f>
        <v>B07JNNM4GW</v>
      </c>
      <c r="B2" s="3" t="s">
        <v>176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21.004670588235296</v>
      </c>
      <c r="D3" s="5">
        <f>SUM(D4:D99519)</f>
        <v>116</v>
      </c>
      <c r="E3" s="5"/>
      <c r="F3" s="6">
        <f t="shared" ref="F3:G3" si="0">SUM(F4:F99519)</f>
        <v>2499.2100000000005</v>
      </c>
      <c r="G3" s="6">
        <f t="shared" si="0"/>
        <v>-151.86000000000001</v>
      </c>
      <c r="H3" s="7">
        <f t="shared" ref="H3:H32" si="1">G3/F3*-1</f>
        <v>6.0763201171570212E-2</v>
      </c>
      <c r="I3" s="8">
        <f t="shared" ref="I3:I32" si="2">J3/F3</f>
        <v>-1.7672336943322361E-2</v>
      </c>
      <c r="J3" s="6">
        <f>SUM(J4:J99519)</f>
        <v>-44.166881212120686</v>
      </c>
      <c r="K3" s="6">
        <f t="shared" ref="K3:K32" si="3">J3/D3</f>
        <v>-0.38074897596655766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Sheet!a1:g5000""),2,FALSE),"""")"),"1.0 - March
1.0 - April
1.0 - May
1.0 - June
1.0 - July
1.0 - Aug
1.0 - Sept
1.0 - Oct
1.0 - Nov
1.0 - Dec
1.0 - Jan
1.0 - Feb")</f>
        <v>1.0 - March
1.0 - April
1.0 - May
1.0 - June
1.0 - July
1.0 - Aug
1.0 - Sept
1.0 - Oct
1.0 - Nov
1.0 - Dec
1.0 - Jan
1.0 -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2</v>
      </c>
      <c r="X3" s="7">
        <f>W3/D3</f>
        <v>1.7241379310344827E-2</v>
      </c>
      <c r="Y3" s="6"/>
      <c r="Z3" s="5"/>
      <c r="AA3" s="5"/>
      <c r="AB3" s="5"/>
      <c r="AC3" s="5"/>
      <c r="AD3" s="6">
        <f>SUM(AD4:AD99519)</f>
        <v>-39.806946666666654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Info!B2:BZ3000""),37,FALSE)),"""")*-1"),-6.91397)</f>
        <v>-6.9139699999999999</v>
      </c>
      <c r="AG3" s="6">
        <f>SUM(AG4:AG99519)</f>
        <v>-6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310</v>
      </c>
      <c r="U4" s="23">
        <v>130</v>
      </c>
      <c r="V4" s="24" t="s">
        <v>153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-5.6680090909090906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310</v>
      </c>
      <c r="U5" s="37">
        <v>130</v>
      </c>
      <c r="V5" s="38" t="s">
        <v>154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-5.6680090909090906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310</v>
      </c>
      <c r="U6" s="37">
        <v>130</v>
      </c>
      <c r="V6" s="38" t="s">
        <v>155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-5.6680090909090906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310</v>
      </c>
      <c r="U7" s="37">
        <v>130</v>
      </c>
      <c r="V7" s="38" t="s">
        <v>156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-5.6680090909090906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370</v>
      </c>
      <c r="U8" s="37">
        <v>130</v>
      </c>
      <c r="V8" s="38" t="s">
        <v>157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-5.67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370</v>
      </c>
      <c r="U9" s="37">
        <v>130</v>
      </c>
      <c r="V9" s="38" t="s">
        <v>158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-6.01346363636363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190</v>
      </c>
      <c r="U10" s="37">
        <v>130</v>
      </c>
      <c r="V10" s="38" t="s">
        <v>159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-6.01346363636363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250</v>
      </c>
      <c r="U11" s="37">
        <v>130</v>
      </c>
      <c r="V11" s="38" t="s">
        <v>177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-6.01346363636363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250</v>
      </c>
      <c r="U12" s="37">
        <v>130</v>
      </c>
      <c r="V12" s="38" t="s">
        <v>178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-6.01346363636363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250</v>
      </c>
      <c r="U13" s="37">
        <v>130</v>
      </c>
      <c r="V13" s="38" t="s">
        <v>179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-6.1952818181818099</v>
      </c>
      <c r="AG13" s="40">
        <v>0</v>
      </c>
    </row>
    <row r="14" spans="1:33" ht="15.75" customHeight="1" x14ac:dyDescent="0.2">
      <c r="A14" s="29" t="s">
        <v>59</v>
      </c>
      <c r="B14" s="29" t="s">
        <v>180</v>
      </c>
      <c r="C14" s="16">
        <f t="shared" si="4"/>
        <v>24.99</v>
      </c>
      <c r="D14" s="30">
        <v>3</v>
      </c>
      <c r="E14" s="30">
        <v>0</v>
      </c>
      <c r="F14" s="33">
        <v>74.97</v>
      </c>
      <c r="G14" s="31">
        <v>0</v>
      </c>
      <c r="H14" s="32">
        <f t="shared" si="1"/>
        <v>0</v>
      </c>
      <c r="I14" s="32">
        <f t="shared" si="2"/>
        <v>0.16658882947118281</v>
      </c>
      <c r="J14" s="33">
        <f t="shared" si="5"/>
        <v>12.489164545454575</v>
      </c>
      <c r="K14" s="33">
        <f t="shared" si="3"/>
        <v>4.1630548484848582</v>
      </c>
      <c r="L14" s="30">
        <v>0</v>
      </c>
      <c r="M14" s="34" t="str">
        <f t="shared" si="6"/>
        <v>-</v>
      </c>
      <c r="N14" s="30">
        <v>130</v>
      </c>
      <c r="O14" s="35">
        <f t="shared" ref="O14:P14" si="22">D14/7</f>
        <v>0.42857142857142855</v>
      </c>
      <c r="P14" s="35">
        <f t="shared" si="22"/>
        <v>0</v>
      </c>
      <c r="Q14" s="30">
        <f t="shared" si="8"/>
        <v>303</v>
      </c>
      <c r="R14" s="30"/>
      <c r="S14" s="36">
        <v>2.9850746268656699E-2</v>
      </c>
      <c r="T14" s="29">
        <v>220</v>
      </c>
      <c r="U14" s="37">
        <v>60</v>
      </c>
      <c r="V14" s="38" t="s">
        <v>181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0.35746180555555551</v>
      </c>
      <c r="AD14" s="40">
        <f t="shared" si="12"/>
        <v>-1.0294899999999998</v>
      </c>
      <c r="AE14" s="40">
        <v>-10.54</v>
      </c>
      <c r="AF14" s="40">
        <v>-6.1952818181818099</v>
      </c>
      <c r="AG14" s="40">
        <v>0</v>
      </c>
    </row>
    <row r="15" spans="1:33" ht="15.75" customHeight="1" x14ac:dyDescent="0.2">
      <c r="A15" s="29" t="s">
        <v>61</v>
      </c>
      <c r="B15" s="29" t="s">
        <v>182</v>
      </c>
      <c r="C15" s="16">
        <f t="shared" si="4"/>
        <v>23.99</v>
      </c>
      <c r="D15" s="30">
        <v>3</v>
      </c>
      <c r="E15" s="30">
        <v>0</v>
      </c>
      <c r="F15" s="33">
        <v>71.97</v>
      </c>
      <c r="G15" s="31">
        <v>-15.52</v>
      </c>
      <c r="H15" s="32">
        <f t="shared" si="1"/>
        <v>0.21564540780880923</v>
      </c>
      <c r="I15" s="32">
        <f t="shared" si="2"/>
        <v>-7.7543913499311196E-2</v>
      </c>
      <c r="J15" s="33">
        <f t="shared" si="5"/>
        <v>-5.5808354545454266</v>
      </c>
      <c r="K15" s="33">
        <f t="shared" si="3"/>
        <v>-1.8602784848484755</v>
      </c>
      <c r="L15" s="30">
        <v>31</v>
      </c>
      <c r="M15" s="34">
        <f t="shared" si="6"/>
        <v>9.6774193548387094E-2</v>
      </c>
      <c r="N15" s="30">
        <v>124</v>
      </c>
      <c r="O15" s="35">
        <f t="shared" ref="O15:P15" si="23">D15/7</f>
        <v>0.42857142857142855</v>
      </c>
      <c r="P15" s="35">
        <f t="shared" si="23"/>
        <v>0</v>
      </c>
      <c r="Q15" s="30">
        <f t="shared" si="8"/>
        <v>289</v>
      </c>
      <c r="R15" s="30"/>
      <c r="S15" s="36">
        <v>0.1875</v>
      </c>
      <c r="T15" s="29">
        <v>160</v>
      </c>
      <c r="U15" s="37">
        <v>60</v>
      </c>
      <c r="V15" s="38" t="s">
        <v>181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0.35746180555555551</v>
      </c>
      <c r="AD15" s="40">
        <f t="shared" si="12"/>
        <v>-1.0294899999999998</v>
      </c>
      <c r="AE15" s="40">
        <v>-10.54</v>
      </c>
      <c r="AF15" s="40">
        <v>-6.1952818181818099</v>
      </c>
      <c r="AG15" s="40">
        <v>0</v>
      </c>
    </row>
    <row r="16" spans="1:33" ht="15.75" customHeight="1" x14ac:dyDescent="0.2">
      <c r="A16" s="29" t="s">
        <v>64</v>
      </c>
      <c r="B16" s="29" t="s">
        <v>183</v>
      </c>
      <c r="C16" s="16">
        <f t="shared" si="4"/>
        <v>24.12</v>
      </c>
      <c r="D16" s="30">
        <v>6</v>
      </c>
      <c r="E16" s="30">
        <v>0</v>
      </c>
      <c r="F16" s="33">
        <v>144.72</v>
      </c>
      <c r="G16" s="31">
        <v>-43.02</v>
      </c>
      <c r="H16" s="32">
        <f t="shared" si="1"/>
        <v>0.29726368159203981</v>
      </c>
      <c r="I16" s="32">
        <f t="shared" si="2"/>
        <v>-0.15532525503794126</v>
      </c>
      <c r="J16" s="33">
        <f t="shared" si="5"/>
        <v>-22.478670909090859</v>
      </c>
      <c r="K16" s="33">
        <f t="shared" si="3"/>
        <v>-3.7464451515151431</v>
      </c>
      <c r="L16" s="30">
        <v>27</v>
      </c>
      <c r="M16" s="34">
        <f t="shared" si="6"/>
        <v>0.22222222222222221</v>
      </c>
      <c r="N16" s="30">
        <v>118</v>
      </c>
      <c r="O16" s="35">
        <f t="shared" ref="O16:P16" si="24">D16/7</f>
        <v>0.8571428571428571</v>
      </c>
      <c r="P16" s="35">
        <f t="shared" si="24"/>
        <v>0</v>
      </c>
      <c r="Q16" s="30">
        <f t="shared" si="8"/>
        <v>137</v>
      </c>
      <c r="R16" s="30"/>
      <c r="S16" s="36">
        <v>0.32520325203251998</v>
      </c>
      <c r="T16" s="29">
        <v>160</v>
      </c>
      <c r="U16" s="37">
        <v>60</v>
      </c>
      <c r="V16" s="38" t="s">
        <v>184</v>
      </c>
      <c r="W16" s="29">
        <v>0</v>
      </c>
      <c r="X16" s="39">
        <f t="shared" si="9"/>
        <v>0</v>
      </c>
      <c r="Y16" s="40">
        <f t="shared" si="10"/>
        <v>21.51</v>
      </c>
      <c r="Z16" s="29">
        <v>2</v>
      </c>
      <c r="AA16" s="29" t="s">
        <v>163</v>
      </c>
      <c r="AB16" s="41">
        <f t="shared" si="11"/>
        <v>-0.48</v>
      </c>
      <c r="AC16" s="42">
        <v>0.35746180555555551</v>
      </c>
      <c r="AD16" s="40">
        <f t="shared" si="12"/>
        <v>-2.0589799999999996</v>
      </c>
      <c r="AE16" s="40">
        <v>-10.54</v>
      </c>
      <c r="AF16" s="40">
        <v>-6.1952818181818099</v>
      </c>
      <c r="AG16" s="40">
        <v>0</v>
      </c>
    </row>
    <row r="17" spans="1:33" ht="15.75" customHeight="1" x14ac:dyDescent="0.2">
      <c r="A17" s="29" t="s">
        <v>66</v>
      </c>
      <c r="B17" s="29" t="s">
        <v>183</v>
      </c>
      <c r="C17" s="16">
        <f t="shared" si="4"/>
        <v>23.99</v>
      </c>
      <c r="D17" s="30">
        <v>4</v>
      </c>
      <c r="E17" s="30">
        <v>0</v>
      </c>
      <c r="F17" s="33">
        <v>95.96</v>
      </c>
      <c r="G17" s="31">
        <v>-20.849999999999998</v>
      </c>
      <c r="H17" s="32">
        <f t="shared" si="1"/>
        <v>0.2172780325135473</v>
      </c>
      <c r="I17" s="32">
        <f t="shared" si="2"/>
        <v>-7.9176538204049351E-2</v>
      </c>
      <c r="J17" s="33">
        <f t="shared" si="5"/>
        <v>-7.5977806060605753</v>
      </c>
      <c r="K17" s="33">
        <f t="shared" si="3"/>
        <v>-1.8994451515151438</v>
      </c>
      <c r="L17" s="30">
        <v>26</v>
      </c>
      <c r="M17" s="34">
        <f t="shared" si="6"/>
        <v>0.15384615384615385</v>
      </c>
      <c r="N17" s="30">
        <v>114</v>
      </c>
      <c r="O17" s="35">
        <f t="shared" ref="O17:P17" si="25">D17/7</f>
        <v>0.5714285714285714</v>
      </c>
      <c r="P17" s="35">
        <f t="shared" si="25"/>
        <v>0</v>
      </c>
      <c r="Q17" s="30">
        <f t="shared" si="8"/>
        <v>199</v>
      </c>
      <c r="R17" s="30"/>
      <c r="S17" s="36">
        <v>0.50847457627118597</v>
      </c>
      <c r="T17" s="29">
        <v>160</v>
      </c>
      <c r="U17" s="37">
        <v>60</v>
      </c>
      <c r="V17" s="38" t="s">
        <v>184</v>
      </c>
      <c r="W17" s="29">
        <v>1</v>
      </c>
      <c r="X17" s="39">
        <f t="shared" si="9"/>
        <v>0.25</v>
      </c>
      <c r="Y17" s="40">
        <f t="shared" si="10"/>
        <v>20.849999999999998</v>
      </c>
      <c r="Z17" s="29">
        <v>0</v>
      </c>
      <c r="AA17" s="29" t="s">
        <v>163</v>
      </c>
      <c r="AB17" s="41">
        <f t="shared" si="11"/>
        <v>-0.48</v>
      </c>
      <c r="AC17" s="42">
        <v>0.35746180555555551</v>
      </c>
      <c r="AD17" s="40">
        <f t="shared" si="12"/>
        <v>-1.3726533333333331</v>
      </c>
      <c r="AE17" s="40">
        <v>-10.54</v>
      </c>
      <c r="AF17" s="40">
        <v>-6.1952818181818099</v>
      </c>
      <c r="AG17" s="40">
        <v>0</v>
      </c>
    </row>
    <row r="18" spans="1:33" ht="15.75" customHeight="1" x14ac:dyDescent="0.2">
      <c r="A18" s="29" t="s">
        <v>69</v>
      </c>
      <c r="B18" s="29" t="s">
        <v>185</v>
      </c>
      <c r="C18" s="16">
        <f t="shared" si="4"/>
        <v>23.99</v>
      </c>
      <c r="D18" s="30">
        <v>4</v>
      </c>
      <c r="E18" s="30">
        <v>0</v>
      </c>
      <c r="F18" s="33">
        <v>95.96</v>
      </c>
      <c r="G18" s="31">
        <v>-22.320000000000004</v>
      </c>
      <c r="H18" s="32">
        <f t="shared" si="1"/>
        <v>0.23259691538140898</v>
      </c>
      <c r="I18" s="32">
        <f t="shared" si="2"/>
        <v>-9.4495421071911084E-2</v>
      </c>
      <c r="J18" s="33">
        <f t="shared" si="5"/>
        <v>-9.0677806060605874</v>
      </c>
      <c r="K18" s="33">
        <f t="shared" si="3"/>
        <v>-2.2669451515151469</v>
      </c>
      <c r="L18" s="30">
        <v>14</v>
      </c>
      <c r="M18" s="34">
        <f t="shared" si="6"/>
        <v>0.2857142857142857</v>
      </c>
      <c r="N18" s="30">
        <v>111</v>
      </c>
      <c r="O18" s="35">
        <f t="shared" ref="O18:P18" si="26">D18/7</f>
        <v>0.5714285714285714</v>
      </c>
      <c r="P18" s="35">
        <f t="shared" si="26"/>
        <v>0</v>
      </c>
      <c r="Q18" s="30">
        <f t="shared" si="8"/>
        <v>194</v>
      </c>
      <c r="R18" s="30"/>
      <c r="S18" s="36">
        <v>0.62608695652173896</v>
      </c>
      <c r="T18" s="29">
        <v>160</v>
      </c>
      <c r="U18" s="37" t="s">
        <v>34</v>
      </c>
      <c r="V18" s="38" t="s">
        <v>186</v>
      </c>
      <c r="W18" s="29">
        <v>0</v>
      </c>
      <c r="X18" s="39">
        <f t="shared" si="9"/>
        <v>0</v>
      </c>
      <c r="Y18" s="40">
        <f t="shared" si="10"/>
        <v>11.160000000000002</v>
      </c>
      <c r="Z18" s="29">
        <v>2</v>
      </c>
      <c r="AA18" s="29" t="s">
        <v>163</v>
      </c>
      <c r="AB18" s="41">
        <f t="shared" si="11"/>
        <v>-0.48</v>
      </c>
      <c r="AC18" s="42">
        <v>0.35746180555555551</v>
      </c>
      <c r="AD18" s="40">
        <f t="shared" si="12"/>
        <v>-1.3726533333333331</v>
      </c>
      <c r="AE18" s="40">
        <v>-10.54</v>
      </c>
      <c r="AF18" s="40">
        <v>-6.1952818181818099</v>
      </c>
      <c r="AG18" s="40">
        <v>0</v>
      </c>
    </row>
    <row r="19" spans="1:33" ht="15.75" customHeight="1" x14ac:dyDescent="0.2">
      <c r="A19" s="29" t="s">
        <v>71</v>
      </c>
      <c r="B19" s="29" t="s">
        <v>183</v>
      </c>
      <c r="C19" s="16">
        <f t="shared" si="4"/>
        <v>22.99</v>
      </c>
      <c r="D19" s="30">
        <v>5</v>
      </c>
      <c r="E19" s="30">
        <v>0</v>
      </c>
      <c r="F19" s="33">
        <v>114.94999999999999</v>
      </c>
      <c r="G19" s="31">
        <v>-36.79</v>
      </c>
      <c r="H19" s="32">
        <f t="shared" si="1"/>
        <v>0.32005219660722056</v>
      </c>
      <c r="I19" s="32">
        <f t="shared" si="2"/>
        <v>-0.21291627453306455</v>
      </c>
      <c r="J19" s="33">
        <f t="shared" si="5"/>
        <v>-24.474725757575769</v>
      </c>
      <c r="K19" s="33">
        <f t="shared" si="3"/>
        <v>-4.8949451515151541</v>
      </c>
      <c r="L19" s="30">
        <v>27</v>
      </c>
      <c r="M19" s="34">
        <f t="shared" si="6"/>
        <v>0.18518518518518517</v>
      </c>
      <c r="N19" s="30">
        <v>163</v>
      </c>
      <c r="O19" s="35">
        <f t="shared" ref="O19:P19" si="27">D19/7</f>
        <v>0.7142857142857143</v>
      </c>
      <c r="P19" s="35">
        <f t="shared" si="27"/>
        <v>0</v>
      </c>
      <c r="Q19" s="30">
        <f t="shared" si="8"/>
        <v>228</v>
      </c>
      <c r="R19" s="30"/>
      <c r="S19" s="36">
        <v>0.28000000000000003</v>
      </c>
      <c r="T19" s="29">
        <v>199</v>
      </c>
      <c r="U19" s="37" t="s">
        <v>34</v>
      </c>
      <c r="V19" s="38" t="s">
        <v>34</v>
      </c>
      <c r="W19" s="29">
        <v>1</v>
      </c>
      <c r="X19" s="39">
        <f t="shared" si="9"/>
        <v>0.2</v>
      </c>
      <c r="Y19" s="40">
        <f t="shared" si="10"/>
        <v>18.395</v>
      </c>
      <c r="Z19" s="29">
        <v>1</v>
      </c>
      <c r="AA19" s="29" t="s">
        <v>163</v>
      </c>
      <c r="AB19" s="41">
        <f t="shared" si="11"/>
        <v>-0.48</v>
      </c>
      <c r="AC19" s="42">
        <v>0.35746180555555551</v>
      </c>
      <c r="AD19" s="40">
        <f t="shared" si="12"/>
        <v>-1.7158166666666663</v>
      </c>
      <c r="AE19" s="40">
        <v>-10.54</v>
      </c>
      <c r="AF19" s="40">
        <v>-6.1952818181818179</v>
      </c>
      <c r="AG19" s="40">
        <v>0</v>
      </c>
    </row>
    <row r="20" spans="1:33" ht="15.75" customHeight="1" x14ac:dyDescent="0.2">
      <c r="A20" s="29" t="s">
        <v>74</v>
      </c>
      <c r="B20" s="29" t="s">
        <v>116</v>
      </c>
      <c r="C20" s="16">
        <f t="shared" si="4"/>
        <v>22.99</v>
      </c>
      <c r="D20" s="30">
        <v>2</v>
      </c>
      <c r="E20" s="30">
        <v>0</v>
      </c>
      <c r="F20" s="33">
        <v>45.98</v>
      </c>
      <c r="G20" s="31">
        <v>-12.769999999999998</v>
      </c>
      <c r="H20" s="32">
        <f t="shared" si="1"/>
        <v>0.2777294475859069</v>
      </c>
      <c r="I20" s="32">
        <f t="shared" si="2"/>
        <v>-0.16246259902197255</v>
      </c>
      <c r="J20" s="33">
        <f t="shared" si="5"/>
        <v>-7.4700303030302972</v>
      </c>
      <c r="K20" s="33">
        <f t="shared" si="3"/>
        <v>-3.7350151515151486</v>
      </c>
      <c r="L20" s="30">
        <v>18</v>
      </c>
      <c r="M20" s="34">
        <f t="shared" si="6"/>
        <v>0.1111111111111111</v>
      </c>
      <c r="N20" s="30">
        <v>163</v>
      </c>
      <c r="O20" s="35">
        <f t="shared" ref="O20:P20" si="28">D20/7</f>
        <v>0.2857142857142857</v>
      </c>
      <c r="P20" s="35">
        <f t="shared" si="28"/>
        <v>0</v>
      </c>
      <c r="Q20" s="30">
        <f t="shared" si="8"/>
        <v>570</v>
      </c>
      <c r="R20" s="30"/>
      <c r="S20" s="36">
        <v>0.36236933797909399</v>
      </c>
      <c r="T20" s="29">
        <v>199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0.35746180555555551</v>
      </c>
      <c r="AD20" s="40">
        <f t="shared" si="12"/>
        <v>-0.68632666666666653</v>
      </c>
      <c r="AE20" s="40">
        <v>-10.54</v>
      </c>
      <c r="AF20" s="40">
        <v>-6.0083518181818176</v>
      </c>
      <c r="AG20" s="40">
        <v>0</v>
      </c>
    </row>
    <row r="21" spans="1:33" ht="15.75" customHeight="1" x14ac:dyDescent="0.2">
      <c r="A21" s="29" t="s">
        <v>75</v>
      </c>
      <c r="B21" s="29" t="s">
        <v>187</v>
      </c>
      <c r="C21" s="16">
        <f t="shared" si="4"/>
        <v>22.990000000000002</v>
      </c>
      <c r="D21" s="30">
        <v>9</v>
      </c>
      <c r="E21" s="30">
        <v>0</v>
      </c>
      <c r="F21" s="33">
        <v>206.91000000000003</v>
      </c>
      <c r="G21" s="31">
        <v>0</v>
      </c>
      <c r="H21" s="32">
        <f t="shared" si="1"/>
        <v>0</v>
      </c>
      <c r="I21" s="32">
        <f t="shared" si="2"/>
        <v>0.11526684856393438</v>
      </c>
      <c r="J21" s="33">
        <f t="shared" si="5"/>
        <v>23.849863636363665</v>
      </c>
      <c r="K21" s="33">
        <f t="shared" si="3"/>
        <v>2.6499848484848516</v>
      </c>
      <c r="L21" s="30">
        <v>6</v>
      </c>
      <c r="M21" s="34">
        <f t="shared" si="6"/>
        <v>1.5</v>
      </c>
      <c r="N21" s="30">
        <v>136</v>
      </c>
      <c r="O21" s="35">
        <f t="shared" ref="O21:P21" si="29">D21/7</f>
        <v>1.2857142857142858</v>
      </c>
      <c r="P21" s="35">
        <f t="shared" si="29"/>
        <v>0</v>
      </c>
      <c r="Q21" s="30">
        <f t="shared" si="8"/>
        <v>105</v>
      </c>
      <c r="R21" s="30"/>
      <c r="S21" s="36">
        <v>0.484375</v>
      </c>
      <c r="T21" s="29">
        <v>199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0.35746180555555551</v>
      </c>
      <c r="AD21" s="40">
        <f t="shared" si="12"/>
        <v>-3.0884699999999992</v>
      </c>
      <c r="AE21" s="40">
        <v>-10.54</v>
      </c>
      <c r="AF21" s="40">
        <v>-6.0083518181818176</v>
      </c>
      <c r="AG21" s="40">
        <v>0</v>
      </c>
    </row>
    <row r="22" spans="1:33" ht="15.75" customHeight="1" x14ac:dyDescent="0.2">
      <c r="A22" s="29" t="s">
        <v>76</v>
      </c>
      <c r="B22" s="29" t="s">
        <v>188</v>
      </c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151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>
        <v>0.53531598513011103</v>
      </c>
      <c r="T22" s="29">
        <v>199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0.35746180555555551</v>
      </c>
      <c r="AD22" s="40">
        <f t="shared" si="12"/>
        <v>0</v>
      </c>
      <c r="AE22" s="40">
        <v>-10.54</v>
      </c>
      <c r="AF22" s="40">
        <v>-6.0083518181818176</v>
      </c>
      <c r="AG22" s="40">
        <v>0</v>
      </c>
    </row>
    <row r="23" spans="1:33" ht="15.75" customHeight="1" x14ac:dyDescent="0.2">
      <c r="A23" s="29" t="s">
        <v>77</v>
      </c>
      <c r="B23" s="29" t="s">
        <v>189</v>
      </c>
      <c r="C23" s="16">
        <f t="shared" si="4"/>
        <v>22.132857142857144</v>
      </c>
      <c r="D23" s="30">
        <v>7</v>
      </c>
      <c r="E23" s="30">
        <v>0</v>
      </c>
      <c r="F23" s="33">
        <v>154.93</v>
      </c>
      <c r="G23" s="31">
        <v>0</v>
      </c>
      <c r="H23" s="32">
        <f t="shared" si="1"/>
        <v>0</v>
      </c>
      <c r="I23" s="32">
        <f t="shared" si="2"/>
        <v>8.6812715028683624E-2</v>
      </c>
      <c r="J23" s="33">
        <f t="shared" si="5"/>
        <v>13.449893939393954</v>
      </c>
      <c r="K23" s="33">
        <f t="shared" si="3"/>
        <v>1.9214134199134221</v>
      </c>
      <c r="L23" s="30">
        <v>19</v>
      </c>
      <c r="M23" s="34">
        <f t="shared" si="6"/>
        <v>0.36842105263157893</v>
      </c>
      <c r="N23" s="30">
        <v>147</v>
      </c>
      <c r="O23" s="35">
        <f t="shared" ref="O23:P23" si="31">D23/7</f>
        <v>1</v>
      </c>
      <c r="P23" s="35">
        <f t="shared" si="31"/>
        <v>0</v>
      </c>
      <c r="Q23" s="30">
        <f t="shared" si="8"/>
        <v>147</v>
      </c>
      <c r="R23" s="30"/>
      <c r="S23" s="36">
        <v>0.35476718403547602</v>
      </c>
      <c r="T23" s="29">
        <v>199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0.35746180555555551</v>
      </c>
      <c r="AD23" s="40">
        <f t="shared" si="12"/>
        <v>-2.4021433333333331</v>
      </c>
      <c r="AE23" s="40">
        <v>-10.54</v>
      </c>
      <c r="AF23" s="40">
        <v>-6.0083518181818176</v>
      </c>
      <c r="AG23" s="40">
        <v>0</v>
      </c>
    </row>
    <row r="24" spans="1:33" ht="15.75" customHeight="1" x14ac:dyDescent="0.2">
      <c r="A24" s="29" t="s">
        <v>79</v>
      </c>
      <c r="B24" s="29" t="s">
        <v>190</v>
      </c>
      <c r="C24" s="16">
        <f t="shared" si="4"/>
        <v>19.989999999999998</v>
      </c>
      <c r="D24" s="30">
        <v>4</v>
      </c>
      <c r="E24" s="30">
        <v>0</v>
      </c>
      <c r="F24" s="33">
        <v>79.959999999999994</v>
      </c>
      <c r="G24" s="33">
        <v>-0.03</v>
      </c>
      <c r="H24" s="32">
        <f t="shared" si="1"/>
        <v>3.7518759379689845E-4</v>
      </c>
      <c r="I24" s="32">
        <f t="shared" si="2"/>
        <v>4.6265557020934113E-3</v>
      </c>
      <c r="J24" s="33">
        <f t="shared" si="5"/>
        <v>0.36993939393938913</v>
      </c>
      <c r="K24" s="33">
        <f t="shared" si="3"/>
        <v>9.2484848484847282E-2</v>
      </c>
      <c r="L24" s="30">
        <v>22</v>
      </c>
      <c r="M24" s="34">
        <f t="shared" si="6"/>
        <v>0.18181818181818182</v>
      </c>
      <c r="N24" s="30">
        <v>134</v>
      </c>
      <c r="O24" s="35">
        <f t="shared" ref="O24:P24" si="32">D24/7</f>
        <v>0.5714285714285714</v>
      </c>
      <c r="P24" s="35">
        <f t="shared" si="32"/>
        <v>0</v>
      </c>
      <c r="Q24" s="30">
        <f t="shared" si="8"/>
        <v>234</v>
      </c>
      <c r="R24" s="30"/>
      <c r="S24" s="36">
        <v>0.403669724770642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Summary!A1:AD5000""),9,FALSE),"""")"),199)</f>
        <v>199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0.35746180555555551</v>
      </c>
      <c r="AD24" s="40">
        <f t="shared" si="12"/>
        <v>-1.3726533333333331</v>
      </c>
      <c r="AE24" s="40">
        <v>-10.54</v>
      </c>
      <c r="AF24" s="40">
        <v>-6.0083518181818176</v>
      </c>
      <c r="AG24" s="40">
        <v>0</v>
      </c>
    </row>
    <row r="25" spans="1:33" ht="15.75" customHeight="1" x14ac:dyDescent="0.2">
      <c r="A25" s="15" t="s">
        <v>81</v>
      </c>
      <c r="B25" s="15" t="s">
        <v>191</v>
      </c>
      <c r="C25" s="16">
        <f t="shared" si="4"/>
        <v>19.990000000000002</v>
      </c>
      <c r="D25" s="17">
        <v>7</v>
      </c>
      <c r="E25" s="17">
        <v>0</v>
      </c>
      <c r="F25" s="18">
        <v>139.93</v>
      </c>
      <c r="G25" s="18">
        <v>0</v>
      </c>
      <c r="H25" s="32">
        <f t="shared" si="1"/>
        <v>0</v>
      </c>
      <c r="I25" s="32">
        <f t="shared" si="2"/>
        <v>4.9192929798231866E-3</v>
      </c>
      <c r="J25" s="33">
        <f t="shared" si="5"/>
        <v>0.68835666666665851</v>
      </c>
      <c r="K25" s="33">
        <f t="shared" si="3"/>
        <v>9.8336666666665504E-2</v>
      </c>
      <c r="L25" s="17">
        <v>16</v>
      </c>
      <c r="M25" s="34">
        <f t="shared" si="6"/>
        <v>0.4375</v>
      </c>
      <c r="N25" s="17">
        <v>126</v>
      </c>
      <c r="O25" s="35">
        <f t="shared" ref="O25:P25" si="33">D25/7</f>
        <v>1</v>
      </c>
      <c r="P25" s="35">
        <f t="shared" si="33"/>
        <v>0</v>
      </c>
      <c r="Q25" s="30">
        <f t="shared" si="8"/>
        <v>126</v>
      </c>
      <c r="R25" s="30"/>
      <c r="S25" s="36">
        <v>0.403669724770642</v>
      </c>
      <c r="T25" s="29">
        <v>199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0.35746180555555551</v>
      </c>
      <c r="AD25" s="40">
        <f t="shared" si="12"/>
        <v>-2.4021433333333331</v>
      </c>
      <c r="AE25" s="26">
        <v>-10.54</v>
      </c>
      <c r="AF25" s="26">
        <v>-6.01</v>
      </c>
      <c r="AG25" s="26">
        <v>0</v>
      </c>
    </row>
    <row r="26" spans="1:33" ht="15.75" customHeight="1" x14ac:dyDescent="0.2">
      <c r="A26" s="15" t="s">
        <v>83</v>
      </c>
      <c r="B26" s="15" t="s">
        <v>192</v>
      </c>
      <c r="C26" s="16">
        <f t="shared" si="4"/>
        <v>19.989999999999998</v>
      </c>
      <c r="D26" s="17">
        <v>11</v>
      </c>
      <c r="E26" s="17">
        <v>0</v>
      </c>
      <c r="F26" s="18">
        <v>219.89</v>
      </c>
      <c r="G26" s="18">
        <v>0</v>
      </c>
      <c r="H26" s="32">
        <f t="shared" si="1"/>
        <v>0</v>
      </c>
      <c r="I26" s="32">
        <f t="shared" si="2"/>
        <v>-1.5008261706610406E-2</v>
      </c>
      <c r="J26" s="33">
        <f t="shared" si="5"/>
        <v>-3.3001666666665619</v>
      </c>
      <c r="K26" s="33">
        <f t="shared" si="3"/>
        <v>-0.30001515151514196</v>
      </c>
      <c r="L26" s="17">
        <v>23</v>
      </c>
      <c r="M26" s="34">
        <f t="shared" si="6"/>
        <v>0.47826086956521741</v>
      </c>
      <c r="N26" s="17">
        <v>114</v>
      </c>
      <c r="O26" s="35">
        <f t="shared" ref="O26:P26" si="34">D26/7</f>
        <v>1.5714285714285714</v>
      </c>
      <c r="P26" s="35">
        <f t="shared" si="34"/>
        <v>0</v>
      </c>
      <c r="Q26" s="30">
        <f t="shared" si="8"/>
        <v>72</v>
      </c>
      <c r="R26" s="30"/>
      <c r="S26" s="22">
        <v>0.60759493670886078</v>
      </c>
      <c r="T26" s="29">
        <v>199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0.35746180555555551</v>
      </c>
      <c r="AD26" s="40">
        <f t="shared" si="12"/>
        <v>-3.7747966666666661</v>
      </c>
      <c r="AE26" s="26">
        <v>-10.94</v>
      </c>
      <c r="AF26" s="26">
        <v>-6.0083518181818096</v>
      </c>
      <c r="AG26" s="26">
        <v>0</v>
      </c>
    </row>
    <row r="27" spans="1:33" ht="15.75" customHeight="1" x14ac:dyDescent="0.2">
      <c r="A27" s="15" t="s">
        <v>84</v>
      </c>
      <c r="B27" s="15" t="s">
        <v>193</v>
      </c>
      <c r="C27" s="16">
        <f t="shared" si="4"/>
        <v>19.989999999999998</v>
      </c>
      <c r="D27" s="17">
        <v>12</v>
      </c>
      <c r="E27" s="17">
        <v>0</v>
      </c>
      <c r="F27" s="18">
        <v>239.88</v>
      </c>
      <c r="G27" s="18">
        <v>-0.06</v>
      </c>
      <c r="H27" s="32">
        <f t="shared" si="1"/>
        <v>2.5012506253126561E-4</v>
      </c>
      <c r="I27" s="32">
        <f t="shared" si="2"/>
        <v>-3.1933390937892818E-2</v>
      </c>
      <c r="J27" s="33">
        <f t="shared" si="5"/>
        <v>-7.6601818181817292</v>
      </c>
      <c r="K27" s="33">
        <f t="shared" si="3"/>
        <v>-0.63834848484847739</v>
      </c>
      <c r="L27" s="17">
        <v>29</v>
      </c>
      <c r="M27" s="34">
        <f t="shared" si="6"/>
        <v>0.41379310344827586</v>
      </c>
      <c r="N27" s="17">
        <v>102</v>
      </c>
      <c r="O27" s="35">
        <f t="shared" ref="O27:P27" si="35">D27/7</f>
        <v>1.7142857142857142</v>
      </c>
      <c r="P27" s="35">
        <f t="shared" si="35"/>
        <v>0</v>
      </c>
      <c r="Q27" s="30">
        <f t="shared" si="8"/>
        <v>59</v>
      </c>
      <c r="R27" s="30"/>
      <c r="S27" s="22">
        <v>0.51773049645390068</v>
      </c>
      <c r="T27" s="29">
        <v>199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0.35746180555555551</v>
      </c>
      <c r="AD27" s="40">
        <f t="shared" si="12"/>
        <v>-4.1179599999999992</v>
      </c>
      <c r="AE27" s="26">
        <v>-10.94</v>
      </c>
      <c r="AF27" s="26">
        <v>-6.0083518181818096</v>
      </c>
      <c r="AG27" s="26">
        <v>-4</v>
      </c>
    </row>
    <row r="28" spans="1:33" ht="15.75" customHeight="1" x14ac:dyDescent="0.2">
      <c r="A28" s="15" t="s">
        <v>85</v>
      </c>
      <c r="B28" s="15" t="s">
        <v>194</v>
      </c>
      <c r="C28" s="16">
        <f t="shared" si="4"/>
        <v>21.411111111111111</v>
      </c>
      <c r="D28" s="17">
        <v>9</v>
      </c>
      <c r="E28" s="17">
        <v>0</v>
      </c>
      <c r="F28" s="18">
        <v>192.7</v>
      </c>
      <c r="G28" s="18">
        <v>-0.16</v>
      </c>
      <c r="H28" s="32">
        <f t="shared" si="1"/>
        <v>8.303061754021796E-4</v>
      </c>
      <c r="I28" s="32">
        <f t="shared" si="2"/>
        <v>4.1574279379157829E-2</v>
      </c>
      <c r="J28" s="33">
        <f t="shared" si="5"/>
        <v>8.0113636363637131</v>
      </c>
      <c r="K28" s="33">
        <f t="shared" si="3"/>
        <v>0.89015151515152369</v>
      </c>
      <c r="L28" s="17">
        <v>34</v>
      </c>
      <c r="M28" s="34">
        <f t="shared" si="6"/>
        <v>0.26470588235294118</v>
      </c>
      <c r="N28" s="17">
        <v>93</v>
      </c>
      <c r="O28" s="35">
        <f t="shared" ref="O28:P28" si="36">D28/7</f>
        <v>1.2857142857142858</v>
      </c>
      <c r="P28" s="35">
        <f t="shared" si="36"/>
        <v>0</v>
      </c>
      <c r="Q28" s="30">
        <f t="shared" si="8"/>
        <v>72</v>
      </c>
      <c r="R28" s="30"/>
      <c r="S28" s="22">
        <v>0.58518518518518514</v>
      </c>
      <c r="T28" s="15" t="s">
        <v>34</v>
      </c>
      <c r="U28" s="23" t="s">
        <v>34</v>
      </c>
      <c r="V28" s="1" t="s">
        <v>195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0.35746180555555551</v>
      </c>
      <c r="AD28" s="40">
        <f t="shared" si="12"/>
        <v>-3.0884699999999992</v>
      </c>
      <c r="AE28" s="26">
        <v>-10.94</v>
      </c>
      <c r="AF28" s="26">
        <v>-6.0083518181818096</v>
      </c>
      <c r="AG28" s="26">
        <v>0</v>
      </c>
    </row>
    <row r="29" spans="1:33" ht="15.75" customHeight="1" x14ac:dyDescent="0.2">
      <c r="A29" s="15" t="s">
        <v>88</v>
      </c>
      <c r="B29" s="15" t="s">
        <v>196</v>
      </c>
      <c r="C29" s="16">
        <f t="shared" si="4"/>
        <v>20.123333333333331</v>
      </c>
      <c r="D29" s="17">
        <v>6</v>
      </c>
      <c r="E29" s="17">
        <v>0</v>
      </c>
      <c r="F29" s="18">
        <v>120.74</v>
      </c>
      <c r="G29" s="18">
        <v>-0.08</v>
      </c>
      <c r="H29" s="32">
        <f t="shared" si="1"/>
        <v>6.6258075202915365E-4</v>
      </c>
      <c r="I29" s="32">
        <f t="shared" si="2"/>
        <v>-9.9394642131097333E-3</v>
      </c>
      <c r="J29" s="33">
        <f t="shared" si="5"/>
        <v>-1.2000909090908691</v>
      </c>
      <c r="K29" s="33">
        <f t="shared" si="3"/>
        <v>-0.20001515151514485</v>
      </c>
      <c r="L29" s="17">
        <v>37</v>
      </c>
      <c r="M29" s="34">
        <f t="shared" si="6"/>
        <v>0.16216216216216217</v>
      </c>
      <c r="N29" s="17">
        <v>90</v>
      </c>
      <c r="O29" s="35">
        <f t="shared" ref="O29:P29" si="37">D29/7</f>
        <v>0.8571428571428571</v>
      </c>
      <c r="P29" s="35">
        <f t="shared" si="37"/>
        <v>0</v>
      </c>
      <c r="Q29" s="30">
        <f t="shared" si="8"/>
        <v>105</v>
      </c>
      <c r="R29" s="30"/>
      <c r="S29" s="22">
        <v>0.60582524271844662</v>
      </c>
      <c r="T29" s="15" t="s">
        <v>34</v>
      </c>
      <c r="U29" s="23" t="s">
        <v>34</v>
      </c>
      <c r="V29" s="1" t="s">
        <v>195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0.35746180555555551</v>
      </c>
      <c r="AD29" s="40">
        <f t="shared" si="12"/>
        <v>-2.0589799999999996</v>
      </c>
      <c r="AE29" s="26">
        <v>-10.94</v>
      </c>
      <c r="AF29" s="26">
        <v>-6.0083518181818096</v>
      </c>
      <c r="AG29" s="26">
        <v>0</v>
      </c>
    </row>
    <row r="30" spans="1:33" ht="15.75" customHeight="1" x14ac:dyDescent="0.2">
      <c r="A30" s="15" t="s">
        <v>90</v>
      </c>
      <c r="B30" s="15" t="s">
        <v>197</v>
      </c>
      <c r="C30" s="16">
        <f t="shared" si="4"/>
        <v>19.989999999999998</v>
      </c>
      <c r="D30" s="17">
        <v>8</v>
      </c>
      <c r="E30" s="17">
        <v>0</v>
      </c>
      <c r="F30" s="18">
        <v>159.91999999999999</v>
      </c>
      <c r="G30" s="18">
        <v>-0.2</v>
      </c>
      <c r="H30" s="32">
        <f t="shared" si="1"/>
        <v>1.2506253126563283E-3</v>
      </c>
      <c r="I30" s="32">
        <f t="shared" si="2"/>
        <v>-7.4068701017175193E-2</v>
      </c>
      <c r="J30" s="33">
        <f t="shared" si="5"/>
        <v>-11.845066666666655</v>
      </c>
      <c r="K30" s="33">
        <f t="shared" si="3"/>
        <v>-1.4806333333333319</v>
      </c>
      <c r="L30" s="17">
        <v>35</v>
      </c>
      <c r="M30" s="34">
        <f t="shared" si="6"/>
        <v>0.22857142857142856</v>
      </c>
      <c r="N30" s="17">
        <v>82</v>
      </c>
      <c r="O30" s="35">
        <f t="shared" ref="O30:P30" si="38">D30/7</f>
        <v>1.1428571428571428</v>
      </c>
      <c r="P30" s="35">
        <f t="shared" si="38"/>
        <v>0</v>
      </c>
      <c r="Q30" s="30">
        <f t="shared" si="8"/>
        <v>71</v>
      </c>
      <c r="R30" s="30"/>
      <c r="S30" s="22">
        <v>0.66108786610878656</v>
      </c>
      <c r="T30" s="15" t="s">
        <v>34</v>
      </c>
      <c r="U30" s="23" t="s">
        <v>34</v>
      </c>
      <c r="V30" s="1" t="s">
        <v>195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0.35746180555555551</v>
      </c>
      <c r="AD30" s="40">
        <f t="shared" si="12"/>
        <v>-2.7453066666666661</v>
      </c>
      <c r="AE30" s="26">
        <v>-10.94</v>
      </c>
      <c r="AF30" s="26">
        <v>-6.9139699999999999</v>
      </c>
      <c r="AG30" s="26">
        <v>-2</v>
      </c>
    </row>
    <row r="31" spans="1:33" ht="15.75" customHeight="1" x14ac:dyDescent="0.2">
      <c r="A31" s="29" t="s">
        <v>93</v>
      </c>
      <c r="B31" s="29" t="s">
        <v>198</v>
      </c>
      <c r="C31" s="16">
        <f t="shared" si="4"/>
        <v>19.990000000000002</v>
      </c>
      <c r="D31" s="17">
        <v>10</v>
      </c>
      <c r="E31" s="17">
        <v>0</v>
      </c>
      <c r="F31" s="18">
        <v>199.9</v>
      </c>
      <c r="G31" s="18">
        <v>0</v>
      </c>
      <c r="H31" s="32">
        <f t="shared" si="1"/>
        <v>0</v>
      </c>
      <c r="I31" s="32">
        <f t="shared" si="2"/>
        <v>-6.0311822577955587E-2</v>
      </c>
      <c r="J31" s="33">
        <f t="shared" si="5"/>
        <v>-12.056333333333322</v>
      </c>
      <c r="K31" s="33">
        <f t="shared" si="3"/>
        <v>-1.2056333333333322</v>
      </c>
      <c r="L31" s="17">
        <v>27</v>
      </c>
      <c r="M31" s="34">
        <f t="shared" si="6"/>
        <v>0.37037037037037035</v>
      </c>
      <c r="N31" s="17">
        <v>71</v>
      </c>
      <c r="O31" s="35">
        <f t="shared" ref="O31:P31" si="39">D31/7</f>
        <v>1.4285714285714286</v>
      </c>
      <c r="P31" s="35">
        <f t="shared" si="39"/>
        <v>0</v>
      </c>
      <c r="Q31" s="30">
        <f t="shared" si="8"/>
        <v>49</v>
      </c>
      <c r="R31" s="30"/>
      <c r="S31" s="22">
        <v>0.76394849785407704</v>
      </c>
      <c r="T31" s="15">
        <v>199</v>
      </c>
      <c r="U31" s="23" t="s">
        <v>34</v>
      </c>
      <c r="V31" s="1" t="s">
        <v>195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0.35746180555555551</v>
      </c>
      <c r="AD31" s="40">
        <f t="shared" si="12"/>
        <v>-3.4316333333333326</v>
      </c>
      <c r="AE31" s="26">
        <v>-10.94</v>
      </c>
      <c r="AF31" s="43">
        <v>-6.9139699999999991</v>
      </c>
      <c r="AG31" s="26">
        <v>0</v>
      </c>
    </row>
    <row r="32" spans="1:33" ht="15.75" customHeight="1" x14ac:dyDescent="0.2">
      <c r="A32" s="15" t="s">
        <v>96</v>
      </c>
      <c r="B32" s="44" t="s">
        <v>54</v>
      </c>
      <c r="C32" s="16">
        <f t="shared" si="4"/>
        <v>23.323333333333334</v>
      </c>
      <c r="D32" s="17">
        <v>6</v>
      </c>
      <c r="E32" s="17">
        <v>0</v>
      </c>
      <c r="F32" s="18">
        <v>139.94</v>
      </c>
      <c r="G32" s="18">
        <v>-0.06</v>
      </c>
      <c r="H32" s="32">
        <f t="shared" si="1"/>
        <v>4.2875518079176791E-4</v>
      </c>
      <c r="I32" s="32">
        <f t="shared" si="2"/>
        <v>6.9359725596684296E-2</v>
      </c>
      <c r="J32" s="33">
        <f t="shared" si="5"/>
        <v>9.7062000000000008</v>
      </c>
      <c r="K32" s="33">
        <f t="shared" si="3"/>
        <v>1.6177000000000001</v>
      </c>
      <c r="L32" s="17">
        <v>24</v>
      </c>
      <c r="M32" s="34">
        <f t="shared" si="6"/>
        <v>0.25</v>
      </c>
      <c r="N32" s="17">
        <v>66</v>
      </c>
      <c r="O32" s="35">
        <f t="shared" ref="O32:P32" si="40">D32/7</f>
        <v>0.8571428571428571</v>
      </c>
      <c r="P32" s="35">
        <f t="shared" si="40"/>
        <v>0</v>
      </c>
      <c r="Q32" s="30">
        <f t="shared" si="8"/>
        <v>77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0.71690427698574333</v>
      </c>
      <c r="T32" s="15">
        <f ca="1">IFERROR(__xludf.DUMMYFUNCTION("IFERROR(VLOOKUP($B$2,IMPORTRANGE(""https://docs.google.com/spreadsheets/d/1KiWZV1ko8G7lnRucBRBd29jj3Be6ltMfljMDqzOkQmI/edit#gid=1381463014"",""Lookup!A:D""),4,FALSE),"""")"),199)</f>
        <v>199</v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IFERROR(__xludf.DUMMYFUNCTION("IFERROR(VLOOKUP($B$2,IMPORTRANGE(""https://docs.google.com/spreadsheets/d/1KiWZV1ko8G7lnRucBRBd29jj3Be6ltMfljMDqzOkQmI/edit#gid=1381463014"",""Lookup!A:D""),2,FALSE),"""")"),"No Transit, But 199 At Factory 50-75 days from Earliest Arrival")</f>
        <v>No Transit, But 199 At Factory 50-75 days from Earliest Arrival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0.35746180555555551</v>
      </c>
      <c r="AD32" s="40">
        <f t="shared" si="12"/>
        <v>-2.0589799999999996</v>
      </c>
      <c r="AE32" s="26">
        <v>-10.94</v>
      </c>
      <c r="AF32" s="26">
        <v>-6.9139699999999999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33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- 18x22 Inch White Framed Hanging Chalk Board")</f>
        <v>Magnetic Kitchen Chalkboard Sign - 18x22 Inch White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Info!B1:BJ5000""),2,FALSE),"""")"),"B07JMXDCJY")</f>
        <v>B07JMXDCJY</v>
      </c>
      <c r="B2" s="3" t="s">
        <v>199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24.5" customHeight="1" x14ac:dyDescent="0.2">
      <c r="A3" s="57" t="s">
        <v>31</v>
      </c>
      <c r="B3" s="58"/>
      <c r="C3" s="4">
        <f>((AE32+AF32)/0.85)*-1</f>
        <v>21.224588235294117</v>
      </c>
      <c r="D3" s="5">
        <f>SUM(D4:D99519)</f>
        <v>107</v>
      </c>
      <c r="E3" s="5"/>
      <c r="F3" s="6">
        <f t="shared" ref="F3:G3" si="0">SUM(F4:F99519)</f>
        <v>2393.5600000000004</v>
      </c>
      <c r="G3" s="6">
        <f t="shared" si="0"/>
        <v>-108.02</v>
      </c>
      <c r="H3" s="7">
        <f t="shared" ref="H3:H32" si="1">G3/F3*-1</f>
        <v>4.5129430638880988E-2</v>
      </c>
      <c r="I3" s="8">
        <f t="shared" ref="I3:I32" si="2">J3/F3</f>
        <v>2.3798650621592362E-2</v>
      </c>
      <c r="J3" s="6">
        <f>SUM(J4:J99519)</f>
        <v>56.963498181818622</v>
      </c>
      <c r="K3" s="6">
        <f t="shared" ref="K3:K32" si="3">J3/D3</f>
        <v>0.53236914188615536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Sheet!a1:g5000""),2,FALSE),"""")"),"1.0 - March
1.0 - April
1.0 - May
1.0 - June
1.0 - July
1.0 - Aug
1.0 - Sept
1.0 - Oct
1.0 - Nov
1.0 - Dec
1.0 - Jan
1.0 - Feb")</f>
        <v>1.0 - March
1.0 - April
1.0 - May
1.0 - June
1.0 - July
1.0 - Aug
1.0 - Sept
1.0 - Oct
1.0 - Nov
1.0 - Dec
1.0 - Jan
1.0 -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2</v>
      </c>
      <c r="X3" s="7">
        <f>W3/D3</f>
        <v>1.8691588785046728E-2</v>
      </c>
      <c r="Y3" s="6"/>
      <c r="Z3" s="5"/>
      <c r="AA3" s="5"/>
      <c r="AB3" s="5"/>
      <c r="AC3" s="5"/>
      <c r="AD3" s="6">
        <f>SUM(AD4:AD99519)</f>
        <v>-36.910719999999998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Info!B2:BZ3000""),37,FALSE)),"""")*-1"),-7.1009)</f>
        <v>-7.1009000000000002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240</v>
      </c>
      <c r="U4" s="23">
        <v>120</v>
      </c>
      <c r="V4" s="24" t="s">
        <v>200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-5.6680090909090906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240</v>
      </c>
      <c r="U5" s="37">
        <v>120</v>
      </c>
      <c r="V5" s="38" t="s">
        <v>201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-5.6680090909090906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240</v>
      </c>
      <c r="U6" s="37">
        <v>120</v>
      </c>
      <c r="V6" s="38" t="s">
        <v>202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-5.6680090909090906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240</v>
      </c>
      <c r="U7" s="37">
        <v>120</v>
      </c>
      <c r="V7" s="38" t="s">
        <v>203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-5.6680090909090906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240</v>
      </c>
      <c r="U8" s="37">
        <v>120</v>
      </c>
      <c r="V8" s="38" t="s">
        <v>204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-5.67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240</v>
      </c>
      <c r="U9" s="37">
        <v>120</v>
      </c>
      <c r="V9" s="38" t="s">
        <v>205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-6.01346363636363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120</v>
      </c>
      <c r="U10" s="37">
        <v>120</v>
      </c>
      <c r="V10" s="38" t="s">
        <v>206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-6.01346363636363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120</v>
      </c>
      <c r="U11" s="37">
        <v>120</v>
      </c>
      <c r="V11" s="38" t="s">
        <v>206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-6.01346363636363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120</v>
      </c>
      <c r="U12" s="37">
        <v>120</v>
      </c>
      <c r="V12" s="38" t="s">
        <v>207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-6.01346363636363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120</v>
      </c>
      <c r="U13" s="37">
        <v>120</v>
      </c>
      <c r="V13" s="38" t="s">
        <v>208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-6.1952818181818099</v>
      </c>
      <c r="AG13" s="40">
        <v>0</v>
      </c>
    </row>
    <row r="14" spans="1:33" ht="15.75" customHeight="1" x14ac:dyDescent="0.2">
      <c r="A14" s="29" t="s">
        <v>59</v>
      </c>
      <c r="B14" s="29" t="s">
        <v>162</v>
      </c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121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>
        <v>3.125E-2</v>
      </c>
      <c r="T14" s="29">
        <v>200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0.35933333333333334</v>
      </c>
      <c r="AD14" s="40">
        <f t="shared" si="12"/>
        <v>0</v>
      </c>
      <c r="AE14" s="40">
        <v>-10.54</v>
      </c>
      <c r="AF14" s="40">
        <v>-6.1952818181818099</v>
      </c>
      <c r="AG14" s="40">
        <v>0</v>
      </c>
    </row>
    <row r="15" spans="1:33" ht="15.75" customHeight="1" x14ac:dyDescent="0.2">
      <c r="A15" s="29" t="s">
        <v>61</v>
      </c>
      <c r="B15" s="29" t="s">
        <v>209</v>
      </c>
      <c r="C15" s="16">
        <f t="shared" si="4"/>
        <v>24.973333333333333</v>
      </c>
      <c r="D15" s="30">
        <v>3</v>
      </c>
      <c r="E15" s="30">
        <v>0</v>
      </c>
      <c r="F15" s="33">
        <v>74.92</v>
      </c>
      <c r="G15" s="31">
        <v>0</v>
      </c>
      <c r="H15" s="32">
        <f t="shared" si="1"/>
        <v>0</v>
      </c>
      <c r="I15" s="32">
        <f t="shared" si="2"/>
        <v>0.16606079211765321</v>
      </c>
      <c r="J15" s="33">
        <f t="shared" si="5"/>
        <v>12.441274545454577</v>
      </c>
      <c r="K15" s="33">
        <f t="shared" si="3"/>
        <v>4.1470915151515255</v>
      </c>
      <c r="L15" s="30">
        <v>16</v>
      </c>
      <c r="M15" s="34">
        <f t="shared" si="6"/>
        <v>0.1875</v>
      </c>
      <c r="N15" s="30">
        <v>116</v>
      </c>
      <c r="O15" s="35">
        <f t="shared" ref="O15:P15" si="23">D15/7</f>
        <v>0.42857142857142855</v>
      </c>
      <c r="P15" s="35">
        <f t="shared" si="23"/>
        <v>0</v>
      </c>
      <c r="Q15" s="30">
        <f t="shared" si="8"/>
        <v>270</v>
      </c>
      <c r="R15" s="30"/>
      <c r="S15" s="36">
        <v>9.6000000000000002E-2</v>
      </c>
      <c r="T15" s="29">
        <v>200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0.35933333333333334</v>
      </c>
      <c r="AD15" s="40">
        <f t="shared" si="12"/>
        <v>-1.03488</v>
      </c>
      <c r="AE15" s="40">
        <v>-10.54</v>
      </c>
      <c r="AF15" s="40">
        <v>-6.1952818181818099</v>
      </c>
      <c r="AG15" s="40">
        <v>0</v>
      </c>
    </row>
    <row r="16" spans="1:33" ht="15.75" customHeight="1" x14ac:dyDescent="0.2">
      <c r="A16" s="29" t="s">
        <v>64</v>
      </c>
      <c r="B16" s="29" t="s">
        <v>183</v>
      </c>
      <c r="C16" s="16">
        <f t="shared" si="4"/>
        <v>23.99</v>
      </c>
      <c r="D16" s="30">
        <v>2</v>
      </c>
      <c r="E16" s="30">
        <v>0</v>
      </c>
      <c r="F16" s="33">
        <v>47.98</v>
      </c>
      <c r="G16" s="31">
        <v>-40.92</v>
      </c>
      <c r="H16" s="32">
        <f t="shared" si="1"/>
        <v>0.85285535639849952</v>
      </c>
      <c r="I16" s="32">
        <f t="shared" si="2"/>
        <v>-0.7148287544052444</v>
      </c>
      <c r="J16" s="33">
        <f t="shared" si="5"/>
        <v>-34.297483636363623</v>
      </c>
      <c r="K16" s="33">
        <f t="shared" si="3"/>
        <v>-17.148741818181811</v>
      </c>
      <c r="L16" s="30">
        <v>21</v>
      </c>
      <c r="M16" s="34">
        <f t="shared" si="6"/>
        <v>9.5238095238095233E-2</v>
      </c>
      <c r="N16" s="30">
        <v>114</v>
      </c>
      <c r="O16" s="35">
        <f t="shared" ref="O16:P16" si="24">D16/7</f>
        <v>0.2857142857142857</v>
      </c>
      <c r="P16" s="35">
        <f t="shared" si="24"/>
        <v>0</v>
      </c>
      <c r="Q16" s="30">
        <f t="shared" si="8"/>
        <v>399</v>
      </c>
      <c r="R16" s="30"/>
      <c r="S16" s="36">
        <v>0.16806722689075601</v>
      </c>
      <c r="T16" s="29">
        <v>200</v>
      </c>
      <c r="U16" s="37" t="s">
        <v>34</v>
      </c>
      <c r="V16" s="38" t="s">
        <v>34</v>
      </c>
      <c r="W16" s="29">
        <v>1</v>
      </c>
      <c r="X16" s="39">
        <f t="shared" si="9"/>
        <v>0.5</v>
      </c>
      <c r="Y16" s="40">
        <f t="shared" si="10"/>
        <v>40.92</v>
      </c>
      <c r="Z16" s="29">
        <v>0</v>
      </c>
      <c r="AA16" s="29" t="s">
        <v>163</v>
      </c>
      <c r="AB16" s="41">
        <f t="shared" si="11"/>
        <v>-0.48</v>
      </c>
      <c r="AC16" s="42">
        <v>0.35933333333333334</v>
      </c>
      <c r="AD16" s="40">
        <f t="shared" si="12"/>
        <v>-0.68991999999999998</v>
      </c>
      <c r="AE16" s="40">
        <v>-10.54</v>
      </c>
      <c r="AF16" s="40">
        <v>-6.1952818181818099</v>
      </c>
      <c r="AG16" s="40">
        <v>0</v>
      </c>
    </row>
    <row r="17" spans="1:33" ht="15.75" customHeight="1" x14ac:dyDescent="0.2">
      <c r="A17" s="29" t="s">
        <v>66</v>
      </c>
      <c r="B17" s="29" t="s">
        <v>183</v>
      </c>
      <c r="C17" s="16">
        <f t="shared" si="4"/>
        <v>23.99</v>
      </c>
      <c r="D17" s="30">
        <v>1</v>
      </c>
      <c r="E17" s="30">
        <v>0</v>
      </c>
      <c r="F17" s="33">
        <v>23.99</v>
      </c>
      <c r="G17" s="31">
        <v>-38.82</v>
      </c>
      <c r="H17" s="32">
        <f t="shared" si="1"/>
        <v>1.6181742392663612</v>
      </c>
      <c r="I17" s="32">
        <f t="shared" si="2"/>
        <v>-1.4801476372731059</v>
      </c>
      <c r="J17" s="33">
        <f t="shared" si="5"/>
        <v>-35.508741818181811</v>
      </c>
      <c r="K17" s="33">
        <f t="shared" si="3"/>
        <v>-35.508741818181811</v>
      </c>
      <c r="L17" s="30">
        <v>22</v>
      </c>
      <c r="M17" s="34">
        <f t="shared" si="6"/>
        <v>4.5454545454545456E-2</v>
      </c>
      <c r="N17" s="30">
        <v>113</v>
      </c>
      <c r="O17" s="35">
        <f t="shared" ref="O17:P17" si="25">D17/7</f>
        <v>0.14285714285714285</v>
      </c>
      <c r="P17" s="35">
        <f t="shared" si="25"/>
        <v>0</v>
      </c>
      <c r="Q17" s="30">
        <f t="shared" si="8"/>
        <v>791</v>
      </c>
      <c r="R17" s="30"/>
      <c r="S17" s="36">
        <v>0.20338983050847401</v>
      </c>
      <c r="T17" s="29">
        <v>200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19.41</v>
      </c>
      <c r="Z17" s="29">
        <v>2</v>
      </c>
      <c r="AA17" s="29" t="s">
        <v>163</v>
      </c>
      <c r="AB17" s="41">
        <f t="shared" si="11"/>
        <v>-0.48</v>
      </c>
      <c r="AC17" s="42">
        <v>0.35933333333333334</v>
      </c>
      <c r="AD17" s="40">
        <f t="shared" si="12"/>
        <v>-0.34495999999999999</v>
      </c>
      <c r="AE17" s="40">
        <v>-10.54</v>
      </c>
      <c r="AF17" s="40">
        <v>-6.1952818181818099</v>
      </c>
      <c r="AG17" s="40">
        <v>0</v>
      </c>
    </row>
    <row r="18" spans="1:33" ht="15.75" customHeight="1" x14ac:dyDescent="0.2">
      <c r="A18" s="29" t="s">
        <v>69</v>
      </c>
      <c r="B18" s="29" t="s">
        <v>210</v>
      </c>
      <c r="C18" s="16">
        <f t="shared" si="4"/>
        <v>23.99</v>
      </c>
      <c r="D18" s="30">
        <v>6</v>
      </c>
      <c r="E18" s="30">
        <v>0</v>
      </c>
      <c r="F18" s="33">
        <v>143.94</v>
      </c>
      <c r="G18" s="31">
        <v>-27.77</v>
      </c>
      <c r="H18" s="32">
        <f t="shared" si="1"/>
        <v>0.19292760872585799</v>
      </c>
      <c r="I18" s="32">
        <f t="shared" si="2"/>
        <v>-5.4901006732602876E-2</v>
      </c>
      <c r="J18" s="33">
        <f t="shared" si="5"/>
        <v>-7.9024509090908577</v>
      </c>
      <c r="K18" s="33">
        <f t="shared" si="3"/>
        <v>-1.3170751515151429</v>
      </c>
      <c r="L18" s="30">
        <v>15</v>
      </c>
      <c r="M18" s="34">
        <f t="shared" si="6"/>
        <v>0.4</v>
      </c>
      <c r="N18" s="30">
        <v>107</v>
      </c>
      <c r="O18" s="35">
        <f t="shared" ref="O18:P18" si="26">D18/7</f>
        <v>0.8571428571428571</v>
      </c>
      <c r="P18" s="35">
        <f t="shared" si="26"/>
        <v>0</v>
      </c>
      <c r="Q18" s="30">
        <f t="shared" si="8"/>
        <v>124</v>
      </c>
      <c r="R18" s="30"/>
      <c r="S18" s="36">
        <v>0.35398230088495503</v>
      </c>
      <c r="T18" s="29">
        <v>200</v>
      </c>
      <c r="U18" s="37" t="s">
        <v>34</v>
      </c>
      <c r="V18" s="38" t="s">
        <v>34</v>
      </c>
      <c r="W18" s="29">
        <v>1</v>
      </c>
      <c r="X18" s="39">
        <f t="shared" si="9"/>
        <v>0.16666666666666666</v>
      </c>
      <c r="Y18" s="40">
        <f t="shared" si="10"/>
        <v>27.77</v>
      </c>
      <c r="Z18" s="29">
        <v>0</v>
      </c>
      <c r="AA18" s="29" t="s">
        <v>163</v>
      </c>
      <c r="AB18" s="41">
        <f t="shared" si="11"/>
        <v>-0.48</v>
      </c>
      <c r="AC18" s="42">
        <v>0.35933333333333334</v>
      </c>
      <c r="AD18" s="40">
        <f t="shared" si="12"/>
        <v>-2.06976</v>
      </c>
      <c r="AE18" s="40">
        <v>-10.54</v>
      </c>
      <c r="AF18" s="40">
        <v>-6.1952818181818099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23.27</v>
      </c>
      <c r="D19" s="30">
        <v>6</v>
      </c>
      <c r="E19" s="30">
        <v>0</v>
      </c>
      <c r="F19" s="33">
        <v>139.62</v>
      </c>
      <c r="G19" s="31">
        <v>-0.08</v>
      </c>
      <c r="H19" s="32">
        <f t="shared" si="1"/>
        <v>5.7298381320727691E-4</v>
      </c>
      <c r="I19" s="32">
        <f t="shared" si="2"/>
        <v>0.11542435962547712</v>
      </c>
      <c r="J19" s="33">
        <f t="shared" si="5"/>
        <v>16.115549090909116</v>
      </c>
      <c r="K19" s="33">
        <f t="shared" si="3"/>
        <v>2.6859248484848526</v>
      </c>
      <c r="L19" s="30">
        <v>20</v>
      </c>
      <c r="M19" s="34">
        <f t="shared" si="6"/>
        <v>0.3</v>
      </c>
      <c r="N19" s="30">
        <v>101</v>
      </c>
      <c r="O19" s="35">
        <f t="shared" ref="O19:P19" si="27">D19/7</f>
        <v>0.8571428571428571</v>
      </c>
      <c r="P19" s="35">
        <f t="shared" si="27"/>
        <v>0</v>
      </c>
      <c r="Q19" s="30">
        <f t="shared" si="8"/>
        <v>117</v>
      </c>
      <c r="R19" s="30"/>
      <c r="S19" s="36">
        <v>0.26431718061673998</v>
      </c>
      <c r="T19" s="29">
        <v>244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0.35933333333333334</v>
      </c>
      <c r="AD19" s="40">
        <f t="shared" si="12"/>
        <v>-2.06976</v>
      </c>
      <c r="AE19" s="40">
        <v>-10.54</v>
      </c>
      <c r="AF19" s="40">
        <v>-6.1952818181818179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22.990000000000002</v>
      </c>
      <c r="D20" s="30">
        <v>9</v>
      </c>
      <c r="E20" s="30">
        <v>0</v>
      </c>
      <c r="F20" s="33">
        <v>206.91000000000003</v>
      </c>
      <c r="G20" s="31">
        <v>0</v>
      </c>
      <c r="H20" s="32">
        <f t="shared" si="1"/>
        <v>0</v>
      </c>
      <c r="I20" s="32">
        <f t="shared" si="2"/>
        <v>0.10705777215390101</v>
      </c>
      <c r="J20" s="33">
        <f t="shared" si="5"/>
        <v>22.15132363636366</v>
      </c>
      <c r="K20" s="33">
        <f t="shared" si="3"/>
        <v>2.4612581818181845</v>
      </c>
      <c r="L20" s="30">
        <v>9</v>
      </c>
      <c r="M20" s="34">
        <f t="shared" si="6"/>
        <v>1</v>
      </c>
      <c r="N20" s="30">
        <v>93</v>
      </c>
      <c r="O20" s="35">
        <f t="shared" ref="O20:P20" si="28">D20/7</f>
        <v>1.2857142857142858</v>
      </c>
      <c r="P20" s="35">
        <f t="shared" si="28"/>
        <v>0</v>
      </c>
      <c r="Q20" s="30">
        <f t="shared" si="8"/>
        <v>72</v>
      </c>
      <c r="R20" s="30"/>
      <c r="S20" s="36">
        <v>0.490566037735849</v>
      </c>
      <c r="T20" s="29">
        <v>244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0.35933333333333334</v>
      </c>
      <c r="AD20" s="40">
        <f t="shared" si="12"/>
        <v>-3.1046399999999998</v>
      </c>
      <c r="AE20" s="40">
        <v>-10.54</v>
      </c>
      <c r="AF20" s="40">
        <v>-6.1952818181818179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22.99</v>
      </c>
      <c r="D21" s="30">
        <v>2</v>
      </c>
      <c r="E21" s="30">
        <v>0</v>
      </c>
      <c r="F21" s="33">
        <v>45.98</v>
      </c>
      <c r="G21" s="31">
        <v>0</v>
      </c>
      <c r="H21" s="32">
        <f t="shared" si="1"/>
        <v>0</v>
      </c>
      <c r="I21" s="32">
        <f t="shared" si="2"/>
        <v>0.10705777215390089</v>
      </c>
      <c r="J21" s="33">
        <f t="shared" si="5"/>
        <v>4.9225163636363627</v>
      </c>
      <c r="K21" s="33">
        <f t="shared" si="3"/>
        <v>2.4612581818181813</v>
      </c>
      <c r="L21" s="30">
        <v>9</v>
      </c>
      <c r="M21" s="34">
        <f t="shared" si="6"/>
        <v>0.22222222222222221</v>
      </c>
      <c r="N21" s="30">
        <v>90</v>
      </c>
      <c r="O21" s="35">
        <f t="shared" ref="O21:P21" si="29">D21/7</f>
        <v>0.2857142857142857</v>
      </c>
      <c r="P21" s="35">
        <f t="shared" si="29"/>
        <v>0</v>
      </c>
      <c r="Q21" s="30">
        <f t="shared" si="8"/>
        <v>315</v>
      </c>
      <c r="R21" s="30"/>
      <c r="S21" s="36">
        <v>0.53846153846153799</v>
      </c>
      <c r="T21" s="29">
        <v>244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0.35933333333333334</v>
      </c>
      <c r="AD21" s="40">
        <f t="shared" si="12"/>
        <v>-0.68991999999999998</v>
      </c>
      <c r="AE21" s="40">
        <v>-10.54</v>
      </c>
      <c r="AF21" s="40">
        <v>-6.1952818181818179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22.99</v>
      </c>
      <c r="D22" s="30">
        <v>5</v>
      </c>
      <c r="E22" s="30">
        <v>0</v>
      </c>
      <c r="F22" s="31">
        <v>114.94999999999999</v>
      </c>
      <c r="G22" s="31">
        <v>0</v>
      </c>
      <c r="H22" s="32">
        <f t="shared" si="1"/>
        <v>0</v>
      </c>
      <c r="I22" s="32">
        <f t="shared" si="2"/>
        <v>0.10705777215390083</v>
      </c>
      <c r="J22" s="33">
        <f t="shared" si="5"/>
        <v>12.306290909090899</v>
      </c>
      <c r="K22" s="33">
        <f t="shared" si="3"/>
        <v>2.46125818181818</v>
      </c>
      <c r="L22" s="30">
        <v>16</v>
      </c>
      <c r="M22" s="34">
        <f t="shared" si="6"/>
        <v>0.3125</v>
      </c>
      <c r="N22" s="30">
        <v>87</v>
      </c>
      <c r="O22" s="35">
        <f t="shared" ref="O22:P22" si="30">D22/7</f>
        <v>0.7142857142857143</v>
      </c>
      <c r="P22" s="35">
        <f t="shared" si="30"/>
        <v>0</v>
      </c>
      <c r="Q22" s="30">
        <f t="shared" si="8"/>
        <v>121</v>
      </c>
      <c r="R22" s="30"/>
      <c r="S22" s="36">
        <v>0.60487804878048701</v>
      </c>
      <c r="T22" s="29">
        <v>244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0.35933333333333334</v>
      </c>
      <c r="AD22" s="40">
        <f t="shared" si="12"/>
        <v>-1.7247999999999999</v>
      </c>
      <c r="AE22" s="40">
        <v>-10.54</v>
      </c>
      <c r="AF22" s="40">
        <v>-6.1952818181818179</v>
      </c>
      <c r="AG22" s="40">
        <v>0</v>
      </c>
    </row>
    <row r="23" spans="1:33" ht="15.75" customHeight="1" x14ac:dyDescent="0.2">
      <c r="A23" s="29" t="s">
        <v>77</v>
      </c>
      <c r="B23" s="29" t="s">
        <v>189</v>
      </c>
      <c r="C23" s="16">
        <f t="shared" si="4"/>
        <v>22.99</v>
      </c>
      <c r="D23" s="30">
        <v>4</v>
      </c>
      <c r="E23" s="30">
        <v>0</v>
      </c>
      <c r="F23" s="33">
        <v>91.96</v>
      </c>
      <c r="G23" s="31">
        <v>0</v>
      </c>
      <c r="H23" s="32">
        <f t="shared" si="1"/>
        <v>0</v>
      </c>
      <c r="I23" s="32">
        <f t="shared" si="2"/>
        <v>0.10705777215390089</v>
      </c>
      <c r="J23" s="33">
        <f t="shared" si="5"/>
        <v>9.8450327272727254</v>
      </c>
      <c r="K23" s="33">
        <f t="shared" si="3"/>
        <v>2.4612581818181813</v>
      </c>
      <c r="L23" s="30">
        <v>28</v>
      </c>
      <c r="M23" s="34">
        <f t="shared" si="6"/>
        <v>0.14285714285714285</v>
      </c>
      <c r="N23" s="30">
        <v>81</v>
      </c>
      <c r="O23" s="35">
        <f t="shared" ref="O23:P23" si="31">D23/7</f>
        <v>0.5714285714285714</v>
      </c>
      <c r="P23" s="35">
        <f t="shared" si="31"/>
        <v>0</v>
      </c>
      <c r="Q23" s="30">
        <f t="shared" si="8"/>
        <v>141</v>
      </c>
      <c r="R23" s="30"/>
      <c r="S23" s="36">
        <v>0.44164037854889499</v>
      </c>
      <c r="T23" s="29">
        <v>244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0.35933333333333334</v>
      </c>
      <c r="AD23" s="40">
        <f t="shared" si="12"/>
        <v>-1.37984</v>
      </c>
      <c r="AE23" s="40">
        <v>-10.54</v>
      </c>
      <c r="AF23" s="40">
        <v>-6.1952818181818179</v>
      </c>
      <c r="AG23" s="40">
        <v>0</v>
      </c>
    </row>
    <row r="24" spans="1:33" ht="15.75" customHeight="1" x14ac:dyDescent="0.2">
      <c r="A24" s="29" t="s">
        <v>79</v>
      </c>
      <c r="B24" s="29" t="s">
        <v>211</v>
      </c>
      <c r="C24" s="16">
        <f t="shared" si="4"/>
        <v>19.989999999999998</v>
      </c>
      <c r="D24" s="30">
        <v>7</v>
      </c>
      <c r="E24" s="30">
        <v>0</v>
      </c>
      <c r="F24" s="33">
        <v>139.92999999999998</v>
      </c>
      <c r="G24" s="33">
        <v>0</v>
      </c>
      <c r="H24" s="32">
        <f t="shared" si="1"/>
        <v>0</v>
      </c>
      <c r="I24" s="32">
        <f t="shared" si="2"/>
        <v>-4.4393105643732852E-3</v>
      </c>
      <c r="J24" s="33">
        <f t="shared" si="5"/>
        <v>-0.62119272727275376</v>
      </c>
      <c r="K24" s="33">
        <f t="shared" si="3"/>
        <v>-8.874181818182196E-2</v>
      </c>
      <c r="L24" s="30">
        <v>26</v>
      </c>
      <c r="M24" s="34">
        <f t="shared" si="6"/>
        <v>0.26923076923076922</v>
      </c>
      <c r="N24" s="30">
        <v>77</v>
      </c>
      <c r="O24" s="35">
        <f t="shared" ref="O24:P24" si="32">D24/7</f>
        <v>1</v>
      </c>
      <c r="P24" s="35">
        <f t="shared" si="32"/>
        <v>0</v>
      </c>
      <c r="Q24" s="30">
        <f t="shared" si="8"/>
        <v>77</v>
      </c>
      <c r="R24" s="30"/>
      <c r="S24" s="36">
        <v>0.52980132450331097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Summary!A1:AD5000""),9,FALSE),"""")"),244)</f>
        <v>244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0.35933333333333334</v>
      </c>
      <c r="AD24" s="40">
        <f t="shared" si="12"/>
        <v>-2.41472</v>
      </c>
      <c r="AE24" s="40">
        <v>-10.54</v>
      </c>
      <c r="AF24" s="40">
        <v>-6.1952818181818179</v>
      </c>
      <c r="AG24" s="40">
        <v>0</v>
      </c>
    </row>
    <row r="25" spans="1:33" ht="15.75" customHeight="1" x14ac:dyDescent="0.2">
      <c r="A25" s="15" t="s">
        <v>81</v>
      </c>
      <c r="B25" s="29" t="s">
        <v>211</v>
      </c>
      <c r="C25" s="16">
        <f t="shared" si="4"/>
        <v>19.990000000000002</v>
      </c>
      <c r="D25" s="17">
        <v>7</v>
      </c>
      <c r="E25" s="17">
        <v>2</v>
      </c>
      <c r="F25" s="18">
        <v>139.93</v>
      </c>
      <c r="G25" s="18">
        <v>0</v>
      </c>
      <c r="H25" s="32">
        <f t="shared" si="1"/>
        <v>0</v>
      </c>
      <c r="I25" s="32">
        <f t="shared" si="2"/>
        <v>-4.6753376688343628E-3</v>
      </c>
      <c r="J25" s="33">
        <f t="shared" si="5"/>
        <v>-0.65421999999999247</v>
      </c>
      <c r="K25" s="33">
        <f t="shared" si="3"/>
        <v>-9.3459999999998919E-2</v>
      </c>
      <c r="L25" s="17">
        <v>30</v>
      </c>
      <c r="M25" s="34">
        <f t="shared" si="6"/>
        <v>0.23333333333333334</v>
      </c>
      <c r="N25" s="17">
        <v>67</v>
      </c>
      <c r="O25" s="35">
        <f t="shared" ref="O25:P25" si="33">D25/7</f>
        <v>1</v>
      </c>
      <c r="P25" s="35">
        <f t="shared" si="33"/>
        <v>0.2857142857142857</v>
      </c>
      <c r="Q25" s="30">
        <f t="shared" si="8"/>
        <v>52</v>
      </c>
      <c r="R25" s="30"/>
      <c r="S25" s="36">
        <v>0.52980132450331097</v>
      </c>
      <c r="T25" s="29">
        <v>244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0.35933333333333334</v>
      </c>
      <c r="AD25" s="40">
        <f t="shared" si="12"/>
        <v>-2.41472</v>
      </c>
      <c r="AE25" s="26">
        <v>-10.54</v>
      </c>
      <c r="AF25" s="26">
        <v>-6.2</v>
      </c>
      <c r="AG25" s="26">
        <v>0</v>
      </c>
    </row>
    <row r="26" spans="1:33" ht="15.75" customHeight="1" x14ac:dyDescent="0.2">
      <c r="A26" s="15" t="s">
        <v>83</v>
      </c>
      <c r="B26" s="15" t="s">
        <v>212</v>
      </c>
      <c r="C26" s="16">
        <f t="shared" si="4"/>
        <v>19.989999999999998</v>
      </c>
      <c r="D26" s="17">
        <v>12</v>
      </c>
      <c r="E26" s="17">
        <v>0</v>
      </c>
      <c r="F26" s="18">
        <v>239.88</v>
      </c>
      <c r="G26" s="18">
        <v>0</v>
      </c>
      <c r="H26" s="32">
        <f t="shared" si="1"/>
        <v>0</v>
      </c>
      <c r="I26" s="32">
        <f t="shared" si="2"/>
        <v>-2.4449315566873926E-2</v>
      </c>
      <c r="J26" s="33">
        <f t="shared" si="5"/>
        <v>-5.8649018181817167</v>
      </c>
      <c r="K26" s="33">
        <f t="shared" si="3"/>
        <v>-0.48874181818180973</v>
      </c>
      <c r="L26" s="17">
        <v>31</v>
      </c>
      <c r="M26" s="34">
        <f t="shared" si="6"/>
        <v>0.38709677419354838</v>
      </c>
      <c r="N26" s="17">
        <v>54</v>
      </c>
      <c r="O26" s="35">
        <f t="shared" ref="O26:P26" si="34">D26/7</f>
        <v>1.7142857142857142</v>
      </c>
      <c r="P26" s="35">
        <f t="shared" si="34"/>
        <v>0</v>
      </c>
      <c r="Q26" s="30">
        <f t="shared" si="8"/>
        <v>31</v>
      </c>
      <c r="R26" s="30"/>
      <c r="S26" s="22">
        <v>0.90225563909774431</v>
      </c>
      <c r="T26" s="29">
        <v>244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0.35933333333333334</v>
      </c>
      <c r="AD26" s="40">
        <f t="shared" si="12"/>
        <v>-4.1395200000000001</v>
      </c>
      <c r="AE26" s="26">
        <v>-10.94</v>
      </c>
      <c r="AF26" s="26">
        <v>-6.1952818181818099</v>
      </c>
      <c r="AG26" s="26">
        <v>0</v>
      </c>
    </row>
    <row r="27" spans="1:33" ht="15.75" customHeight="1" x14ac:dyDescent="0.2">
      <c r="A27" s="15" t="s">
        <v>84</v>
      </c>
      <c r="B27" s="15" t="s">
        <v>213</v>
      </c>
      <c r="C27" s="16">
        <f t="shared" si="4"/>
        <v>21.99</v>
      </c>
      <c r="D27" s="17">
        <v>2</v>
      </c>
      <c r="E27" s="17">
        <v>0</v>
      </c>
      <c r="F27" s="18">
        <v>43.98</v>
      </c>
      <c r="G27" s="18">
        <v>0</v>
      </c>
      <c r="H27" s="32">
        <f t="shared" si="1"/>
        <v>0</v>
      </c>
      <c r="I27" s="32">
        <f t="shared" si="2"/>
        <v>5.5082227458762553E-2</v>
      </c>
      <c r="J27" s="33">
        <f t="shared" si="5"/>
        <v>2.4225163636363769</v>
      </c>
      <c r="K27" s="33">
        <f t="shared" si="3"/>
        <v>1.2112581818181885</v>
      </c>
      <c r="L27" s="17">
        <v>23</v>
      </c>
      <c r="M27" s="34">
        <f t="shared" si="6"/>
        <v>8.6956521739130432E-2</v>
      </c>
      <c r="N27" s="17">
        <v>50</v>
      </c>
      <c r="O27" s="35">
        <f t="shared" ref="O27:P27" si="35">D27/7</f>
        <v>0.2857142857142857</v>
      </c>
      <c r="P27" s="35">
        <f t="shared" si="35"/>
        <v>0</v>
      </c>
      <c r="Q27" s="30">
        <f t="shared" si="8"/>
        <v>175</v>
      </c>
      <c r="R27" s="30"/>
      <c r="S27" s="22">
        <v>0.71544715447154472</v>
      </c>
      <c r="T27" s="29">
        <v>244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0.35933333333333334</v>
      </c>
      <c r="AD27" s="40">
        <f t="shared" si="12"/>
        <v>-0.68991999999999998</v>
      </c>
      <c r="AE27" s="26">
        <v>-10.94</v>
      </c>
      <c r="AF27" s="26">
        <v>-6.1952818181818099</v>
      </c>
      <c r="AG27" s="26">
        <v>0</v>
      </c>
    </row>
    <row r="28" spans="1:33" ht="15.75" customHeight="1" x14ac:dyDescent="0.2">
      <c r="A28" s="15" t="s">
        <v>85</v>
      </c>
      <c r="B28" s="15" t="s">
        <v>214</v>
      </c>
      <c r="C28" s="16">
        <f t="shared" si="4"/>
        <v>21.990000000000002</v>
      </c>
      <c r="D28" s="17">
        <v>14</v>
      </c>
      <c r="E28" s="17">
        <v>0</v>
      </c>
      <c r="F28" s="18">
        <v>307.86</v>
      </c>
      <c r="G28" s="18">
        <v>-0.08</v>
      </c>
      <c r="H28" s="32">
        <f t="shared" si="1"/>
        <v>2.5985837718443447E-4</v>
      </c>
      <c r="I28" s="32">
        <f t="shared" si="2"/>
        <v>5.4822369081578212E-2</v>
      </c>
      <c r="J28" s="33">
        <f t="shared" si="5"/>
        <v>16.877614545454669</v>
      </c>
      <c r="K28" s="33">
        <f t="shared" si="3"/>
        <v>1.2055438961039049</v>
      </c>
      <c r="L28" s="17">
        <v>24</v>
      </c>
      <c r="M28" s="34">
        <f t="shared" si="6"/>
        <v>0.58333333333333337</v>
      </c>
      <c r="N28" s="17">
        <v>36</v>
      </c>
      <c r="O28" s="35">
        <f t="shared" ref="O28:P28" si="36">D28/7</f>
        <v>2</v>
      </c>
      <c r="P28" s="35">
        <f t="shared" si="36"/>
        <v>0</v>
      </c>
      <c r="Q28" s="30">
        <f t="shared" si="8"/>
        <v>18</v>
      </c>
      <c r="R28" s="30"/>
      <c r="S28" s="22">
        <v>0.88888888888888884</v>
      </c>
      <c r="T28" s="15" t="s">
        <v>34</v>
      </c>
      <c r="U28" s="23" t="s">
        <v>34</v>
      </c>
      <c r="V28" s="1" t="s">
        <v>215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0.35933333333333334</v>
      </c>
      <c r="AD28" s="40">
        <f t="shared" si="12"/>
        <v>-4.82944</v>
      </c>
      <c r="AE28" s="26">
        <v>-10.94</v>
      </c>
      <c r="AF28" s="26">
        <v>-6.1952818181818099</v>
      </c>
      <c r="AG28" s="26">
        <v>0</v>
      </c>
    </row>
    <row r="29" spans="1:33" ht="15.75" customHeight="1" x14ac:dyDescent="0.2">
      <c r="A29" s="15" t="s">
        <v>88</v>
      </c>
      <c r="B29" s="15" t="s">
        <v>214</v>
      </c>
      <c r="C29" s="16">
        <f t="shared" si="4"/>
        <v>21.990000000000002</v>
      </c>
      <c r="D29" s="17">
        <v>5</v>
      </c>
      <c r="E29" s="17">
        <v>0</v>
      </c>
      <c r="F29" s="18">
        <v>109.95</v>
      </c>
      <c r="G29" s="18">
        <v>0</v>
      </c>
      <c r="H29" s="32">
        <f t="shared" si="1"/>
        <v>0</v>
      </c>
      <c r="I29" s="32">
        <f t="shared" si="2"/>
        <v>5.5082227458762609E-2</v>
      </c>
      <c r="J29" s="33">
        <f t="shared" si="5"/>
        <v>6.0562909090909489</v>
      </c>
      <c r="K29" s="33">
        <f t="shared" si="3"/>
        <v>1.2112581818181898</v>
      </c>
      <c r="L29" s="17">
        <v>26</v>
      </c>
      <c r="M29" s="34">
        <f t="shared" si="6"/>
        <v>0.19230769230769232</v>
      </c>
      <c r="N29" s="17">
        <v>34</v>
      </c>
      <c r="O29" s="35">
        <f t="shared" ref="O29:P29" si="37">D29/7</f>
        <v>0.7142857142857143</v>
      </c>
      <c r="P29" s="35">
        <f t="shared" si="37"/>
        <v>0</v>
      </c>
      <c r="Q29" s="30">
        <f t="shared" si="8"/>
        <v>47</v>
      </c>
      <c r="R29" s="30"/>
      <c r="S29" s="22">
        <v>1</v>
      </c>
      <c r="T29" s="15" t="s">
        <v>34</v>
      </c>
      <c r="U29" s="23" t="s">
        <v>34</v>
      </c>
      <c r="V29" s="1" t="s">
        <v>215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0.35933333333333334</v>
      </c>
      <c r="AD29" s="40">
        <f t="shared" si="12"/>
        <v>-1.7247999999999999</v>
      </c>
      <c r="AE29" s="26">
        <v>-10.94</v>
      </c>
      <c r="AF29" s="26">
        <v>-6.1952818181818099</v>
      </c>
      <c r="AG29" s="26">
        <v>0</v>
      </c>
    </row>
    <row r="30" spans="1:33" ht="15.75" customHeight="1" x14ac:dyDescent="0.2">
      <c r="A30" s="15" t="s">
        <v>90</v>
      </c>
      <c r="B30" s="15" t="s">
        <v>198</v>
      </c>
      <c r="C30" s="16">
        <f t="shared" si="4"/>
        <v>21.99</v>
      </c>
      <c r="D30" s="17">
        <v>8</v>
      </c>
      <c r="E30" s="17">
        <v>0</v>
      </c>
      <c r="F30" s="18">
        <v>175.92</v>
      </c>
      <c r="G30" s="18">
        <v>-0.08</v>
      </c>
      <c r="H30" s="32">
        <f t="shared" si="1"/>
        <v>4.5475216007276038E-4</v>
      </c>
      <c r="I30" s="32">
        <f t="shared" si="2"/>
        <v>1.344429286039097E-2</v>
      </c>
      <c r="J30" s="33">
        <f t="shared" si="5"/>
        <v>2.3651199999999792</v>
      </c>
      <c r="K30" s="33">
        <f t="shared" si="3"/>
        <v>0.2956399999999974</v>
      </c>
      <c r="L30" s="17">
        <v>24</v>
      </c>
      <c r="M30" s="34">
        <f t="shared" si="6"/>
        <v>0.33333333333333331</v>
      </c>
      <c r="N30" s="17">
        <v>25</v>
      </c>
      <c r="O30" s="35">
        <f t="shared" ref="O30:P30" si="38">D30/7</f>
        <v>1.1428571428571428</v>
      </c>
      <c r="P30" s="35">
        <f t="shared" si="38"/>
        <v>0</v>
      </c>
      <c r="Q30" s="30">
        <f t="shared" si="8"/>
        <v>21</v>
      </c>
      <c r="R30" s="30"/>
      <c r="S30" s="22">
        <v>1.108910891089109</v>
      </c>
      <c r="T30" s="15" t="s">
        <v>34</v>
      </c>
      <c r="U30" s="23" t="s">
        <v>34</v>
      </c>
      <c r="V30" s="1" t="s">
        <v>215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0.35933333333333334</v>
      </c>
      <c r="AD30" s="40">
        <f t="shared" si="12"/>
        <v>-2.7596799999999999</v>
      </c>
      <c r="AE30" s="26">
        <v>-10.94</v>
      </c>
      <c r="AF30" s="26">
        <v>-7.1009000000000002</v>
      </c>
      <c r="AG30" s="26">
        <v>0</v>
      </c>
    </row>
    <row r="31" spans="1:33" ht="15.75" customHeight="1" x14ac:dyDescent="0.2">
      <c r="A31" s="29" t="s">
        <v>93</v>
      </c>
      <c r="B31" s="29" t="s">
        <v>216</v>
      </c>
      <c r="C31" s="16">
        <f t="shared" si="4"/>
        <v>23.767777777777781</v>
      </c>
      <c r="D31" s="17">
        <v>9</v>
      </c>
      <c r="E31" s="17">
        <v>0</v>
      </c>
      <c r="F31" s="18">
        <v>213.91000000000003</v>
      </c>
      <c r="G31" s="18">
        <v>-0.14000000000000001</v>
      </c>
      <c r="H31" s="32">
        <f t="shared" si="1"/>
        <v>6.5448085643494925E-4</v>
      </c>
      <c r="I31" s="32">
        <f t="shared" si="2"/>
        <v>7.5783086344724665E-2</v>
      </c>
      <c r="J31" s="33">
        <f t="shared" si="5"/>
        <v>16.210760000000054</v>
      </c>
      <c r="K31" s="33">
        <f t="shared" si="3"/>
        <v>1.8011955555555614</v>
      </c>
      <c r="L31" s="17">
        <v>37</v>
      </c>
      <c r="M31" s="34">
        <f t="shared" si="6"/>
        <v>0.24324324324324326</v>
      </c>
      <c r="N31" s="17">
        <v>15</v>
      </c>
      <c r="O31" s="35">
        <f t="shared" ref="O31:P31" si="39">D31/7</f>
        <v>1.2857142857142858</v>
      </c>
      <c r="P31" s="35">
        <f t="shared" si="39"/>
        <v>0</v>
      </c>
      <c r="Q31" s="30">
        <f t="shared" si="8"/>
        <v>11</v>
      </c>
      <c r="R31" s="30"/>
      <c r="S31" s="22">
        <v>1.27142857142857</v>
      </c>
      <c r="T31" s="15">
        <v>244</v>
      </c>
      <c r="U31" s="23" t="s">
        <v>34</v>
      </c>
      <c r="V31" s="1" t="s">
        <v>215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0.35933333333333334</v>
      </c>
      <c r="AD31" s="40">
        <f t="shared" si="12"/>
        <v>-3.1046399999999998</v>
      </c>
      <c r="AE31" s="26">
        <v>-10.94</v>
      </c>
      <c r="AF31" s="43">
        <v>-7.1008999999999993</v>
      </c>
      <c r="AG31" s="26">
        <v>0</v>
      </c>
    </row>
    <row r="32" spans="1:33" ht="15.75" customHeight="1" x14ac:dyDescent="0.2">
      <c r="A32" s="15" t="s">
        <v>96</v>
      </c>
      <c r="B32" s="46" t="s">
        <v>217</v>
      </c>
      <c r="C32" s="16">
        <f t="shared" si="4"/>
        <v>26.389999999999997</v>
      </c>
      <c r="D32" s="17">
        <v>5</v>
      </c>
      <c r="E32" s="17">
        <v>0</v>
      </c>
      <c r="F32" s="18">
        <v>131.94999999999999</v>
      </c>
      <c r="G32" s="18">
        <v>-0.13</v>
      </c>
      <c r="H32" s="32">
        <f t="shared" si="1"/>
        <v>9.8522167487684743E-4</v>
      </c>
      <c r="I32" s="32">
        <f t="shared" si="2"/>
        <v>0.15231678666161427</v>
      </c>
      <c r="J32" s="33">
        <f t="shared" si="5"/>
        <v>20.098200000000002</v>
      </c>
      <c r="K32" s="33">
        <f t="shared" si="3"/>
        <v>4.0196400000000008</v>
      </c>
      <c r="L32" s="17">
        <v>33</v>
      </c>
      <c r="M32" s="34">
        <f t="shared" si="6"/>
        <v>0.15151515151515152</v>
      </c>
      <c r="N32" s="17">
        <v>10</v>
      </c>
      <c r="O32" s="35">
        <f t="shared" ref="O32:P32" si="40">D32/7</f>
        <v>0.7142857142857143</v>
      </c>
      <c r="P32" s="35">
        <f t="shared" si="40"/>
        <v>0</v>
      </c>
      <c r="Q32" s="30">
        <f t="shared" si="8"/>
        <v>14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1.506276150627615</v>
      </c>
      <c r="T32" s="15">
        <f ca="1">IFERROR(__xludf.DUMMYFUNCTION("IFERROR(VLOOKUP($B$2,IMPORTRANGE(""https://docs.google.com/spreadsheets/d/1KiWZV1ko8G7lnRucBRBd29jj3Be6ltMfljMDqzOkQmI/edit#gid=1381463014"",""Lookup!A:D""),4,FALSE),"""")"),244)</f>
        <v>244</v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IFERROR(__xludf.DUMMYFUNCTION("IFERROR(VLOOKUP($B$2,IMPORTRANGE(""https://docs.google.com/spreadsheets/d/1KiWZV1ko8G7lnRucBRBd29jj3Be6ltMfljMDqzOkQmI/edit#gid=1381463014"",""Lookup!A:D""),2,FALSE),"""")"),"No Transit, But 244 At Factory 50-75 days from Earliest Arrival")</f>
        <v>No Transit, But 244 At Factory 50-75 days from Earliest Arrival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0.35933333333333334</v>
      </c>
      <c r="AD32" s="40">
        <f t="shared" si="12"/>
        <v>-1.7247999999999999</v>
      </c>
      <c r="AE32" s="26">
        <v>-10.94</v>
      </c>
      <c r="AF32" s="26">
        <v>-7.1009000000000002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32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- 20x30 Inch Rustic Framed Hanging Chalk Board")</f>
        <v>Magnetic Kitchen Chalkboard Sign - 20x30 Inch Rustic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Info!B1:BJ5000""),2,FALSE),"""")"),"B07JNJJK2K")</f>
        <v>B07JNJJK2K</v>
      </c>
      <c r="B2" s="3" t="s">
        <v>218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26.469747294117646</v>
      </c>
      <c r="D3" s="5">
        <f>SUM(D4:D99519)</f>
        <v>193</v>
      </c>
      <c r="E3" s="5"/>
      <c r="F3" s="6">
        <f t="shared" ref="F3:G3" si="0">SUM(F4:F99519)</f>
        <v>5621.44</v>
      </c>
      <c r="G3" s="6">
        <f t="shared" si="0"/>
        <v>-210.81</v>
      </c>
      <c r="H3" s="7">
        <f t="shared" ref="H3:H32" si="1">G3/F3*-1</f>
        <v>3.7501067342175676E-2</v>
      </c>
      <c r="I3" s="8">
        <f t="shared" ref="I3:I32" si="2">J3/F3</f>
        <v>7.558440741378035E-2</v>
      </c>
      <c r="J3" s="6">
        <f>SUM(J4:J99519)</f>
        <v>424.8932112121214</v>
      </c>
      <c r="K3" s="6">
        <f t="shared" ref="K3:K32" si="3">J3/D3</f>
        <v>2.2015192290783494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Sheet!a1:g5000""),2,FALSE),"""")"),"2.0 - March
2.0 - April
2.0 - May
2.0 - June
2.0 - July
2.0 - Aug
2.0 - Sept
2.0 - Oct
2.0 - Nov
2.0 - Dec
2.0 - Jan
2.0 - Feb")</f>
        <v>2.0 - March
2.0 - April
2.0 - May
2.0 - June
2.0 - July
2.0 - Aug
2.0 - Sept
2.0 - Oct
2.0 - Nov
2.0 - Dec
2.0 - Jan
2.0 -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8</v>
      </c>
      <c r="X3" s="7">
        <f>W3/D3</f>
        <v>4.145077720207254E-2</v>
      </c>
      <c r="Y3" s="6"/>
      <c r="Z3" s="5"/>
      <c r="AA3" s="5"/>
      <c r="AB3" s="5"/>
      <c r="AC3" s="5"/>
      <c r="AD3" s="6">
        <f>SUM(AD4:AD99519)</f>
        <v>-110.79229333333332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Info!B2:BZ3000""),37,FALSE)),"""")*-1"),-10.4192852)</f>
        <v>-10.419285199999999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370</v>
      </c>
      <c r="U4" s="23">
        <v>130</v>
      </c>
      <c r="V4" s="24" t="s">
        <v>153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-8.4194471212121211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370</v>
      </c>
      <c r="U5" s="37">
        <v>130</v>
      </c>
      <c r="V5" s="38" t="s">
        <v>154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-8.4194471212121211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370</v>
      </c>
      <c r="U6" s="37">
        <v>130</v>
      </c>
      <c r="V6" s="38" t="s">
        <v>155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-8.4194471212121211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370</v>
      </c>
      <c r="U7" s="37">
        <v>130</v>
      </c>
      <c r="V7" s="38" t="s">
        <v>156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-8.4194471212121211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482</v>
      </c>
      <c r="U8" s="37">
        <v>130</v>
      </c>
      <c r="V8" s="38" t="s">
        <v>157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-8.42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482</v>
      </c>
      <c r="U9" s="37">
        <v>130</v>
      </c>
      <c r="V9" s="38" t="s">
        <v>158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-8.9015865151515108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242</v>
      </c>
      <c r="U10" s="37">
        <v>130</v>
      </c>
      <c r="V10" s="38" t="s">
        <v>159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-8.9015865151515108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354</v>
      </c>
      <c r="U11" s="37">
        <v>130</v>
      </c>
      <c r="V11" s="38" t="s">
        <v>219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-8.9015865151515108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354</v>
      </c>
      <c r="U12" s="37">
        <v>130</v>
      </c>
      <c r="V12" s="38" t="s">
        <v>220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-8.9015865151515108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354</v>
      </c>
      <c r="U13" s="37">
        <v>130</v>
      </c>
      <c r="V13" s="38" t="s">
        <v>221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-9.1553440909090895</v>
      </c>
      <c r="AG13" s="40">
        <v>0</v>
      </c>
    </row>
    <row r="14" spans="1:33" ht="15.75" customHeight="1" x14ac:dyDescent="0.2">
      <c r="A14" s="29" t="s">
        <v>59</v>
      </c>
      <c r="B14" s="29" t="s">
        <v>222</v>
      </c>
      <c r="C14" s="16">
        <f t="shared" si="4"/>
        <v>38.99</v>
      </c>
      <c r="D14" s="30">
        <v>1</v>
      </c>
      <c r="E14" s="30">
        <v>0</v>
      </c>
      <c r="F14" s="33">
        <v>38.99</v>
      </c>
      <c r="G14" s="31">
        <v>-0.08</v>
      </c>
      <c r="H14" s="32">
        <f t="shared" si="1"/>
        <v>2.0518081559374197E-3</v>
      </c>
      <c r="I14" s="32">
        <f t="shared" si="2"/>
        <v>0.29884848873448522</v>
      </c>
      <c r="J14" s="33">
        <f t="shared" si="5"/>
        <v>11.65210257575758</v>
      </c>
      <c r="K14" s="33">
        <f t="shared" si="3"/>
        <v>11.65210257575758</v>
      </c>
      <c r="L14" s="30">
        <v>0</v>
      </c>
      <c r="M14" s="34" t="str">
        <f t="shared" si="6"/>
        <v>-</v>
      </c>
      <c r="N14" s="30">
        <v>129</v>
      </c>
      <c r="O14" s="35">
        <f t="shared" ref="O14:P14" si="22">D14/7</f>
        <v>0.14285714285714285</v>
      </c>
      <c r="P14" s="35">
        <f t="shared" si="22"/>
        <v>0</v>
      </c>
      <c r="Q14" s="30">
        <f t="shared" si="8"/>
        <v>903</v>
      </c>
      <c r="R14" s="30"/>
      <c r="S14" s="36">
        <v>0</v>
      </c>
      <c r="T14" s="29">
        <v>182</v>
      </c>
      <c r="U14" s="37">
        <v>70</v>
      </c>
      <c r="V14" s="38" t="s">
        <v>223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0.59797222222222224</v>
      </c>
      <c r="AD14" s="40">
        <f t="shared" si="12"/>
        <v>-0.5740533333333333</v>
      </c>
      <c r="AE14" s="40">
        <v>-11.68</v>
      </c>
      <c r="AF14" s="40">
        <v>-9.1553440909090895</v>
      </c>
      <c r="AG14" s="40">
        <v>0</v>
      </c>
    </row>
    <row r="15" spans="1:33" ht="15.75" customHeight="1" x14ac:dyDescent="0.2">
      <c r="A15" s="29" t="s">
        <v>61</v>
      </c>
      <c r="B15" s="29" t="s">
        <v>209</v>
      </c>
      <c r="C15" s="16">
        <f t="shared" si="4"/>
        <v>32.565999999999995</v>
      </c>
      <c r="D15" s="30">
        <v>5</v>
      </c>
      <c r="E15" s="30">
        <v>0</v>
      </c>
      <c r="F15" s="33">
        <v>162.82999999999998</v>
      </c>
      <c r="G15" s="31">
        <v>-0.08</v>
      </c>
      <c r="H15" s="32">
        <f t="shared" si="1"/>
        <v>4.9130995516796663E-4</v>
      </c>
      <c r="I15" s="32">
        <f t="shared" si="2"/>
        <v>0.19209305950247413</v>
      </c>
      <c r="J15" s="33">
        <f t="shared" si="5"/>
        <v>31.278512878787858</v>
      </c>
      <c r="K15" s="33">
        <f t="shared" si="3"/>
        <v>6.2557025757575717</v>
      </c>
      <c r="L15" s="30">
        <v>23</v>
      </c>
      <c r="M15" s="34">
        <f t="shared" si="6"/>
        <v>0.21739130434782608</v>
      </c>
      <c r="N15" s="30">
        <v>126</v>
      </c>
      <c r="O15" s="35">
        <f t="shared" ref="O15:P15" si="23">D15/7</f>
        <v>0.7142857142857143</v>
      </c>
      <c r="P15" s="35">
        <f t="shared" si="23"/>
        <v>0</v>
      </c>
      <c r="Q15" s="30">
        <f t="shared" si="8"/>
        <v>176</v>
      </c>
      <c r="R15" s="30"/>
      <c r="S15" s="36">
        <v>6.25E-2</v>
      </c>
      <c r="T15" s="29">
        <v>111</v>
      </c>
      <c r="U15" s="37">
        <v>70</v>
      </c>
      <c r="V15" s="38" t="s">
        <v>223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0.59797222222222224</v>
      </c>
      <c r="AD15" s="40">
        <f t="shared" si="12"/>
        <v>-2.8702666666666667</v>
      </c>
      <c r="AE15" s="40">
        <v>-11.68</v>
      </c>
      <c r="AF15" s="40">
        <v>-9.1553440909090895</v>
      </c>
      <c r="AG15" s="40">
        <v>0</v>
      </c>
    </row>
    <row r="16" spans="1:33" ht="15.75" customHeight="1" x14ac:dyDescent="0.2">
      <c r="A16" s="29" t="s">
        <v>64</v>
      </c>
      <c r="B16" s="29" t="s">
        <v>183</v>
      </c>
      <c r="C16" s="16">
        <f t="shared" si="4"/>
        <v>28.392000000000003</v>
      </c>
      <c r="D16" s="30">
        <v>5</v>
      </c>
      <c r="E16" s="30">
        <v>0</v>
      </c>
      <c r="F16" s="33">
        <v>141.96</v>
      </c>
      <c r="G16" s="31">
        <v>-34.19</v>
      </c>
      <c r="H16" s="32">
        <f t="shared" si="1"/>
        <v>0.24084249084249082</v>
      </c>
      <c r="I16" s="32">
        <f t="shared" si="2"/>
        <v>-0.14490692533961758</v>
      </c>
      <c r="J16" s="33">
        <f t="shared" si="5"/>
        <v>-20.570987121212113</v>
      </c>
      <c r="K16" s="33">
        <f t="shared" si="3"/>
        <v>-4.1141974242424224</v>
      </c>
      <c r="L16" s="30">
        <v>37</v>
      </c>
      <c r="M16" s="34">
        <f t="shared" si="6"/>
        <v>0.13513513513513514</v>
      </c>
      <c r="N16" s="30">
        <v>123</v>
      </c>
      <c r="O16" s="35">
        <f t="shared" ref="O16:P16" si="24">D16/7</f>
        <v>0.7142857142857143</v>
      </c>
      <c r="P16" s="35">
        <f t="shared" si="24"/>
        <v>0</v>
      </c>
      <c r="Q16" s="30">
        <f t="shared" si="8"/>
        <v>172</v>
      </c>
      <c r="R16" s="30"/>
      <c r="S16" s="36">
        <v>0.19354838709677399</v>
      </c>
      <c r="T16" s="29">
        <v>111</v>
      </c>
      <c r="U16" s="37">
        <v>70</v>
      </c>
      <c r="V16" s="38" t="s">
        <v>224</v>
      </c>
      <c r="W16" s="29">
        <v>1</v>
      </c>
      <c r="X16" s="39">
        <f t="shared" si="9"/>
        <v>0.2</v>
      </c>
      <c r="Y16" s="40">
        <f t="shared" si="10"/>
        <v>11.396666666666667</v>
      </c>
      <c r="Z16" s="29">
        <v>2</v>
      </c>
      <c r="AA16" s="29" t="s">
        <v>163</v>
      </c>
      <c r="AB16" s="41">
        <f t="shared" si="11"/>
        <v>-0.48</v>
      </c>
      <c r="AC16" s="42">
        <v>0.59797222222222224</v>
      </c>
      <c r="AD16" s="40">
        <f t="shared" si="12"/>
        <v>-2.8702666666666667</v>
      </c>
      <c r="AE16" s="40">
        <v>-11.68</v>
      </c>
      <c r="AF16" s="40">
        <v>-9.1553440909090895</v>
      </c>
      <c r="AG16" s="40">
        <v>0</v>
      </c>
    </row>
    <row r="17" spans="1:33" ht="15.75" customHeight="1" x14ac:dyDescent="0.2">
      <c r="A17" s="29" t="s">
        <v>66</v>
      </c>
      <c r="B17" s="29" t="s">
        <v>183</v>
      </c>
      <c r="C17" s="16">
        <f t="shared" si="4"/>
        <v>27.99</v>
      </c>
      <c r="D17" s="30">
        <v>6</v>
      </c>
      <c r="E17" s="30">
        <v>1</v>
      </c>
      <c r="F17" s="33">
        <v>167.94</v>
      </c>
      <c r="G17" s="31">
        <v>-31.349999999999998</v>
      </c>
      <c r="H17" s="32">
        <f t="shared" si="1"/>
        <v>0.18667381207574132</v>
      </c>
      <c r="I17" s="32">
        <f t="shared" si="2"/>
        <v>-0.10156832526768213</v>
      </c>
      <c r="J17" s="33">
        <f t="shared" si="5"/>
        <v>-17.057384545454536</v>
      </c>
      <c r="K17" s="33">
        <f t="shared" si="3"/>
        <v>-2.8428974242424228</v>
      </c>
      <c r="L17" s="30">
        <v>32</v>
      </c>
      <c r="M17" s="34">
        <f t="shared" si="6"/>
        <v>0.1875</v>
      </c>
      <c r="N17" s="30">
        <v>115</v>
      </c>
      <c r="O17" s="35">
        <f t="shared" ref="O17:P17" si="25">D17/7</f>
        <v>0.8571428571428571</v>
      </c>
      <c r="P17" s="35">
        <f t="shared" si="25"/>
        <v>0.14285714285714285</v>
      </c>
      <c r="Q17" s="30">
        <f t="shared" si="8"/>
        <v>115</v>
      </c>
      <c r="R17" s="30"/>
      <c r="S17" s="36">
        <v>0.40677966101694901</v>
      </c>
      <c r="T17" s="29">
        <v>111</v>
      </c>
      <c r="U17" s="37">
        <v>70</v>
      </c>
      <c r="V17" s="38" t="s">
        <v>224</v>
      </c>
      <c r="W17" s="29">
        <v>0</v>
      </c>
      <c r="X17" s="39">
        <f t="shared" si="9"/>
        <v>0</v>
      </c>
      <c r="Y17" s="40">
        <f t="shared" si="10"/>
        <v>31.349999999999998</v>
      </c>
      <c r="Z17" s="29">
        <v>1</v>
      </c>
      <c r="AA17" s="29" t="s">
        <v>163</v>
      </c>
      <c r="AB17" s="41">
        <f t="shared" si="11"/>
        <v>-0.48</v>
      </c>
      <c r="AC17" s="42">
        <v>0.59797222222222224</v>
      </c>
      <c r="AD17" s="40">
        <f t="shared" si="12"/>
        <v>-3.4443199999999998</v>
      </c>
      <c r="AE17" s="40">
        <v>-11.68</v>
      </c>
      <c r="AF17" s="40">
        <v>-9.1553440909090895</v>
      </c>
      <c r="AG17" s="40">
        <v>0</v>
      </c>
    </row>
    <row r="18" spans="1:33" ht="15.75" customHeight="1" x14ac:dyDescent="0.2">
      <c r="A18" s="29" t="s">
        <v>69</v>
      </c>
      <c r="B18" s="29" t="s">
        <v>183</v>
      </c>
      <c r="C18" s="16">
        <f t="shared" si="4"/>
        <v>28.449230769230773</v>
      </c>
      <c r="D18" s="30">
        <v>13</v>
      </c>
      <c r="E18" s="30">
        <v>0</v>
      </c>
      <c r="F18" s="33">
        <v>369.84000000000003</v>
      </c>
      <c r="G18" s="31">
        <v>-38.339999999999996</v>
      </c>
      <c r="H18" s="32">
        <f t="shared" si="1"/>
        <v>0.10366645035691108</v>
      </c>
      <c r="I18" s="32">
        <f t="shared" si="2"/>
        <v>-6.2139479643939259E-3</v>
      </c>
      <c r="J18" s="33">
        <f t="shared" si="5"/>
        <v>-2.2981665151514497</v>
      </c>
      <c r="K18" s="33">
        <f t="shared" si="3"/>
        <v>-0.17678203962703459</v>
      </c>
      <c r="L18" s="30">
        <v>36</v>
      </c>
      <c r="M18" s="34">
        <f t="shared" si="6"/>
        <v>0.3611111111111111</v>
      </c>
      <c r="N18" s="30">
        <v>102</v>
      </c>
      <c r="O18" s="35">
        <f t="shared" ref="O18:P18" si="26">D18/7</f>
        <v>1.8571428571428572</v>
      </c>
      <c r="P18" s="35">
        <f t="shared" si="26"/>
        <v>0</v>
      </c>
      <c r="Q18" s="30">
        <f t="shared" si="8"/>
        <v>54</v>
      </c>
      <c r="R18" s="30"/>
      <c r="S18" s="36">
        <v>1</v>
      </c>
      <c r="T18" s="29">
        <v>111</v>
      </c>
      <c r="U18" s="37" t="s">
        <v>34</v>
      </c>
      <c r="V18" s="38" t="s">
        <v>225</v>
      </c>
      <c r="W18" s="29">
        <v>0</v>
      </c>
      <c r="X18" s="39">
        <f t="shared" si="9"/>
        <v>0</v>
      </c>
      <c r="Y18" s="40">
        <f t="shared" si="10"/>
        <v>12.78</v>
      </c>
      <c r="Z18" s="29">
        <v>3</v>
      </c>
      <c r="AA18" s="29" t="s">
        <v>163</v>
      </c>
      <c r="AB18" s="41">
        <f t="shared" si="11"/>
        <v>-0.48</v>
      </c>
      <c r="AC18" s="42">
        <v>0.59797222222222224</v>
      </c>
      <c r="AD18" s="40">
        <f t="shared" si="12"/>
        <v>-7.4626933333333332</v>
      </c>
      <c r="AE18" s="40">
        <v>-11.68</v>
      </c>
      <c r="AF18" s="40">
        <v>-9.1553440909090895</v>
      </c>
      <c r="AG18" s="40">
        <v>0</v>
      </c>
    </row>
    <row r="19" spans="1:33" ht="15.75" customHeight="1" x14ac:dyDescent="0.2">
      <c r="A19" s="29" t="s">
        <v>71</v>
      </c>
      <c r="B19" s="29" t="s">
        <v>183</v>
      </c>
      <c r="C19" s="16">
        <f t="shared" si="4"/>
        <v>28.278000000000002</v>
      </c>
      <c r="D19" s="30">
        <v>15</v>
      </c>
      <c r="E19" s="30">
        <v>0</v>
      </c>
      <c r="F19" s="33">
        <v>424.17</v>
      </c>
      <c r="G19" s="31">
        <v>-37.14</v>
      </c>
      <c r="H19" s="32">
        <f t="shared" si="1"/>
        <v>8.7559233326260699E-2</v>
      </c>
      <c r="I19" s="32">
        <f t="shared" si="2"/>
        <v>5.3363949274198774E-3</v>
      </c>
      <c r="J19" s="33">
        <f t="shared" si="5"/>
        <v>2.2635386363636893</v>
      </c>
      <c r="K19" s="33">
        <f t="shared" si="3"/>
        <v>0.15090257575757929</v>
      </c>
      <c r="L19" s="30">
        <v>47</v>
      </c>
      <c r="M19" s="34">
        <f t="shared" si="6"/>
        <v>0.31914893617021278</v>
      </c>
      <c r="N19" s="30">
        <v>159</v>
      </c>
      <c r="O19" s="35">
        <f t="shared" ref="O19:P19" si="27">D19/7</f>
        <v>2.1428571428571428</v>
      </c>
      <c r="P19" s="35">
        <f t="shared" si="27"/>
        <v>0</v>
      </c>
      <c r="Q19" s="30">
        <f t="shared" si="8"/>
        <v>74</v>
      </c>
      <c r="R19" s="30"/>
      <c r="S19" s="36">
        <v>0.46101694915254199</v>
      </c>
      <c r="T19" s="29">
        <v>178</v>
      </c>
      <c r="U19" s="37" t="s">
        <v>34</v>
      </c>
      <c r="V19" s="38" t="s">
        <v>34</v>
      </c>
      <c r="W19" s="29">
        <v>1</v>
      </c>
      <c r="X19" s="39">
        <f t="shared" si="9"/>
        <v>6.6666666666666666E-2</v>
      </c>
      <c r="Y19" s="40">
        <f t="shared" si="10"/>
        <v>18.57</v>
      </c>
      <c r="Z19" s="29">
        <v>1</v>
      </c>
      <c r="AA19" s="29" t="s">
        <v>163</v>
      </c>
      <c r="AB19" s="41">
        <f t="shared" si="11"/>
        <v>-0.48</v>
      </c>
      <c r="AC19" s="42">
        <v>0.59797222222222224</v>
      </c>
      <c r="AD19" s="40">
        <f t="shared" si="12"/>
        <v>-8.6107999999999993</v>
      </c>
      <c r="AE19" s="40">
        <v>-11.68</v>
      </c>
      <c r="AF19" s="40">
        <v>-9.1553440909090913</v>
      </c>
      <c r="AG19" s="40">
        <v>0</v>
      </c>
    </row>
    <row r="20" spans="1:33" ht="15.75" customHeight="1" x14ac:dyDescent="0.2">
      <c r="A20" s="29" t="s">
        <v>74</v>
      </c>
      <c r="B20" s="29" t="s">
        <v>226</v>
      </c>
      <c r="C20" s="16">
        <f t="shared" si="4"/>
        <v>27.990000000000006</v>
      </c>
      <c r="D20" s="30">
        <v>24</v>
      </c>
      <c r="E20" s="30">
        <v>0</v>
      </c>
      <c r="F20" s="33">
        <v>671.7600000000001</v>
      </c>
      <c r="G20" s="31">
        <v>-34.07</v>
      </c>
      <c r="H20" s="32">
        <f t="shared" si="1"/>
        <v>5.071751816124806E-2</v>
      </c>
      <c r="I20" s="32">
        <f t="shared" si="2"/>
        <v>3.438796864681113E-2</v>
      </c>
      <c r="J20" s="33">
        <f t="shared" si="5"/>
        <v>23.100461818181849</v>
      </c>
      <c r="K20" s="33">
        <f t="shared" si="3"/>
        <v>0.96251924242424369</v>
      </c>
      <c r="L20" s="30">
        <v>45</v>
      </c>
      <c r="M20" s="34">
        <f t="shared" si="6"/>
        <v>0.53333333333333333</v>
      </c>
      <c r="N20" s="30">
        <v>146</v>
      </c>
      <c r="O20" s="35">
        <f t="shared" ref="O20:P20" si="28">D20/7</f>
        <v>3.4285714285714284</v>
      </c>
      <c r="P20" s="35">
        <f t="shared" si="28"/>
        <v>0</v>
      </c>
      <c r="Q20" s="30">
        <f t="shared" si="8"/>
        <v>42</v>
      </c>
      <c r="R20" s="30"/>
      <c r="S20" s="36">
        <v>0.72727272727272696</v>
      </c>
      <c r="T20" s="29">
        <v>137</v>
      </c>
      <c r="U20" s="37" t="s">
        <v>34</v>
      </c>
      <c r="V20" s="38" t="s">
        <v>34</v>
      </c>
      <c r="W20" s="29">
        <v>3</v>
      </c>
      <c r="X20" s="39">
        <f t="shared" si="9"/>
        <v>0.125</v>
      </c>
      <c r="Y20" s="40">
        <f t="shared" si="10"/>
        <v>4.25875</v>
      </c>
      <c r="Z20" s="29">
        <v>5</v>
      </c>
      <c r="AA20" s="29" t="s">
        <v>163</v>
      </c>
      <c r="AB20" s="41">
        <f t="shared" si="11"/>
        <v>-0.48</v>
      </c>
      <c r="AC20" s="42">
        <v>0.59797222222222224</v>
      </c>
      <c r="AD20" s="40">
        <f t="shared" si="12"/>
        <v>-13.777279999999999</v>
      </c>
      <c r="AE20" s="40">
        <v>-11.68</v>
      </c>
      <c r="AF20" s="40">
        <v>-9.1553440909090913</v>
      </c>
      <c r="AG20" s="40">
        <v>0</v>
      </c>
    </row>
    <row r="21" spans="1:33" ht="15.75" customHeight="1" x14ac:dyDescent="0.2">
      <c r="A21" s="29" t="s">
        <v>75</v>
      </c>
      <c r="B21" s="29" t="s">
        <v>227</v>
      </c>
      <c r="C21" s="16">
        <f t="shared" si="4"/>
        <v>28.954444444444448</v>
      </c>
      <c r="D21" s="30">
        <v>18</v>
      </c>
      <c r="E21" s="30">
        <v>0</v>
      </c>
      <c r="F21" s="33">
        <v>521.18000000000006</v>
      </c>
      <c r="G21" s="31">
        <v>-31.790000000000003</v>
      </c>
      <c r="H21" s="32">
        <f t="shared" si="1"/>
        <v>6.0996200928661877E-2</v>
      </c>
      <c r="I21" s="32">
        <f t="shared" si="2"/>
        <v>4.9587179791312705E-2</v>
      </c>
      <c r="J21" s="33">
        <f t="shared" si="5"/>
        <v>25.843846363636359</v>
      </c>
      <c r="K21" s="33">
        <f t="shared" si="3"/>
        <v>1.4357692424242421</v>
      </c>
      <c r="L21" s="30">
        <v>38</v>
      </c>
      <c r="M21" s="34">
        <f t="shared" si="6"/>
        <v>0.47368421052631576</v>
      </c>
      <c r="N21" s="30">
        <v>97</v>
      </c>
      <c r="O21" s="35">
        <f t="shared" ref="O21:P21" si="29">D21/7</f>
        <v>2.5714285714285716</v>
      </c>
      <c r="P21" s="35">
        <f t="shared" si="29"/>
        <v>0</v>
      </c>
      <c r="Q21" s="30">
        <f t="shared" si="8"/>
        <v>37</v>
      </c>
      <c r="R21" s="30"/>
      <c r="S21" s="36">
        <v>1.44796380090497</v>
      </c>
      <c r="T21" s="29">
        <v>137</v>
      </c>
      <c r="U21" s="37" t="s">
        <v>34</v>
      </c>
      <c r="V21" s="38" t="s">
        <v>34</v>
      </c>
      <c r="W21" s="29">
        <v>3</v>
      </c>
      <c r="X21" s="39">
        <f t="shared" si="9"/>
        <v>0.16666666666666666</v>
      </c>
      <c r="Y21" s="40">
        <f t="shared" si="10"/>
        <v>7.9475000000000007</v>
      </c>
      <c r="Z21" s="29">
        <v>1</v>
      </c>
      <c r="AA21" s="29" t="s">
        <v>163</v>
      </c>
      <c r="AB21" s="41">
        <f t="shared" si="11"/>
        <v>-0.48</v>
      </c>
      <c r="AC21" s="42">
        <v>0.59797222222222224</v>
      </c>
      <c r="AD21" s="40">
        <f t="shared" si="12"/>
        <v>-10.33296</v>
      </c>
      <c r="AE21" s="40">
        <v>-11.68</v>
      </c>
      <c r="AF21" s="40">
        <v>-9.1553440909090913</v>
      </c>
      <c r="AG21" s="40">
        <v>0</v>
      </c>
    </row>
    <row r="22" spans="1:33" ht="15.75" customHeight="1" x14ac:dyDescent="0.2">
      <c r="A22" s="29" t="s">
        <v>76</v>
      </c>
      <c r="B22" s="29" t="s">
        <v>228</v>
      </c>
      <c r="C22" s="16">
        <f t="shared" si="4"/>
        <v>29.934545454545457</v>
      </c>
      <c r="D22" s="30">
        <v>11</v>
      </c>
      <c r="E22" s="30">
        <v>0</v>
      </c>
      <c r="F22" s="31">
        <v>329.28000000000003</v>
      </c>
      <c r="G22" s="31">
        <v>-3.38</v>
      </c>
      <c r="H22" s="32">
        <f t="shared" si="1"/>
        <v>1.0264820213799805E-2</v>
      </c>
      <c r="I22" s="32">
        <f t="shared" si="2"/>
        <v>0.12452814727081321</v>
      </c>
      <c r="J22" s="33">
        <f t="shared" si="5"/>
        <v>41.004628333333379</v>
      </c>
      <c r="K22" s="33">
        <f t="shared" si="3"/>
        <v>3.7276934848484888</v>
      </c>
      <c r="L22" s="30">
        <v>44</v>
      </c>
      <c r="M22" s="34">
        <f t="shared" si="6"/>
        <v>0.25</v>
      </c>
      <c r="N22" s="30">
        <v>96</v>
      </c>
      <c r="O22" s="35">
        <f t="shared" ref="O22:P22" si="30">D22/7</f>
        <v>1.5714285714285714</v>
      </c>
      <c r="P22" s="35">
        <f t="shared" si="30"/>
        <v>0</v>
      </c>
      <c r="Q22" s="30">
        <f t="shared" si="8"/>
        <v>61</v>
      </c>
      <c r="R22" s="30"/>
      <c r="S22" s="36">
        <v>1.7931034482758601</v>
      </c>
      <c r="T22" s="29">
        <v>137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0.59797222222222224</v>
      </c>
      <c r="AD22" s="40">
        <f t="shared" si="12"/>
        <v>-6.3145866666666661</v>
      </c>
      <c r="AE22" s="40">
        <v>-11.68</v>
      </c>
      <c r="AF22" s="40">
        <v>-9.1553440909090913</v>
      </c>
      <c r="AG22" s="40">
        <v>0</v>
      </c>
    </row>
    <row r="23" spans="1:33" ht="15.75" customHeight="1" x14ac:dyDescent="0.2">
      <c r="A23" s="29" t="s">
        <v>77</v>
      </c>
      <c r="B23" s="29" t="s">
        <v>229</v>
      </c>
      <c r="C23" s="16">
        <f t="shared" si="4"/>
        <v>30.238571428571429</v>
      </c>
      <c r="D23" s="30">
        <v>28</v>
      </c>
      <c r="E23" s="30">
        <v>0</v>
      </c>
      <c r="F23" s="33">
        <v>846.68000000000006</v>
      </c>
      <c r="G23" s="31">
        <v>-0.08</v>
      </c>
      <c r="H23" s="32">
        <f t="shared" si="1"/>
        <v>9.4486700996834693E-5</v>
      </c>
      <c r="I23" s="32">
        <f t="shared" si="2"/>
        <v>0.14188934676762427</v>
      </c>
      <c r="J23" s="33">
        <f t="shared" si="5"/>
        <v>120.13487212121213</v>
      </c>
      <c r="K23" s="33">
        <f t="shared" si="3"/>
        <v>4.2905311471861474</v>
      </c>
      <c r="L23" s="30">
        <v>66</v>
      </c>
      <c r="M23" s="34">
        <f t="shared" si="6"/>
        <v>0.42424242424242425</v>
      </c>
      <c r="N23" s="30">
        <v>72</v>
      </c>
      <c r="O23" s="35">
        <f t="shared" ref="O23:P23" si="31">D23/7</f>
        <v>4</v>
      </c>
      <c r="P23" s="35">
        <f t="shared" si="31"/>
        <v>0</v>
      </c>
      <c r="Q23" s="30">
        <f t="shared" si="8"/>
        <v>18</v>
      </c>
      <c r="R23" s="30"/>
      <c r="S23" s="36">
        <v>1.2105263157894699</v>
      </c>
      <c r="T23" s="29">
        <v>137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0.59797222222222224</v>
      </c>
      <c r="AD23" s="40">
        <f t="shared" si="12"/>
        <v>-16.073493333333332</v>
      </c>
      <c r="AE23" s="40">
        <v>-11.68</v>
      </c>
      <c r="AF23" s="40">
        <v>-9.1553440909090913</v>
      </c>
      <c r="AG23" s="40">
        <v>0</v>
      </c>
    </row>
    <row r="24" spans="1:33" ht="15.75" customHeight="1" x14ac:dyDescent="0.2">
      <c r="A24" s="29" t="s">
        <v>79</v>
      </c>
      <c r="B24" s="29" t="s">
        <v>229</v>
      </c>
      <c r="C24" s="16">
        <f t="shared" si="4"/>
        <v>29.380555555555556</v>
      </c>
      <c r="D24" s="30">
        <v>18</v>
      </c>
      <c r="E24" s="30">
        <v>0</v>
      </c>
      <c r="F24" s="33">
        <v>528.85</v>
      </c>
      <c r="G24" s="33">
        <v>-0.16</v>
      </c>
      <c r="H24" s="32">
        <f t="shared" si="1"/>
        <v>3.0254325423087833E-4</v>
      </c>
      <c r="I24" s="32">
        <f t="shared" si="2"/>
        <v>0.12100472036236411</v>
      </c>
      <c r="J24" s="33">
        <f t="shared" si="5"/>
        <v>63.993346363636263</v>
      </c>
      <c r="K24" s="33">
        <f t="shared" si="3"/>
        <v>3.5551859090909037</v>
      </c>
      <c r="L24" s="30">
        <v>64</v>
      </c>
      <c r="M24" s="34">
        <f t="shared" si="6"/>
        <v>0.28125</v>
      </c>
      <c r="N24" s="30">
        <v>55</v>
      </c>
      <c r="O24" s="35">
        <f t="shared" ref="O24:P24" si="32">D24/7</f>
        <v>2.5714285714285716</v>
      </c>
      <c r="P24" s="35">
        <f t="shared" si="32"/>
        <v>0</v>
      </c>
      <c r="Q24" s="30">
        <f t="shared" si="8"/>
        <v>21</v>
      </c>
      <c r="R24" s="30"/>
      <c r="S24" s="36">
        <v>1.53314121037463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Summary!A1:AD5000""),9,FALSE),"""")"),137)</f>
        <v>137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0.59797222222222224</v>
      </c>
      <c r="AD24" s="40">
        <f t="shared" si="12"/>
        <v>-10.33296</v>
      </c>
      <c r="AE24" s="40">
        <v>-11.68</v>
      </c>
      <c r="AF24" s="40">
        <v>-9.1553440909090913</v>
      </c>
      <c r="AG24" s="40">
        <v>0</v>
      </c>
    </row>
    <row r="25" spans="1:33" ht="15.75" customHeight="1" x14ac:dyDescent="0.2">
      <c r="A25" s="15" t="s">
        <v>81</v>
      </c>
      <c r="B25" s="15" t="s">
        <v>230</v>
      </c>
      <c r="C25" s="16">
        <f t="shared" si="4"/>
        <v>29.048260869565219</v>
      </c>
      <c r="D25" s="17">
        <v>23</v>
      </c>
      <c r="E25" s="17">
        <v>0</v>
      </c>
      <c r="F25" s="18">
        <v>668.11</v>
      </c>
      <c r="G25" s="18">
        <v>-0.15</v>
      </c>
      <c r="H25" s="32">
        <f t="shared" si="1"/>
        <v>2.2451392734729311E-4</v>
      </c>
      <c r="I25" s="32">
        <f t="shared" si="2"/>
        <v>0.11258665988135694</v>
      </c>
      <c r="J25" s="33">
        <f t="shared" si="5"/>
        <v>75.220273333333381</v>
      </c>
      <c r="K25" s="33">
        <f t="shared" si="3"/>
        <v>3.2704466666666687</v>
      </c>
      <c r="L25" s="17">
        <v>69</v>
      </c>
      <c r="M25" s="34">
        <f t="shared" si="6"/>
        <v>0.33333333333333331</v>
      </c>
      <c r="N25" s="17">
        <v>29</v>
      </c>
      <c r="O25" s="35">
        <f t="shared" ref="O25:P25" si="33">D25/7</f>
        <v>3.2857142857142856</v>
      </c>
      <c r="P25" s="35">
        <f t="shared" si="33"/>
        <v>0</v>
      </c>
      <c r="Q25" s="30">
        <f t="shared" si="8"/>
        <v>8</v>
      </c>
      <c r="R25" s="30"/>
      <c r="S25" s="36">
        <v>1.53314121037463</v>
      </c>
      <c r="T25" s="29">
        <v>137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0.59797222222222224</v>
      </c>
      <c r="AD25" s="40">
        <f t="shared" si="12"/>
        <v>-13.203226666666666</v>
      </c>
      <c r="AE25" s="26">
        <v>-11.68</v>
      </c>
      <c r="AF25" s="26">
        <v>-9.16</v>
      </c>
      <c r="AG25" s="26">
        <v>0</v>
      </c>
    </row>
    <row r="26" spans="1:33" ht="15.75" customHeight="1" x14ac:dyDescent="0.2">
      <c r="A26" s="15" t="s">
        <v>83</v>
      </c>
      <c r="B26" s="15" t="s">
        <v>172</v>
      </c>
      <c r="C26" s="16">
        <f t="shared" si="4"/>
        <v>28.795499999999997</v>
      </c>
      <c r="D26" s="17">
        <v>20</v>
      </c>
      <c r="E26" s="17">
        <v>0</v>
      </c>
      <c r="F26" s="18">
        <v>575.91</v>
      </c>
      <c r="G26" s="18">
        <v>0</v>
      </c>
      <c r="H26" s="32">
        <f t="shared" si="1"/>
        <v>0</v>
      </c>
      <c r="I26" s="32">
        <f t="shared" si="2"/>
        <v>9.2610914058015206E-2</v>
      </c>
      <c r="J26" s="33">
        <f t="shared" si="5"/>
        <v>53.335551515151536</v>
      </c>
      <c r="K26" s="33">
        <f t="shared" si="3"/>
        <v>2.6667775757575769</v>
      </c>
      <c r="L26" s="17">
        <v>55</v>
      </c>
      <c r="M26" s="34">
        <f t="shared" si="6"/>
        <v>0.36363636363636365</v>
      </c>
      <c r="N26" s="17">
        <v>13</v>
      </c>
      <c r="O26" s="35">
        <f t="shared" ref="O26:P26" si="34">D26/7</f>
        <v>2.8571428571428572</v>
      </c>
      <c r="P26" s="35">
        <f t="shared" si="34"/>
        <v>0</v>
      </c>
      <c r="Q26" s="30">
        <f t="shared" si="8"/>
        <v>4</v>
      </c>
      <c r="R26" s="30"/>
      <c r="S26" s="22">
        <v>2.9617021276595739</v>
      </c>
      <c r="T26" s="29">
        <v>137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0.59797222222222224</v>
      </c>
      <c r="AD26" s="40">
        <f t="shared" si="12"/>
        <v>-11.481066666666667</v>
      </c>
      <c r="AE26" s="26">
        <v>-12.08</v>
      </c>
      <c r="AF26" s="26">
        <v>-9.1553440909090895</v>
      </c>
      <c r="AG26" s="26">
        <v>0</v>
      </c>
    </row>
    <row r="27" spans="1:33" ht="15.75" customHeight="1" x14ac:dyDescent="0.2">
      <c r="A27" s="15" t="s">
        <v>84</v>
      </c>
      <c r="B27" s="15" t="s">
        <v>172</v>
      </c>
      <c r="C27" s="16">
        <f t="shared" si="4"/>
        <v>28.99</v>
      </c>
      <c r="D27" s="17">
        <v>6</v>
      </c>
      <c r="E27" s="17">
        <v>1</v>
      </c>
      <c r="F27" s="18">
        <v>173.94</v>
      </c>
      <c r="G27" s="18">
        <v>0</v>
      </c>
      <c r="H27" s="32">
        <f t="shared" si="1"/>
        <v>0</v>
      </c>
      <c r="I27" s="32">
        <f t="shared" si="2"/>
        <v>9.769239654217228E-2</v>
      </c>
      <c r="J27" s="33">
        <f t="shared" si="5"/>
        <v>16.992615454545447</v>
      </c>
      <c r="K27" s="33">
        <f t="shared" si="3"/>
        <v>2.8321025757575744</v>
      </c>
      <c r="L27" s="17">
        <v>16</v>
      </c>
      <c r="M27" s="34">
        <f t="shared" si="6"/>
        <v>0.375</v>
      </c>
      <c r="N27" s="17">
        <v>2</v>
      </c>
      <c r="O27" s="35">
        <f t="shared" ref="O27:P27" si="35">D27/7</f>
        <v>0.8571428571428571</v>
      </c>
      <c r="P27" s="35">
        <f t="shared" si="35"/>
        <v>0.14285714285714285</v>
      </c>
      <c r="Q27" s="30">
        <f t="shared" si="8"/>
        <v>2</v>
      </c>
      <c r="R27" s="30"/>
      <c r="S27" s="22">
        <v>0</v>
      </c>
      <c r="T27" s="29">
        <v>137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0.59797222222222224</v>
      </c>
      <c r="AD27" s="40">
        <f t="shared" si="12"/>
        <v>-3.4443199999999998</v>
      </c>
      <c r="AE27" s="26">
        <v>-12.08</v>
      </c>
      <c r="AF27" s="26">
        <v>-9.1553440909090895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57</v>
      </c>
      <c r="V28" s="1" t="s">
        <v>231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0.59797222222222224</v>
      </c>
      <c r="AD28" s="40">
        <f t="shared" si="12"/>
        <v>0</v>
      </c>
      <c r="AE28" s="26">
        <v>-12.08</v>
      </c>
      <c r="AF28" s="26">
        <v>-9.1553440909090895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57</v>
      </c>
      <c r="V29" s="1" t="s">
        <v>232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0.59797222222222224</v>
      </c>
      <c r="AD29" s="40">
        <f t="shared" si="12"/>
        <v>0</v>
      </c>
      <c r="AE29" s="26">
        <v>-12.08</v>
      </c>
      <c r="AF29" s="26">
        <v>-9.1553440909090895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57</v>
      </c>
      <c r="V30" s="1" t="s">
        <v>233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0.59797222222222224</v>
      </c>
      <c r="AD30" s="40">
        <f t="shared" si="12"/>
        <v>0</v>
      </c>
      <c r="AE30" s="26">
        <v>-12.08</v>
      </c>
      <c r="AF30" s="26">
        <v>-10.419285199999999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137</v>
      </c>
      <c r="U31" s="23">
        <v>57</v>
      </c>
      <c r="V31" s="1" t="s">
        <v>234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0.59797222222222224</v>
      </c>
      <c r="AD31" s="40">
        <f t="shared" si="12"/>
        <v>0</v>
      </c>
      <c r="AE31" s="26">
        <v>-12.08</v>
      </c>
      <c r="AF31" s="43">
        <v>-10.419285199999999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IFERROR(__xludf.DUMMYFUNCTION("IFERROR(VLOOKUP($B$2,IMPORTRANGE(""https://docs.google.com/spreadsheets/d/1KiWZV1ko8G7lnRucBRBd29jj3Be6ltMfljMDqzOkQmI/edit#gid=1381463014"",""Lookup!A:D""),4,FALSE),"""")"),137)</f>
        <v>137</v>
      </c>
      <c r="U32" s="23">
        <f ca="1">IFERROR(__xludf.DUMMYFUNCTION("IFERROR(VLOOKUP($B$2,IMPORTRANGE(""https://docs.google.com/spreadsheets/d/1KiWZV1ko8G7lnRucBRBd29jj3Be6ltMfljMDqzOkQmI/edit#gid=1381463014"",""Lookup!A:D""),3,FALSE),"""")"),0)</f>
        <v>0</v>
      </c>
      <c r="V32" s="1" t="str">
        <f ca="1">IFERROR(__xludf.DUMMYFUNCTION("IFERROR(VLOOKUP($B$2,IMPORTRANGE(""https://docs.google.com/spreadsheets/d/1KiWZV1ko8G7lnRucBRBd29jj3Be6ltMfljMDqzOkQmI/edit#gid=1381463014"",""Lookup!A:D""),2,FALSE),"""")"),"| AGL256  - 57 units 09/17")</f>
        <v>| AGL256  - 57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0.59797222222222224</v>
      </c>
      <c r="AD32" s="40">
        <f t="shared" si="12"/>
        <v>0</v>
      </c>
      <c r="AE32" s="26">
        <v>-12.08</v>
      </c>
      <c r="AF32" s="26">
        <v>-10.419285199999999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8.6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7.6640625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8.6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- 20x30 Inch Graywash Framed Hanging Chalk Board")</f>
        <v>Magnetic Kitchen Chalkboard Sign - 20x30 Inch Graywash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Info!B1:BJ5000""),2,FALSE),"""")"),"B07JN25JSW")</f>
        <v>B07JN25JSW</v>
      </c>
      <c r="B2" s="3" t="s">
        <v>235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26.469747294117646</v>
      </c>
      <c r="D3" s="5">
        <f>SUM(D4:D99519)</f>
        <v>109</v>
      </c>
      <c r="E3" s="5"/>
      <c r="F3" s="6">
        <f t="shared" ref="F3:G3" si="0">SUM(F4:F99519)</f>
        <v>2865.19</v>
      </c>
      <c r="G3" s="6">
        <f t="shared" si="0"/>
        <v>-201.16000000000003</v>
      </c>
      <c r="H3" s="7">
        <f t="shared" ref="H3:H32" si="1">G3/F3*-1</f>
        <v>7.0208258440103449E-2</v>
      </c>
      <c r="I3" s="8">
        <f t="shared" ref="I3:I32" si="2">J3/F3</f>
        <v>-4.9401798890697055E-2</v>
      </c>
      <c r="J3" s="6">
        <f>SUM(J4:J99519)</f>
        <v>-141.5455401636363</v>
      </c>
      <c r="K3" s="6">
        <f t="shared" ref="K3:K32" si="3">J3/D3</f>
        <v>-1.2985829372810671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Sheet!a1:g5000""),2,FALSE),"""")"),"1.0 - March
1.0 - April
1.0 - May
1.0 - June
1.0 - July
1.0 - Aug
1.0 - Sept
1.0 - Oct
1.0 - Nov
1.0 - Dec
1.0 - Jan
1.0 - Feb")</f>
        <v>1.0 - March
1.0 - April
1.0 - May
1.0 - June
1.0 - July
1.0 - Aug
1.0 - Sept
1.0 - Oct
1.0 - Nov
1.0 - Dec
1.0 - Jan
1.0 -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4</v>
      </c>
      <c r="X3" s="7">
        <f>W3/D3</f>
        <v>3.669724770642202E-2</v>
      </c>
      <c r="Y3" s="6"/>
      <c r="Z3" s="5"/>
      <c r="AA3" s="5"/>
      <c r="AB3" s="5"/>
      <c r="AC3" s="5"/>
      <c r="AD3" s="6">
        <f>SUM(AD4:AD99519)</f>
        <v>-58.287750000000003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Info!B2:BZ3000""),37,FALSE)),"""")*-1"),-10.4192852)</f>
        <v>-10.419285199999999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5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220</v>
      </c>
      <c r="U4" s="23">
        <v>100</v>
      </c>
      <c r="V4" s="24" t="s">
        <v>236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-8.4194471212121211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5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220</v>
      </c>
      <c r="U5" s="37">
        <v>100</v>
      </c>
      <c r="V5" s="38" t="s">
        <v>237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-8.4194471212121211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5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220</v>
      </c>
      <c r="U6" s="37">
        <v>100</v>
      </c>
      <c r="V6" s="38" t="s">
        <v>238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-8.4194471212121211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5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220</v>
      </c>
      <c r="U7" s="37">
        <v>100</v>
      </c>
      <c r="V7" s="38" t="s">
        <v>239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-8.4194471212121211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5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246</v>
      </c>
      <c r="U8" s="37">
        <v>100</v>
      </c>
      <c r="V8" s="38" t="s">
        <v>240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-8.42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5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246</v>
      </c>
      <c r="U9" s="37">
        <v>100</v>
      </c>
      <c r="V9" s="38" t="s">
        <v>241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-8.9015865151515108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5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126</v>
      </c>
      <c r="U10" s="37">
        <v>100</v>
      </c>
      <c r="V10" s="38" t="s">
        <v>242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-8.9015865151515108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5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152</v>
      </c>
      <c r="U11" s="37">
        <v>100</v>
      </c>
      <c r="V11" s="38" t="s">
        <v>243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-8.9015865151515108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5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152</v>
      </c>
      <c r="U12" s="37">
        <v>100</v>
      </c>
      <c r="V12" s="38" t="s">
        <v>244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-8.9015865151515108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5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152</v>
      </c>
      <c r="U13" s="37">
        <v>100</v>
      </c>
      <c r="V13" s="38" t="s">
        <v>245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-9.1553440909090895</v>
      </c>
      <c r="AG13" s="40">
        <v>0</v>
      </c>
    </row>
    <row r="14" spans="1:33" ht="15.75" customHeight="1" x14ac:dyDescent="0.2">
      <c r="A14" s="29" t="s">
        <v>59</v>
      </c>
      <c r="B14" s="29" t="s">
        <v>246</v>
      </c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105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>
        <v>0</v>
      </c>
      <c r="T14" s="29">
        <v>152</v>
      </c>
      <c r="U14" s="37">
        <v>26</v>
      </c>
      <c r="V14" s="38" t="s">
        <v>247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0.55703124999999998</v>
      </c>
      <c r="AD14" s="40">
        <f t="shared" si="12"/>
        <v>0</v>
      </c>
      <c r="AE14" s="40">
        <v>-11.68</v>
      </c>
      <c r="AF14" s="40">
        <v>-9.1553440909090895</v>
      </c>
      <c r="AG14" s="40">
        <v>0</v>
      </c>
    </row>
    <row r="15" spans="1:33" ht="15.75" customHeight="1" x14ac:dyDescent="0.2">
      <c r="A15" s="29" t="s">
        <v>61</v>
      </c>
      <c r="B15" s="29" t="s">
        <v>183</v>
      </c>
      <c r="C15" s="16">
        <f t="shared" si="4"/>
        <v>28.68</v>
      </c>
      <c r="D15" s="30">
        <v>5</v>
      </c>
      <c r="E15" s="30">
        <v>0</v>
      </c>
      <c r="F15" s="33">
        <v>143.4</v>
      </c>
      <c r="G15" s="31">
        <v>-59.09</v>
      </c>
      <c r="H15" s="32">
        <f t="shared" si="1"/>
        <v>0.41206415620641562</v>
      </c>
      <c r="I15" s="32">
        <f t="shared" si="2"/>
        <v>-0.30718598643337131</v>
      </c>
      <c r="J15" s="33">
        <f t="shared" si="5"/>
        <v>-44.050470454545447</v>
      </c>
      <c r="K15" s="33">
        <f t="shared" si="3"/>
        <v>-8.8100940909090895</v>
      </c>
      <c r="L15" s="30">
        <v>43</v>
      </c>
      <c r="M15" s="34">
        <f t="shared" si="6"/>
        <v>0.11627906976744186</v>
      </c>
      <c r="N15" s="30">
        <v>100</v>
      </c>
      <c r="O15" s="35">
        <f t="shared" ref="O15:P15" si="23">D15/7</f>
        <v>0.7142857142857143</v>
      </c>
      <c r="P15" s="35">
        <f t="shared" si="23"/>
        <v>0</v>
      </c>
      <c r="Q15" s="30">
        <f t="shared" si="8"/>
        <v>140</v>
      </c>
      <c r="R15" s="30"/>
      <c r="S15" s="36">
        <v>0.13793103448275801</v>
      </c>
      <c r="T15" s="29">
        <v>126</v>
      </c>
      <c r="U15" s="37">
        <v>26</v>
      </c>
      <c r="V15" s="38" t="s">
        <v>247</v>
      </c>
      <c r="W15" s="29">
        <v>1</v>
      </c>
      <c r="X15" s="39">
        <f t="shared" si="9"/>
        <v>0.2</v>
      </c>
      <c r="Y15" s="40">
        <f t="shared" si="10"/>
        <v>29.545000000000002</v>
      </c>
      <c r="Z15" s="29">
        <v>1</v>
      </c>
      <c r="AA15" s="29" t="s">
        <v>163</v>
      </c>
      <c r="AB15" s="41">
        <f t="shared" si="11"/>
        <v>-0.48</v>
      </c>
      <c r="AC15" s="42">
        <v>0.55703124999999998</v>
      </c>
      <c r="AD15" s="40">
        <f t="shared" si="12"/>
        <v>-2.6737499999999996</v>
      </c>
      <c r="AE15" s="40">
        <v>-11.68</v>
      </c>
      <c r="AF15" s="40">
        <v>-9.1553440909090895</v>
      </c>
      <c r="AG15" s="40">
        <v>0</v>
      </c>
    </row>
    <row r="16" spans="1:33" ht="15.75" customHeight="1" x14ac:dyDescent="0.2">
      <c r="A16" s="29" t="s">
        <v>64</v>
      </c>
      <c r="B16" s="29" t="s">
        <v>183</v>
      </c>
      <c r="C16" s="16">
        <f t="shared" si="4"/>
        <v>27.99</v>
      </c>
      <c r="D16" s="30">
        <v>4</v>
      </c>
      <c r="E16" s="30">
        <v>0</v>
      </c>
      <c r="F16" s="33">
        <v>111.96</v>
      </c>
      <c r="G16" s="31">
        <v>-69.81</v>
      </c>
      <c r="H16" s="32">
        <f t="shared" si="1"/>
        <v>0.62352625937834949</v>
      </c>
      <c r="I16" s="32">
        <f t="shared" si="2"/>
        <v>-0.53701658059696644</v>
      </c>
      <c r="J16" s="33">
        <f t="shared" si="5"/>
        <v>-60.124376363636365</v>
      </c>
      <c r="K16" s="33">
        <f t="shared" si="3"/>
        <v>-15.031094090909091</v>
      </c>
      <c r="L16" s="30">
        <v>34</v>
      </c>
      <c r="M16" s="34">
        <f t="shared" si="6"/>
        <v>0.11764705882352941</v>
      </c>
      <c r="N16" s="30">
        <v>96</v>
      </c>
      <c r="O16" s="35">
        <f t="shared" ref="O16:P16" si="24">D16/7</f>
        <v>0.5714285714285714</v>
      </c>
      <c r="P16" s="35">
        <f t="shared" si="24"/>
        <v>0</v>
      </c>
      <c r="Q16" s="30">
        <f t="shared" si="8"/>
        <v>168</v>
      </c>
      <c r="R16" s="30"/>
      <c r="S16" s="36">
        <v>0.25</v>
      </c>
      <c r="T16" s="29">
        <v>126</v>
      </c>
      <c r="U16" s="37">
        <v>26</v>
      </c>
      <c r="V16" s="38" t="s">
        <v>248</v>
      </c>
      <c r="W16" s="29">
        <v>1</v>
      </c>
      <c r="X16" s="39">
        <f t="shared" si="9"/>
        <v>0.25</v>
      </c>
      <c r="Y16" s="40">
        <f t="shared" si="10"/>
        <v>23.27</v>
      </c>
      <c r="Z16" s="29">
        <v>2</v>
      </c>
      <c r="AA16" s="29" t="s">
        <v>163</v>
      </c>
      <c r="AB16" s="41">
        <f t="shared" si="11"/>
        <v>-0.48</v>
      </c>
      <c r="AC16" s="42">
        <v>0.55703124999999998</v>
      </c>
      <c r="AD16" s="40">
        <f t="shared" si="12"/>
        <v>-2.1389999999999998</v>
      </c>
      <c r="AE16" s="40">
        <v>-11.68</v>
      </c>
      <c r="AF16" s="40">
        <v>-9.1553440909090895</v>
      </c>
      <c r="AG16" s="40">
        <v>0</v>
      </c>
    </row>
    <row r="17" spans="1:33" ht="15.75" customHeight="1" x14ac:dyDescent="0.2">
      <c r="A17" s="29" t="s">
        <v>66</v>
      </c>
      <c r="B17" s="29" t="s">
        <v>249</v>
      </c>
      <c r="C17" s="16">
        <f t="shared" si="4"/>
        <v>27.99</v>
      </c>
      <c r="D17" s="30">
        <v>2</v>
      </c>
      <c r="E17" s="30">
        <v>0</v>
      </c>
      <c r="F17" s="33">
        <v>55.98</v>
      </c>
      <c r="G17" s="31">
        <v>-22.65</v>
      </c>
      <c r="H17" s="32">
        <f t="shared" si="1"/>
        <v>0.40460878885316182</v>
      </c>
      <c r="I17" s="32">
        <f t="shared" si="2"/>
        <v>-0.31809911007177888</v>
      </c>
      <c r="J17" s="33">
        <f t="shared" si="5"/>
        <v>-17.80718818181818</v>
      </c>
      <c r="K17" s="33">
        <f t="shared" si="3"/>
        <v>-8.90359409090909</v>
      </c>
      <c r="L17" s="30">
        <v>15</v>
      </c>
      <c r="M17" s="34">
        <f t="shared" si="6"/>
        <v>0.13333333333333333</v>
      </c>
      <c r="N17" s="30">
        <v>94</v>
      </c>
      <c r="O17" s="35">
        <f t="shared" ref="O17:P17" si="25">D17/7</f>
        <v>0.2857142857142857</v>
      </c>
      <c r="P17" s="35">
        <f t="shared" si="25"/>
        <v>0</v>
      </c>
      <c r="Q17" s="30">
        <f t="shared" si="8"/>
        <v>329</v>
      </c>
      <c r="R17" s="30"/>
      <c r="S17" s="36">
        <v>0.36697247706421998</v>
      </c>
      <c r="T17" s="29">
        <v>126</v>
      </c>
      <c r="U17" s="37">
        <v>26</v>
      </c>
      <c r="V17" s="38" t="s">
        <v>248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0.55703124999999998</v>
      </c>
      <c r="AD17" s="40">
        <f t="shared" si="12"/>
        <v>-1.0694999999999999</v>
      </c>
      <c r="AE17" s="40">
        <v>-11.68</v>
      </c>
      <c r="AF17" s="40">
        <v>-9.1553440909090895</v>
      </c>
      <c r="AG17" s="40">
        <v>0</v>
      </c>
    </row>
    <row r="18" spans="1:33" ht="15.75" customHeight="1" x14ac:dyDescent="0.2">
      <c r="A18" s="29" t="s">
        <v>69</v>
      </c>
      <c r="B18" s="29" t="s">
        <v>187</v>
      </c>
      <c r="C18" s="16">
        <f t="shared" si="4"/>
        <v>27.99</v>
      </c>
      <c r="D18" s="30">
        <v>4</v>
      </c>
      <c r="E18" s="30">
        <v>0</v>
      </c>
      <c r="F18" s="33">
        <v>111.96</v>
      </c>
      <c r="G18" s="31">
        <v>-2.6</v>
      </c>
      <c r="H18" s="32">
        <f t="shared" si="1"/>
        <v>2.3222579492675959E-2</v>
      </c>
      <c r="I18" s="32">
        <f t="shared" si="2"/>
        <v>6.3287099288707099E-2</v>
      </c>
      <c r="J18" s="33">
        <f t="shared" si="5"/>
        <v>7.0856236363636462</v>
      </c>
      <c r="K18" s="33">
        <f t="shared" si="3"/>
        <v>1.7714059090909116</v>
      </c>
      <c r="L18" s="30">
        <v>11</v>
      </c>
      <c r="M18" s="34">
        <f t="shared" si="6"/>
        <v>0.36363636363636365</v>
      </c>
      <c r="N18" s="30">
        <v>90</v>
      </c>
      <c r="O18" s="35">
        <f t="shared" ref="O18:P18" si="26">D18/7</f>
        <v>0.5714285714285714</v>
      </c>
      <c r="P18" s="35">
        <f t="shared" si="26"/>
        <v>0</v>
      </c>
      <c r="Q18" s="30">
        <f t="shared" si="8"/>
        <v>157</v>
      </c>
      <c r="R18" s="30"/>
      <c r="S18" s="36">
        <v>0.490566037735849</v>
      </c>
      <c r="T18" s="29">
        <v>126</v>
      </c>
      <c r="U18" s="37" t="s">
        <v>34</v>
      </c>
      <c r="V18" s="38" t="s">
        <v>250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0.55703124999999998</v>
      </c>
      <c r="AD18" s="40">
        <f t="shared" si="12"/>
        <v>-2.1389999999999998</v>
      </c>
      <c r="AE18" s="40">
        <v>-11.68</v>
      </c>
      <c r="AF18" s="40">
        <v>-9.1553440909090895</v>
      </c>
      <c r="AG18" s="40">
        <v>0</v>
      </c>
    </row>
    <row r="19" spans="1:33" ht="15.75" customHeight="1" x14ac:dyDescent="0.2">
      <c r="A19" s="29" t="s">
        <v>71</v>
      </c>
      <c r="B19" s="29" t="s">
        <v>251</v>
      </c>
      <c r="C19" s="16">
        <f t="shared" si="4"/>
        <v>27.99</v>
      </c>
      <c r="D19" s="30">
        <v>3</v>
      </c>
      <c r="E19" s="30">
        <v>0</v>
      </c>
      <c r="F19" s="33">
        <v>83.97</v>
      </c>
      <c r="G19" s="31">
        <v>-5.4300000000000006</v>
      </c>
      <c r="H19" s="32">
        <f t="shared" si="1"/>
        <v>6.4665952125759207E-2</v>
      </c>
      <c r="I19" s="32">
        <f t="shared" si="2"/>
        <v>2.1843726655623629E-2</v>
      </c>
      <c r="J19" s="33">
        <f t="shared" si="5"/>
        <v>1.834217727272716</v>
      </c>
      <c r="K19" s="33">
        <f t="shared" si="3"/>
        <v>0.61140590909090531</v>
      </c>
      <c r="L19" s="30">
        <v>27</v>
      </c>
      <c r="M19" s="34">
        <f t="shared" si="6"/>
        <v>0.1111111111111111</v>
      </c>
      <c r="N19" s="30">
        <v>113</v>
      </c>
      <c r="O19" s="35">
        <f t="shared" ref="O19:P19" si="27">D19/7</f>
        <v>0.42857142857142855</v>
      </c>
      <c r="P19" s="35">
        <f t="shared" si="27"/>
        <v>0</v>
      </c>
      <c r="Q19" s="30">
        <f t="shared" si="8"/>
        <v>263</v>
      </c>
      <c r="R19" s="30"/>
      <c r="S19" s="36">
        <v>0.24347826086956501</v>
      </c>
      <c r="T19" s="29">
        <v>162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5.4300000000000006</v>
      </c>
      <c r="Z19" s="29">
        <v>1</v>
      </c>
      <c r="AA19" s="29" t="s">
        <v>163</v>
      </c>
      <c r="AB19" s="41">
        <f t="shared" si="11"/>
        <v>-0.48</v>
      </c>
      <c r="AC19" s="42">
        <v>0.55703124999999998</v>
      </c>
      <c r="AD19" s="40">
        <f t="shared" si="12"/>
        <v>-1.60425</v>
      </c>
      <c r="AE19" s="40">
        <v>-11.68</v>
      </c>
      <c r="AF19" s="40">
        <v>-9.1553440909090913</v>
      </c>
      <c r="AG19" s="40">
        <v>0</v>
      </c>
    </row>
    <row r="20" spans="1:33" ht="15.75" customHeight="1" x14ac:dyDescent="0.2">
      <c r="A20" s="29" t="s">
        <v>74</v>
      </c>
      <c r="B20" s="29" t="s">
        <v>187</v>
      </c>
      <c r="C20" s="16">
        <f t="shared" si="4"/>
        <v>27.388333333333335</v>
      </c>
      <c r="D20" s="30">
        <v>6</v>
      </c>
      <c r="E20" s="30">
        <v>0</v>
      </c>
      <c r="F20" s="33">
        <v>164.33</v>
      </c>
      <c r="G20" s="31">
        <v>-3.05</v>
      </c>
      <c r="H20" s="32">
        <f t="shared" si="1"/>
        <v>1.856021420312785E-2</v>
      </c>
      <c r="I20" s="32">
        <f t="shared" si="2"/>
        <v>5.1177115892079551E-2</v>
      </c>
      <c r="J20" s="33">
        <f t="shared" si="5"/>
        <v>8.4099354545454332</v>
      </c>
      <c r="K20" s="33">
        <f t="shared" si="3"/>
        <v>1.4016559090909055</v>
      </c>
      <c r="L20" s="30">
        <v>22</v>
      </c>
      <c r="M20" s="34">
        <f t="shared" si="6"/>
        <v>0.27272727272727271</v>
      </c>
      <c r="N20" s="30">
        <v>110</v>
      </c>
      <c r="O20" s="35">
        <f t="shared" ref="O20:P20" si="28">D20/7</f>
        <v>0.8571428571428571</v>
      </c>
      <c r="P20" s="35">
        <f t="shared" si="28"/>
        <v>0</v>
      </c>
      <c r="Q20" s="30">
        <f t="shared" si="8"/>
        <v>128</v>
      </c>
      <c r="R20" s="30"/>
      <c r="S20" s="36">
        <v>0.36697247706421998</v>
      </c>
      <c r="T20" s="29">
        <v>162</v>
      </c>
      <c r="U20" s="37" t="s">
        <v>34</v>
      </c>
      <c r="V20" s="38" t="s">
        <v>34</v>
      </c>
      <c r="W20" s="29">
        <v>1</v>
      </c>
      <c r="X20" s="39">
        <f t="shared" si="9"/>
        <v>0.16666666666666666</v>
      </c>
      <c r="Y20" s="40">
        <f t="shared" si="10"/>
        <v>3.05</v>
      </c>
      <c r="Z20" s="29">
        <v>0</v>
      </c>
      <c r="AA20" s="29" t="s">
        <v>163</v>
      </c>
      <c r="AB20" s="41">
        <f t="shared" si="11"/>
        <v>-0.48</v>
      </c>
      <c r="AC20" s="42">
        <v>0.55703124999999998</v>
      </c>
      <c r="AD20" s="40">
        <f t="shared" si="12"/>
        <v>-3.2084999999999999</v>
      </c>
      <c r="AE20" s="40">
        <v>-11.68</v>
      </c>
      <c r="AF20" s="40">
        <v>-9.1553440909090913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26.99</v>
      </c>
      <c r="D21" s="30">
        <v>3</v>
      </c>
      <c r="E21" s="30">
        <v>0</v>
      </c>
      <c r="F21" s="33">
        <v>80.97</v>
      </c>
      <c r="G21" s="31">
        <v>-3.8200000000000003</v>
      </c>
      <c r="H21" s="32">
        <f t="shared" si="1"/>
        <v>4.7177967148326547E-2</v>
      </c>
      <c r="I21" s="32">
        <f t="shared" si="2"/>
        <v>1.1043815330032512E-2</v>
      </c>
      <c r="J21" s="33">
        <f t="shared" si="5"/>
        <v>0.89421772727273252</v>
      </c>
      <c r="K21" s="33">
        <f t="shared" si="3"/>
        <v>0.29807257575757751</v>
      </c>
      <c r="L21" s="30">
        <v>20</v>
      </c>
      <c r="M21" s="34">
        <f t="shared" si="6"/>
        <v>0.15</v>
      </c>
      <c r="N21" s="30">
        <v>105</v>
      </c>
      <c r="O21" s="35">
        <f t="shared" ref="O21:P21" si="29">D21/7</f>
        <v>0.42857142857142855</v>
      </c>
      <c r="P21" s="35">
        <f t="shared" si="29"/>
        <v>0</v>
      </c>
      <c r="Q21" s="30">
        <f t="shared" si="8"/>
        <v>245</v>
      </c>
      <c r="R21" s="30"/>
      <c r="S21" s="36">
        <v>0.45497630331753502</v>
      </c>
      <c r="T21" s="29">
        <v>162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1.2733333333333334</v>
      </c>
      <c r="Z21" s="29">
        <v>3</v>
      </c>
      <c r="AA21" s="29" t="s">
        <v>163</v>
      </c>
      <c r="AB21" s="41">
        <f t="shared" si="11"/>
        <v>-0.48</v>
      </c>
      <c r="AC21" s="42">
        <v>0.55703124999999998</v>
      </c>
      <c r="AD21" s="40">
        <f t="shared" si="12"/>
        <v>-1.60425</v>
      </c>
      <c r="AE21" s="40">
        <v>-11.68</v>
      </c>
      <c r="AF21" s="40">
        <v>-9.1553440909090913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26.99</v>
      </c>
      <c r="D22" s="30">
        <v>5</v>
      </c>
      <c r="E22" s="30">
        <v>0</v>
      </c>
      <c r="F22" s="31">
        <v>134.94999999999999</v>
      </c>
      <c r="G22" s="31">
        <v>-1.1000000000000001</v>
      </c>
      <c r="H22" s="32">
        <f t="shared" si="1"/>
        <v>8.1511670989255301E-3</v>
      </c>
      <c r="I22" s="32">
        <f t="shared" si="2"/>
        <v>5.0070615379433379E-2</v>
      </c>
      <c r="J22" s="33">
        <f t="shared" si="5"/>
        <v>6.7570295454545342</v>
      </c>
      <c r="K22" s="33">
        <f t="shared" si="3"/>
        <v>1.3514059090909067</v>
      </c>
      <c r="L22" s="30">
        <v>14</v>
      </c>
      <c r="M22" s="34">
        <f t="shared" si="6"/>
        <v>0.35714285714285715</v>
      </c>
      <c r="N22" s="30">
        <v>91</v>
      </c>
      <c r="O22" s="35">
        <f t="shared" ref="O22:P22" si="30">D22/7</f>
        <v>0.7142857142857143</v>
      </c>
      <c r="P22" s="35">
        <f t="shared" si="30"/>
        <v>0</v>
      </c>
      <c r="Q22" s="30">
        <f t="shared" si="8"/>
        <v>127</v>
      </c>
      <c r="R22" s="30"/>
      <c r="S22" s="36">
        <v>0.60416666666666596</v>
      </c>
      <c r="T22" s="29">
        <v>162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0.55703124999999998</v>
      </c>
      <c r="AD22" s="40">
        <f t="shared" si="12"/>
        <v>-2.6737499999999996</v>
      </c>
      <c r="AE22" s="40">
        <v>-11.68</v>
      </c>
      <c r="AF22" s="40">
        <v>-9.1553440909090913</v>
      </c>
      <c r="AG22" s="40">
        <v>0</v>
      </c>
    </row>
    <row r="23" spans="1:33" ht="15.75" customHeight="1" x14ac:dyDescent="0.2">
      <c r="A23" s="29" t="s">
        <v>77</v>
      </c>
      <c r="B23" s="29" t="s">
        <v>252</v>
      </c>
      <c r="C23" s="16">
        <f t="shared" si="4"/>
        <v>27.042500000000004</v>
      </c>
      <c r="D23" s="30">
        <v>8</v>
      </c>
      <c r="E23" s="30">
        <v>0</v>
      </c>
      <c r="F23" s="33">
        <v>216.34000000000003</v>
      </c>
      <c r="G23" s="31">
        <v>-3.43</v>
      </c>
      <c r="H23" s="32">
        <f t="shared" si="1"/>
        <v>1.5854673199593231E-2</v>
      </c>
      <c r="I23" s="32">
        <f t="shared" si="2"/>
        <v>4.3904258448401935E-2</v>
      </c>
      <c r="J23" s="33">
        <f t="shared" si="5"/>
        <v>9.4982472727272764</v>
      </c>
      <c r="K23" s="33">
        <f t="shared" si="3"/>
        <v>1.1872809090909096</v>
      </c>
      <c r="L23" s="30">
        <v>20</v>
      </c>
      <c r="M23" s="34">
        <f t="shared" si="6"/>
        <v>0.4</v>
      </c>
      <c r="N23" s="30">
        <v>92</v>
      </c>
      <c r="O23" s="35">
        <f t="shared" ref="O23:P23" si="31">D23/7</f>
        <v>1.1428571428571428</v>
      </c>
      <c r="P23" s="35">
        <f t="shared" si="31"/>
        <v>0</v>
      </c>
      <c r="Q23" s="30">
        <f t="shared" si="8"/>
        <v>80</v>
      </c>
      <c r="R23" s="30"/>
      <c r="S23" s="36">
        <v>0.4375</v>
      </c>
      <c r="T23" s="29">
        <v>162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0.55703124999999998</v>
      </c>
      <c r="AD23" s="40">
        <f t="shared" si="12"/>
        <v>-4.2779999999999996</v>
      </c>
      <c r="AE23" s="40">
        <v>-11.68</v>
      </c>
      <c r="AF23" s="40">
        <v>-9.1553440909090913</v>
      </c>
      <c r="AG23" s="40">
        <v>0</v>
      </c>
    </row>
    <row r="24" spans="1:33" ht="15.75" customHeight="1" x14ac:dyDescent="0.2">
      <c r="A24" s="29" t="s">
        <v>79</v>
      </c>
      <c r="B24" s="29" t="s">
        <v>253</v>
      </c>
      <c r="C24" s="16">
        <f t="shared" si="4"/>
        <v>25.99</v>
      </c>
      <c r="D24" s="30">
        <v>4</v>
      </c>
      <c r="E24" s="30">
        <v>0</v>
      </c>
      <c r="F24" s="33">
        <v>103.96</v>
      </c>
      <c r="G24" s="33">
        <v>-3.16</v>
      </c>
      <c r="H24" s="32">
        <f t="shared" si="1"/>
        <v>3.0396306271642942E-2</v>
      </c>
      <c r="I24" s="32">
        <f t="shared" si="2"/>
        <v>-2.6392493616426991E-3</v>
      </c>
      <c r="J24" s="33">
        <f t="shared" si="5"/>
        <v>-0.27437636363637496</v>
      </c>
      <c r="K24" s="33">
        <f t="shared" si="3"/>
        <v>-6.8594090909093741E-2</v>
      </c>
      <c r="L24" s="30">
        <v>27</v>
      </c>
      <c r="M24" s="34">
        <f t="shared" si="6"/>
        <v>0.14814814814814814</v>
      </c>
      <c r="N24" s="30">
        <v>87</v>
      </c>
      <c r="O24" s="35">
        <f t="shared" ref="O24:P24" si="32">D24/7</f>
        <v>0.5714285714285714</v>
      </c>
      <c r="P24" s="35">
        <f t="shared" si="32"/>
        <v>0</v>
      </c>
      <c r="Q24" s="30">
        <f t="shared" si="8"/>
        <v>152</v>
      </c>
      <c r="R24" s="30"/>
      <c r="S24" s="36">
        <v>0.53420195439739404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Summary!A1:AD5000""),9,FALSE),"""")"),162)</f>
        <v>162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0.55703124999999998</v>
      </c>
      <c r="AD24" s="40">
        <f t="shared" si="12"/>
        <v>-2.1389999999999998</v>
      </c>
      <c r="AE24" s="40">
        <v>-11.68</v>
      </c>
      <c r="AF24" s="40">
        <v>-9.1553440909090913</v>
      </c>
      <c r="AG24" s="40">
        <v>0</v>
      </c>
    </row>
    <row r="25" spans="1:33" ht="15.75" customHeight="1" x14ac:dyDescent="0.2">
      <c r="A25" s="15" t="s">
        <v>81</v>
      </c>
      <c r="B25" s="15" t="s">
        <v>254</v>
      </c>
      <c r="C25" s="16">
        <f t="shared" si="4"/>
        <v>25.99</v>
      </c>
      <c r="D25" s="17">
        <v>9</v>
      </c>
      <c r="E25" s="17">
        <v>0</v>
      </c>
      <c r="F25" s="18">
        <v>233.91</v>
      </c>
      <c r="G25" s="18">
        <v>-7.27</v>
      </c>
      <c r="H25" s="32">
        <f t="shared" si="1"/>
        <v>3.1080330041468939E-2</v>
      </c>
      <c r="I25" s="32">
        <f t="shared" si="2"/>
        <v>-3.5024154589372676E-3</v>
      </c>
      <c r="J25" s="33">
        <f t="shared" si="5"/>
        <v>-0.81925000000001624</v>
      </c>
      <c r="K25" s="33">
        <f t="shared" si="3"/>
        <v>-9.1027777777779581E-2</v>
      </c>
      <c r="L25" s="17">
        <v>23</v>
      </c>
      <c r="M25" s="34">
        <f t="shared" si="6"/>
        <v>0.39130434782608697</v>
      </c>
      <c r="N25" s="17">
        <v>78</v>
      </c>
      <c r="O25" s="35">
        <f t="shared" ref="O25:P25" si="33">D25/7</f>
        <v>1.2857142857142858</v>
      </c>
      <c r="P25" s="35">
        <f t="shared" si="33"/>
        <v>0</v>
      </c>
      <c r="Q25" s="30">
        <f t="shared" si="8"/>
        <v>60</v>
      </c>
      <c r="R25" s="30"/>
      <c r="S25" s="36">
        <v>0.53420195439739404</v>
      </c>
      <c r="T25" s="29">
        <v>162</v>
      </c>
      <c r="U25" s="37" t="s">
        <v>34</v>
      </c>
      <c r="V25" s="38" t="s">
        <v>34</v>
      </c>
      <c r="W25" s="15">
        <v>1</v>
      </c>
      <c r="X25" s="39">
        <f t="shared" si="9"/>
        <v>0.1111111111111111</v>
      </c>
      <c r="Y25" s="40">
        <f t="shared" si="10"/>
        <v>3.6349999999999998</v>
      </c>
      <c r="Z25" s="15">
        <v>1</v>
      </c>
      <c r="AA25" s="29" t="s">
        <v>163</v>
      </c>
      <c r="AB25" s="41">
        <f t="shared" si="11"/>
        <v>-0.48</v>
      </c>
      <c r="AC25" s="42">
        <v>0.55703124999999998</v>
      </c>
      <c r="AD25" s="40">
        <f t="shared" si="12"/>
        <v>-4.8127499999999994</v>
      </c>
      <c r="AE25" s="26">
        <v>-11.68</v>
      </c>
      <c r="AF25" s="26">
        <v>-9.16</v>
      </c>
      <c r="AG25" s="26">
        <v>0</v>
      </c>
    </row>
    <row r="26" spans="1:33" ht="15.75" customHeight="1" x14ac:dyDescent="0.2">
      <c r="A26" s="15" t="s">
        <v>83</v>
      </c>
      <c r="B26" s="15" t="s">
        <v>255</v>
      </c>
      <c r="C26" s="16">
        <f t="shared" si="4"/>
        <v>20.214444444444446</v>
      </c>
      <c r="D26" s="17">
        <v>9</v>
      </c>
      <c r="E26" s="17">
        <v>0</v>
      </c>
      <c r="F26" s="18">
        <v>181.93</v>
      </c>
      <c r="G26" s="18">
        <v>-7.67</v>
      </c>
      <c r="H26" s="32">
        <f t="shared" si="1"/>
        <v>4.215907217061507E-2</v>
      </c>
      <c r="I26" s="32">
        <f t="shared" si="2"/>
        <v>-0.26911640091343814</v>
      </c>
      <c r="J26" s="33">
        <f t="shared" si="5"/>
        <v>-48.960346818181797</v>
      </c>
      <c r="K26" s="33">
        <f t="shared" si="3"/>
        <v>-5.4400385353535334</v>
      </c>
      <c r="L26" s="17">
        <v>20</v>
      </c>
      <c r="M26" s="34">
        <f t="shared" si="6"/>
        <v>0.45</v>
      </c>
      <c r="N26" s="17">
        <v>69</v>
      </c>
      <c r="O26" s="35">
        <f t="shared" ref="O26:P26" si="34">D26/7</f>
        <v>1.2857142857142858</v>
      </c>
      <c r="P26" s="35">
        <f t="shared" si="34"/>
        <v>0</v>
      </c>
      <c r="Q26" s="30">
        <f t="shared" si="8"/>
        <v>53</v>
      </c>
      <c r="R26" s="30"/>
      <c r="S26" s="22">
        <v>0.86037735849056607</v>
      </c>
      <c r="T26" s="29">
        <v>162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0.55703124999999998</v>
      </c>
      <c r="AD26" s="40">
        <f t="shared" si="12"/>
        <v>-4.8127499999999994</v>
      </c>
      <c r="AE26" s="26">
        <v>-12.08</v>
      </c>
      <c r="AF26" s="26">
        <v>-9.1553440909090895</v>
      </c>
      <c r="AG26" s="26">
        <v>0</v>
      </c>
    </row>
    <row r="27" spans="1:33" ht="15.75" customHeight="1" x14ac:dyDescent="0.2">
      <c r="A27" s="15" t="s">
        <v>84</v>
      </c>
      <c r="B27" s="15" t="s">
        <v>256</v>
      </c>
      <c r="C27" s="16">
        <f t="shared" si="4"/>
        <v>25.990000000000002</v>
      </c>
      <c r="D27" s="17">
        <v>7</v>
      </c>
      <c r="E27" s="17">
        <v>0</v>
      </c>
      <c r="F27" s="18">
        <v>181.93</v>
      </c>
      <c r="G27" s="18">
        <v>-11.9</v>
      </c>
      <c r="H27" s="32">
        <f t="shared" si="1"/>
        <v>6.5409772989611384E-2</v>
      </c>
      <c r="I27" s="32">
        <f t="shared" si="2"/>
        <v>-5.3043250900696004E-2</v>
      </c>
      <c r="J27" s="33">
        <f t="shared" si="5"/>
        <v>-9.6501586363636243</v>
      </c>
      <c r="K27" s="33">
        <f t="shared" si="3"/>
        <v>-1.3785940909090892</v>
      </c>
      <c r="L27" s="17">
        <v>30</v>
      </c>
      <c r="M27" s="34">
        <f t="shared" si="6"/>
        <v>0.23333333333333334</v>
      </c>
      <c r="N27" s="17">
        <v>63</v>
      </c>
      <c r="O27" s="35">
        <f t="shared" ref="O27:P27" si="35">D27/7</f>
        <v>1</v>
      </c>
      <c r="P27" s="35">
        <f t="shared" si="35"/>
        <v>0</v>
      </c>
      <c r="Q27" s="30">
        <f t="shared" si="8"/>
        <v>63</v>
      </c>
      <c r="R27" s="30"/>
      <c r="S27" s="22">
        <v>0.66315789473684206</v>
      </c>
      <c r="T27" s="29">
        <v>162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0.55703124999999998</v>
      </c>
      <c r="AD27" s="40">
        <f t="shared" si="12"/>
        <v>-3.7432499999999997</v>
      </c>
      <c r="AE27" s="26">
        <v>-12.08</v>
      </c>
      <c r="AF27" s="26">
        <v>-9.1553440909090895</v>
      </c>
      <c r="AG27" s="26">
        <v>0</v>
      </c>
    </row>
    <row r="28" spans="1:33" ht="15.75" customHeight="1" x14ac:dyDescent="0.2">
      <c r="A28" s="15" t="s">
        <v>85</v>
      </c>
      <c r="B28" s="15" t="s">
        <v>257</v>
      </c>
      <c r="C28" s="16">
        <f t="shared" si="4"/>
        <v>25.990000000000002</v>
      </c>
      <c r="D28" s="17">
        <v>14</v>
      </c>
      <c r="E28" s="17">
        <v>0</v>
      </c>
      <c r="F28" s="18">
        <v>363.86</v>
      </c>
      <c r="G28" s="18">
        <v>0</v>
      </c>
      <c r="H28" s="32">
        <f t="shared" si="1"/>
        <v>0</v>
      </c>
      <c r="I28" s="32">
        <f t="shared" si="2"/>
        <v>1.2366522088915415E-2</v>
      </c>
      <c r="J28" s="33">
        <f t="shared" si="5"/>
        <v>4.4996827272727629</v>
      </c>
      <c r="K28" s="33">
        <f t="shared" si="3"/>
        <v>0.32140590909091166</v>
      </c>
      <c r="L28" s="17">
        <v>25</v>
      </c>
      <c r="M28" s="34">
        <f t="shared" si="6"/>
        <v>0.56000000000000005</v>
      </c>
      <c r="N28" s="17">
        <v>50</v>
      </c>
      <c r="O28" s="35">
        <f t="shared" ref="O28:P28" si="36">D28/7</f>
        <v>2</v>
      </c>
      <c r="P28" s="35">
        <f t="shared" si="36"/>
        <v>0</v>
      </c>
      <c r="Q28" s="30">
        <f t="shared" si="8"/>
        <v>25</v>
      </c>
      <c r="R28" s="30"/>
      <c r="S28" s="22">
        <v>0.74238227146814406</v>
      </c>
      <c r="T28" s="15" t="s">
        <v>34</v>
      </c>
      <c r="U28" s="23" t="s">
        <v>34</v>
      </c>
      <c r="V28" s="1" t="s">
        <v>258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0.55703124999999998</v>
      </c>
      <c r="AD28" s="40">
        <f t="shared" si="12"/>
        <v>-7.4864999999999995</v>
      </c>
      <c r="AE28" s="26">
        <v>-12.08</v>
      </c>
      <c r="AF28" s="26">
        <v>-9.1553440909090895</v>
      </c>
      <c r="AG28" s="26">
        <v>0</v>
      </c>
    </row>
    <row r="29" spans="1:33" ht="15.75" customHeight="1" x14ac:dyDescent="0.2">
      <c r="A29" s="15" t="s">
        <v>88</v>
      </c>
      <c r="B29" s="15" t="s">
        <v>257</v>
      </c>
      <c r="C29" s="16">
        <f t="shared" si="4"/>
        <v>25.990000000000002</v>
      </c>
      <c r="D29" s="17">
        <v>7</v>
      </c>
      <c r="E29" s="17">
        <v>0</v>
      </c>
      <c r="F29" s="18">
        <v>181.93</v>
      </c>
      <c r="G29" s="18">
        <v>0</v>
      </c>
      <c r="H29" s="32">
        <f t="shared" si="1"/>
        <v>0</v>
      </c>
      <c r="I29" s="32">
        <f t="shared" si="2"/>
        <v>1.2366522088915415E-2</v>
      </c>
      <c r="J29" s="33">
        <f t="shared" si="5"/>
        <v>2.2498413636363814</v>
      </c>
      <c r="K29" s="33">
        <f t="shared" si="3"/>
        <v>0.32140590909091166</v>
      </c>
      <c r="L29" s="17">
        <v>18</v>
      </c>
      <c r="M29" s="34">
        <f t="shared" si="6"/>
        <v>0.3888888888888889</v>
      </c>
      <c r="N29" s="17">
        <v>43</v>
      </c>
      <c r="O29" s="35">
        <f t="shared" ref="O29:P29" si="37">D29/7</f>
        <v>1</v>
      </c>
      <c r="P29" s="35">
        <f t="shared" si="37"/>
        <v>0</v>
      </c>
      <c r="Q29" s="30">
        <f t="shared" si="8"/>
        <v>43</v>
      </c>
      <c r="R29" s="30"/>
      <c r="S29" s="22">
        <v>0.91185410334346506</v>
      </c>
      <c r="T29" s="15" t="s">
        <v>34</v>
      </c>
      <c r="U29" s="23" t="s">
        <v>34</v>
      </c>
      <c r="V29" s="1" t="s">
        <v>258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0.55703124999999998</v>
      </c>
      <c r="AD29" s="40">
        <f t="shared" si="12"/>
        <v>-3.7432499999999997</v>
      </c>
      <c r="AE29" s="26">
        <v>-12.08</v>
      </c>
      <c r="AF29" s="26">
        <v>-9.1553440909090895</v>
      </c>
      <c r="AG29" s="26">
        <v>0</v>
      </c>
    </row>
    <row r="30" spans="1:33" ht="15.75" customHeight="1" x14ac:dyDescent="0.2">
      <c r="A30" s="15" t="s">
        <v>90</v>
      </c>
      <c r="B30" s="15" t="s">
        <v>259</v>
      </c>
      <c r="C30" s="16">
        <f t="shared" si="4"/>
        <v>25.99</v>
      </c>
      <c r="D30" s="17">
        <v>9</v>
      </c>
      <c r="E30" s="17">
        <v>0</v>
      </c>
      <c r="F30" s="18">
        <v>233.91</v>
      </c>
      <c r="G30" s="18">
        <v>0</v>
      </c>
      <c r="H30" s="32">
        <f t="shared" si="1"/>
        <v>0</v>
      </c>
      <c r="I30" s="32">
        <f t="shared" si="2"/>
        <v>-3.6265302039245863E-2</v>
      </c>
      <c r="J30" s="33">
        <f t="shared" si="5"/>
        <v>-8.4828168000000002</v>
      </c>
      <c r="K30" s="33">
        <f t="shared" si="3"/>
        <v>-0.94253520000000002</v>
      </c>
      <c r="L30" s="17">
        <v>38</v>
      </c>
      <c r="M30" s="34">
        <f t="shared" si="6"/>
        <v>0.23684210526315788</v>
      </c>
      <c r="N30" s="17">
        <v>35</v>
      </c>
      <c r="O30" s="35">
        <f t="shared" ref="O30:P30" si="38">D30/7</f>
        <v>1.2857142857142858</v>
      </c>
      <c r="P30" s="35">
        <f t="shared" si="38"/>
        <v>0</v>
      </c>
      <c r="Q30" s="30">
        <f t="shared" si="8"/>
        <v>27</v>
      </c>
      <c r="R30" s="30"/>
      <c r="S30" s="22">
        <v>0.98113207547169812</v>
      </c>
      <c r="T30" s="15" t="s">
        <v>34</v>
      </c>
      <c r="U30" s="23" t="s">
        <v>34</v>
      </c>
      <c r="V30" s="1" t="s">
        <v>258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0.55703124999999998</v>
      </c>
      <c r="AD30" s="40">
        <f t="shared" si="12"/>
        <v>-4.8127499999999994</v>
      </c>
      <c r="AE30" s="26">
        <v>-12.08</v>
      </c>
      <c r="AF30" s="26">
        <v>-10.419285199999999</v>
      </c>
      <c r="AG30" s="26">
        <v>0</v>
      </c>
    </row>
    <row r="31" spans="1:33" ht="15.75" customHeight="1" x14ac:dyDescent="0.2">
      <c r="A31" s="29" t="s">
        <v>93</v>
      </c>
      <c r="B31" s="15" t="s">
        <v>260</v>
      </c>
      <c r="C31" s="16">
        <f t="shared" si="4"/>
        <v>27.656666666666666</v>
      </c>
      <c r="D31" s="17">
        <v>6</v>
      </c>
      <c r="E31" s="17">
        <v>0</v>
      </c>
      <c r="F31" s="18">
        <v>165.94</v>
      </c>
      <c r="G31" s="18">
        <v>0</v>
      </c>
      <c r="H31" s="32">
        <f t="shared" si="1"/>
        <v>0</v>
      </c>
      <c r="I31" s="32">
        <f t="shared" si="2"/>
        <v>1.7143478365674366E-2</v>
      </c>
      <c r="J31" s="33">
        <f t="shared" si="5"/>
        <v>2.8447888000000043</v>
      </c>
      <c r="K31" s="33">
        <f t="shared" si="3"/>
        <v>0.47413146666666739</v>
      </c>
      <c r="L31" s="17">
        <v>38</v>
      </c>
      <c r="M31" s="34">
        <f t="shared" si="6"/>
        <v>0.15789473684210525</v>
      </c>
      <c r="N31" s="17">
        <v>25</v>
      </c>
      <c r="O31" s="35">
        <f t="shared" ref="O31:P31" si="39">D31/7</f>
        <v>0.8571428571428571</v>
      </c>
      <c r="P31" s="35">
        <f t="shared" si="39"/>
        <v>0</v>
      </c>
      <c r="Q31" s="30">
        <f t="shared" si="8"/>
        <v>29</v>
      </c>
      <c r="R31" s="30"/>
      <c r="S31" s="22">
        <v>1.2350877192982399</v>
      </c>
      <c r="T31" s="15">
        <v>162</v>
      </c>
      <c r="U31" s="23" t="s">
        <v>34</v>
      </c>
      <c r="V31" s="1" t="s">
        <v>258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0.55703124999999998</v>
      </c>
      <c r="AD31" s="40">
        <f t="shared" si="12"/>
        <v>-3.2084999999999999</v>
      </c>
      <c r="AE31" s="26">
        <v>-12.08</v>
      </c>
      <c r="AF31" s="43">
        <v>-10.419285199999999</v>
      </c>
      <c r="AG31" s="26">
        <v>0</v>
      </c>
    </row>
    <row r="32" spans="1:33" ht="15.75" customHeight="1" x14ac:dyDescent="0.2">
      <c r="A32" s="15" t="s">
        <v>96</v>
      </c>
      <c r="B32" s="44" t="s">
        <v>261</v>
      </c>
      <c r="C32" s="16">
        <f t="shared" si="4"/>
        <v>28.49</v>
      </c>
      <c r="D32" s="17">
        <v>4</v>
      </c>
      <c r="E32" s="17">
        <v>0</v>
      </c>
      <c r="F32" s="18">
        <v>113.96</v>
      </c>
      <c r="G32" s="18">
        <v>-0.18</v>
      </c>
      <c r="H32" s="32">
        <f t="shared" si="1"/>
        <v>1.5795015795015796E-3</v>
      </c>
      <c r="I32" s="32">
        <f t="shared" si="2"/>
        <v>3.9925054405054256E-2</v>
      </c>
      <c r="J32" s="33">
        <f t="shared" si="5"/>
        <v>4.5498591999999825</v>
      </c>
      <c r="K32" s="33">
        <f t="shared" si="3"/>
        <v>1.1374647999999956</v>
      </c>
      <c r="L32" s="17">
        <v>26</v>
      </c>
      <c r="M32" s="34">
        <f t="shared" si="6"/>
        <v>0.15384615384615385</v>
      </c>
      <c r="N32" s="17">
        <v>22</v>
      </c>
      <c r="O32" s="35">
        <f t="shared" ref="O32:P32" si="40">D32/7</f>
        <v>0.5714285714285714</v>
      </c>
      <c r="P32" s="35">
        <f t="shared" si="40"/>
        <v>0</v>
      </c>
      <c r="Q32" s="30">
        <f t="shared" si="8"/>
        <v>38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1.258741258741259</v>
      </c>
      <c r="T32" s="15">
        <f ca="1">IFERROR(__xludf.DUMMYFUNCTION("IFERROR(VLOOKUP($B$2,IMPORTRANGE(""https://docs.google.com/spreadsheets/d/1KiWZV1ko8G7lnRucBRBd29jj3Be6ltMfljMDqzOkQmI/edit#gid=1381463014"",""Lookup!A:D""),4,FALSE),"""")"),162)</f>
        <v>162</v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IFERROR(__xludf.DUMMYFUNCTION("IFERROR(VLOOKUP($B$2,IMPORTRANGE(""https://docs.google.com/spreadsheets/d/1KiWZV1ko8G7lnRucBRBd29jj3Be6ltMfljMDqzOkQmI/edit#gid=1381463014"",""Lookup!A:D""),2,FALSE),"""")"),"No Transit, But 162 At Factory 50-75 days from Earliest Arrival")</f>
        <v>No Transit, But 162 At Factory 50-75 days from Earliest Arrival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0.55703124999999998</v>
      </c>
      <c r="AD32" s="40">
        <f t="shared" si="12"/>
        <v>-2.1389999999999998</v>
      </c>
      <c r="AE32" s="26">
        <v>-12.08</v>
      </c>
      <c r="AF32" s="26">
        <v>-10.419285199999999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3.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Info!B1:BJ5000""),3,FALSE),"""")"),"Magnetic Kitchen Chalkboard Sign - 20x30 Inch White Framed Hanging Chalk Board")</f>
        <v>Magnetic Kitchen Chalkboard Sign - 20x30 Inch White Framed Hanging Chalk Board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Info!B1:BJ5000""),2,FALSE),"""")"),"B07JMVG2RR")</f>
        <v>B07JMVG2RR</v>
      </c>
      <c r="B2" s="3" t="s">
        <v>262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26.469747294117646</v>
      </c>
      <c r="D3" s="5">
        <f>SUM(D4:D99519)</f>
        <v>117</v>
      </c>
      <c r="E3" s="5"/>
      <c r="F3" s="6">
        <f t="shared" ref="F3:G3" si="0">SUM(F4:F99519)</f>
        <v>3361.2000000000003</v>
      </c>
      <c r="G3" s="6">
        <f t="shared" si="0"/>
        <v>-0.43000000000000005</v>
      </c>
      <c r="H3" s="7">
        <f t="shared" ref="H3:H32" si="1">G3/F3*-1</f>
        <v>1.2793050101154351E-4</v>
      </c>
      <c r="I3" s="8">
        <f t="shared" ref="I3:I32" si="2">J3/F3</f>
        <v>0.10427265316499523</v>
      </c>
      <c r="J3" s="6">
        <f>SUM(J4:J99519)</f>
        <v>350.48124181818201</v>
      </c>
      <c r="K3" s="6">
        <f t="shared" ref="K3:K32" si="3">J3/D3</f>
        <v>2.995566169386171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Sheet!a1:g5000""),2,FALSE),"""")"),"1.0 - March
1.0 - April
1.0 - May
1.0 - June
1.0 - July
1.0 - Aug
1.0 - Sept
1.0 - Oct
1.0 - Nov
1.0 - Dec
1.0 - Jan
1.0 - Feb")</f>
        <v>1.0 - March
1.0 - April
1.0 - May
1.0 - June
1.0 - July
1.0 - Aug
1.0 - Sept
1.0 - Oct
1.0 - Nov
1.0 - Dec
1.0 - Jan
1.0 -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-57.550219999999996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Info!B2:BZ3000""),37,FALSE)),"""")*-1"),-10.4192852)</f>
        <v>-10.419285199999999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220</v>
      </c>
      <c r="U4" s="23">
        <v>100</v>
      </c>
      <c r="V4" s="24" t="s">
        <v>236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-8.4194471212121211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220</v>
      </c>
      <c r="U5" s="37">
        <v>100</v>
      </c>
      <c r="V5" s="38" t="s">
        <v>237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-8.4194471212121211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220</v>
      </c>
      <c r="U6" s="37">
        <v>100</v>
      </c>
      <c r="V6" s="38" t="s">
        <v>238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-8.4194471212121211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220</v>
      </c>
      <c r="U7" s="37">
        <v>100</v>
      </c>
      <c r="V7" s="38" t="s">
        <v>239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-8.4194471212121211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243</v>
      </c>
      <c r="U8" s="37">
        <v>100</v>
      </c>
      <c r="V8" s="38" t="s">
        <v>240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-8.42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243</v>
      </c>
      <c r="U9" s="37">
        <v>100</v>
      </c>
      <c r="V9" s="38" t="s">
        <v>241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-8.9015865151515108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123</v>
      </c>
      <c r="U10" s="37">
        <v>100</v>
      </c>
      <c r="V10" s="38" t="s">
        <v>242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-8.9015865151515108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146</v>
      </c>
      <c r="U11" s="37">
        <v>100</v>
      </c>
      <c r="V11" s="38" t="s">
        <v>263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-8.9015865151515108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146</v>
      </c>
      <c r="U12" s="37">
        <v>100</v>
      </c>
      <c r="V12" s="38" t="s">
        <v>264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-8.9015865151515108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146</v>
      </c>
      <c r="U13" s="37">
        <v>100</v>
      </c>
      <c r="V13" s="38" t="s">
        <v>265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-9.1553440909090895</v>
      </c>
      <c r="AG13" s="40">
        <v>0</v>
      </c>
    </row>
    <row r="14" spans="1:33" ht="15.75" customHeight="1" x14ac:dyDescent="0.2">
      <c r="A14" s="29" t="s">
        <v>59</v>
      </c>
      <c r="B14" s="29" t="s">
        <v>222</v>
      </c>
      <c r="C14" s="16">
        <f t="shared" si="4"/>
        <v>40.79</v>
      </c>
      <c r="D14" s="30">
        <v>1</v>
      </c>
      <c r="E14" s="30">
        <v>0</v>
      </c>
      <c r="F14" s="33">
        <v>40.79</v>
      </c>
      <c r="G14" s="31">
        <v>0</v>
      </c>
      <c r="H14" s="32">
        <f t="shared" si="1"/>
        <v>0</v>
      </c>
      <c r="I14" s="32">
        <f t="shared" si="2"/>
        <v>0.32714571431401546</v>
      </c>
      <c r="J14" s="33">
        <f t="shared" si="5"/>
        <v>13.344273686868691</v>
      </c>
      <c r="K14" s="33">
        <f t="shared" si="3"/>
        <v>13.344273686868691</v>
      </c>
      <c r="L14" s="30">
        <v>0</v>
      </c>
      <c r="M14" s="34" t="str">
        <f t="shared" si="6"/>
        <v>-</v>
      </c>
      <c r="N14" s="30">
        <v>100</v>
      </c>
      <c r="O14" s="35">
        <f t="shared" ref="O14:P14" si="22">D14/7</f>
        <v>0.14285714285714285</v>
      </c>
      <c r="P14" s="35">
        <f t="shared" si="22"/>
        <v>0</v>
      </c>
      <c r="Q14" s="30">
        <f t="shared" si="8"/>
        <v>700</v>
      </c>
      <c r="R14" s="30"/>
      <c r="S14" s="36">
        <v>0</v>
      </c>
      <c r="T14" s="29">
        <v>146</v>
      </c>
      <c r="U14" s="37">
        <v>23</v>
      </c>
      <c r="V14" s="38" t="s">
        <v>266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0.51237731481481485</v>
      </c>
      <c r="AD14" s="40">
        <f t="shared" si="12"/>
        <v>-0.49188222222222222</v>
      </c>
      <c r="AE14" s="40">
        <v>-11.68</v>
      </c>
      <c r="AF14" s="40">
        <v>-9.1553440909090895</v>
      </c>
      <c r="AG14" s="40">
        <v>0</v>
      </c>
    </row>
    <row r="15" spans="1:33" ht="15.75" customHeight="1" x14ac:dyDescent="0.2">
      <c r="A15" s="29" t="s">
        <v>61</v>
      </c>
      <c r="B15" s="29" t="s">
        <v>267</v>
      </c>
      <c r="C15" s="16">
        <f t="shared" si="4"/>
        <v>35.162500000000001</v>
      </c>
      <c r="D15" s="30">
        <v>4</v>
      </c>
      <c r="E15" s="30">
        <v>0</v>
      </c>
      <c r="F15" s="33">
        <v>140.65</v>
      </c>
      <c r="G15" s="31">
        <v>0</v>
      </c>
      <c r="H15" s="32">
        <f t="shared" si="1"/>
        <v>0</v>
      </c>
      <c r="I15" s="32">
        <f t="shared" si="2"/>
        <v>0.24346672411997689</v>
      </c>
      <c r="J15" s="33">
        <f t="shared" si="5"/>
        <v>34.243594747474752</v>
      </c>
      <c r="K15" s="33">
        <f t="shared" si="3"/>
        <v>8.560898686868688</v>
      </c>
      <c r="L15" s="30">
        <v>15</v>
      </c>
      <c r="M15" s="34">
        <f t="shared" si="6"/>
        <v>0.26666666666666666</v>
      </c>
      <c r="N15" s="30">
        <v>95</v>
      </c>
      <c r="O15" s="35">
        <f t="shared" ref="O15:P15" si="23">D15/7</f>
        <v>0.5714285714285714</v>
      </c>
      <c r="P15" s="35">
        <f t="shared" si="23"/>
        <v>0</v>
      </c>
      <c r="Q15" s="30">
        <f t="shared" si="8"/>
        <v>166</v>
      </c>
      <c r="R15" s="30"/>
      <c r="S15" s="36">
        <v>0.20202020202020199</v>
      </c>
      <c r="T15" s="29">
        <v>123</v>
      </c>
      <c r="U15" s="37">
        <v>23</v>
      </c>
      <c r="V15" s="38" t="s">
        <v>266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0.51237731481481485</v>
      </c>
      <c r="AD15" s="40">
        <f t="shared" si="12"/>
        <v>-1.9675288888888889</v>
      </c>
      <c r="AE15" s="40">
        <v>-11.68</v>
      </c>
      <c r="AF15" s="40">
        <v>-9.1553440909090895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28.73</v>
      </c>
      <c r="D16" s="30">
        <v>4</v>
      </c>
      <c r="E16" s="30">
        <v>1</v>
      </c>
      <c r="F16" s="33">
        <v>114.92</v>
      </c>
      <c r="G16" s="31">
        <v>0</v>
      </c>
      <c r="H16" s="32">
        <f t="shared" si="1"/>
        <v>0</v>
      </c>
      <c r="I16" s="32">
        <f t="shared" si="2"/>
        <v>0.10766702704033028</v>
      </c>
      <c r="J16" s="33">
        <f t="shared" si="5"/>
        <v>12.373094747474756</v>
      </c>
      <c r="K16" s="33">
        <f t="shared" si="3"/>
        <v>3.093273686868689</v>
      </c>
      <c r="L16" s="30">
        <v>19</v>
      </c>
      <c r="M16" s="34">
        <f t="shared" si="6"/>
        <v>0.21052631578947367</v>
      </c>
      <c r="N16" s="30">
        <v>90</v>
      </c>
      <c r="O16" s="35">
        <f t="shared" ref="O16:P16" si="24">D16/7</f>
        <v>0.5714285714285714</v>
      </c>
      <c r="P16" s="35">
        <f t="shared" si="24"/>
        <v>0.14285714285714285</v>
      </c>
      <c r="Q16" s="30">
        <f t="shared" si="8"/>
        <v>126</v>
      </c>
      <c r="R16" s="30"/>
      <c r="S16" s="36">
        <v>0.37894736842105198</v>
      </c>
      <c r="T16" s="29">
        <v>123</v>
      </c>
      <c r="U16" s="37">
        <v>23</v>
      </c>
      <c r="V16" s="38" t="s">
        <v>268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0.51237731481481485</v>
      </c>
      <c r="AD16" s="40">
        <f t="shared" si="12"/>
        <v>-1.9675288888888889</v>
      </c>
      <c r="AE16" s="40">
        <v>-11.68</v>
      </c>
      <c r="AF16" s="40">
        <v>-9.1553440909090895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27.990000000000006</v>
      </c>
      <c r="D17" s="30">
        <v>11</v>
      </c>
      <c r="E17" s="30">
        <v>0</v>
      </c>
      <c r="F17" s="33">
        <v>307.89000000000004</v>
      </c>
      <c r="G17" s="31">
        <v>-0.03</v>
      </c>
      <c r="H17" s="32">
        <f t="shared" si="1"/>
        <v>9.7437396472766234E-5</v>
      </c>
      <c r="I17" s="32">
        <f t="shared" si="2"/>
        <v>8.7943780426631646E-2</v>
      </c>
      <c r="J17" s="33">
        <f t="shared" si="5"/>
        <v>27.077010555555621</v>
      </c>
      <c r="K17" s="33">
        <f t="shared" si="3"/>
        <v>2.4615464141414201</v>
      </c>
      <c r="L17" s="30">
        <v>24</v>
      </c>
      <c r="M17" s="34">
        <f t="shared" si="6"/>
        <v>0.45833333333333331</v>
      </c>
      <c r="N17" s="30">
        <v>79</v>
      </c>
      <c r="O17" s="35">
        <f t="shared" ref="O17:P17" si="25">D17/7</f>
        <v>1.5714285714285714</v>
      </c>
      <c r="P17" s="35">
        <f t="shared" si="25"/>
        <v>0</v>
      </c>
      <c r="Q17" s="30">
        <f t="shared" si="8"/>
        <v>50</v>
      </c>
      <c r="R17" s="30"/>
      <c r="S17" s="36">
        <v>0.63636363636363602</v>
      </c>
      <c r="T17" s="29">
        <v>123</v>
      </c>
      <c r="U17" s="37">
        <v>23</v>
      </c>
      <c r="V17" s="38" t="s">
        <v>268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0.51237731481481485</v>
      </c>
      <c r="AD17" s="40">
        <f t="shared" si="12"/>
        <v>-5.4107044444444448</v>
      </c>
      <c r="AE17" s="40">
        <v>-11.68</v>
      </c>
      <c r="AF17" s="40">
        <v>-9.1553440909090895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28.092857142857145</v>
      </c>
      <c r="D18" s="30">
        <v>7</v>
      </c>
      <c r="E18" s="30">
        <v>0</v>
      </c>
      <c r="F18" s="33">
        <v>196.65</v>
      </c>
      <c r="G18" s="31">
        <v>-0.08</v>
      </c>
      <c r="H18" s="32">
        <f t="shared" si="1"/>
        <v>4.0681413679125348E-4</v>
      </c>
      <c r="I18" s="32">
        <f t="shared" si="2"/>
        <v>9.0424184124489312E-2</v>
      </c>
      <c r="J18" s="33">
        <f t="shared" si="5"/>
        <v>17.781915808080825</v>
      </c>
      <c r="K18" s="33">
        <f t="shared" si="3"/>
        <v>2.5402736868686895</v>
      </c>
      <c r="L18" s="30">
        <v>24</v>
      </c>
      <c r="M18" s="34">
        <f t="shared" si="6"/>
        <v>0.29166666666666669</v>
      </c>
      <c r="N18" s="30">
        <v>72</v>
      </c>
      <c r="O18" s="35">
        <f t="shared" ref="O18:P18" si="26">D18/7</f>
        <v>1</v>
      </c>
      <c r="P18" s="35">
        <f t="shared" si="26"/>
        <v>0</v>
      </c>
      <c r="Q18" s="30">
        <f t="shared" si="8"/>
        <v>72</v>
      </c>
      <c r="R18" s="30"/>
      <c r="S18" s="36">
        <v>1.21518987341772</v>
      </c>
      <c r="T18" s="29">
        <v>123</v>
      </c>
      <c r="U18" s="37" t="s">
        <v>34</v>
      </c>
      <c r="V18" s="38" t="s">
        <v>269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0.51237731481481485</v>
      </c>
      <c r="AD18" s="40">
        <f t="shared" si="12"/>
        <v>-3.4431755555555554</v>
      </c>
      <c r="AE18" s="40">
        <v>-11.68</v>
      </c>
      <c r="AF18" s="40">
        <v>-9.1553440909090895</v>
      </c>
      <c r="AG18" s="40">
        <v>0</v>
      </c>
    </row>
    <row r="19" spans="1:33" ht="15.75" customHeight="1" x14ac:dyDescent="0.2">
      <c r="A19" s="29" t="s">
        <v>71</v>
      </c>
      <c r="B19" s="29" t="s">
        <v>270</v>
      </c>
      <c r="C19" s="16">
        <f t="shared" si="4"/>
        <v>28.251250000000002</v>
      </c>
      <c r="D19" s="30">
        <v>16</v>
      </c>
      <c r="E19" s="30">
        <v>0</v>
      </c>
      <c r="F19" s="33">
        <v>452.02000000000004</v>
      </c>
      <c r="G19" s="31">
        <v>0</v>
      </c>
      <c r="H19" s="32">
        <f t="shared" si="1"/>
        <v>0</v>
      </c>
      <c r="I19" s="32">
        <f t="shared" si="2"/>
        <v>9.5087339033447682E-2</v>
      </c>
      <c r="J19" s="33">
        <f t="shared" si="5"/>
        <v>42.981378989899028</v>
      </c>
      <c r="K19" s="33">
        <f t="shared" si="3"/>
        <v>2.6863361868686892</v>
      </c>
      <c r="L19" s="30">
        <v>37</v>
      </c>
      <c r="M19" s="34">
        <f t="shared" si="6"/>
        <v>0.43243243243243246</v>
      </c>
      <c r="N19" s="30">
        <v>81</v>
      </c>
      <c r="O19" s="35">
        <f t="shared" ref="O19:P19" si="27">D19/7</f>
        <v>2.2857142857142856</v>
      </c>
      <c r="P19" s="35">
        <f t="shared" si="27"/>
        <v>0</v>
      </c>
      <c r="Q19" s="30">
        <f t="shared" si="8"/>
        <v>35</v>
      </c>
      <c r="R19" s="30"/>
      <c r="S19" s="36">
        <v>0.74468085106382897</v>
      </c>
      <c r="T19" s="29">
        <v>170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0.51237731481481485</v>
      </c>
      <c r="AD19" s="40">
        <f t="shared" si="12"/>
        <v>-7.8701155555555555</v>
      </c>
      <c r="AE19" s="40">
        <v>-11.68</v>
      </c>
      <c r="AF19" s="40">
        <v>-9.1553440909090913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28.99</v>
      </c>
      <c r="D20" s="30">
        <v>6</v>
      </c>
      <c r="E20" s="30">
        <v>0</v>
      </c>
      <c r="F20" s="33">
        <v>173.94</v>
      </c>
      <c r="G20" s="31">
        <v>0</v>
      </c>
      <c r="H20" s="32">
        <f t="shared" si="1"/>
        <v>0</v>
      </c>
      <c r="I20" s="32">
        <f t="shared" si="2"/>
        <v>0.11432472186508054</v>
      </c>
      <c r="J20" s="33">
        <f t="shared" si="5"/>
        <v>19.885642121212108</v>
      </c>
      <c r="K20" s="33">
        <f t="shared" si="3"/>
        <v>3.3142736868686846</v>
      </c>
      <c r="L20" s="30">
        <v>26</v>
      </c>
      <c r="M20" s="34">
        <f t="shared" si="6"/>
        <v>0.23076923076923078</v>
      </c>
      <c r="N20" s="30">
        <v>71</v>
      </c>
      <c r="O20" s="35">
        <f t="shared" ref="O20:P20" si="28">D20/7</f>
        <v>0.8571428571428571</v>
      </c>
      <c r="P20" s="35">
        <f t="shared" si="28"/>
        <v>0</v>
      </c>
      <c r="Q20" s="30">
        <f t="shared" si="8"/>
        <v>82</v>
      </c>
      <c r="R20" s="30"/>
      <c r="S20" s="36">
        <v>1.0635838150289001</v>
      </c>
      <c r="T20" s="29">
        <v>170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0.51237731481481485</v>
      </c>
      <c r="AD20" s="40">
        <f t="shared" si="12"/>
        <v>-2.9512933333333331</v>
      </c>
      <c r="AE20" s="40">
        <v>-11.68</v>
      </c>
      <c r="AF20" s="40">
        <v>-9.1553440909090913</v>
      </c>
      <c r="AG20" s="40">
        <v>0</v>
      </c>
    </row>
    <row r="21" spans="1:33" ht="15.75" customHeight="1" x14ac:dyDescent="0.2">
      <c r="A21" s="29" t="s">
        <v>75</v>
      </c>
      <c r="B21" s="29" t="s">
        <v>228</v>
      </c>
      <c r="C21" s="16">
        <f t="shared" si="4"/>
        <v>28.990000000000002</v>
      </c>
      <c r="D21" s="30">
        <v>9</v>
      </c>
      <c r="E21" s="30">
        <v>0</v>
      </c>
      <c r="F21" s="33">
        <v>260.91000000000003</v>
      </c>
      <c r="G21" s="31">
        <v>0</v>
      </c>
      <c r="H21" s="32">
        <f t="shared" si="1"/>
        <v>0</v>
      </c>
      <c r="I21" s="32">
        <f t="shared" si="2"/>
        <v>0.11432472186508054</v>
      </c>
      <c r="J21" s="33">
        <f t="shared" si="5"/>
        <v>29.828463181818165</v>
      </c>
      <c r="K21" s="33">
        <f t="shared" si="3"/>
        <v>3.3142736868686851</v>
      </c>
      <c r="L21" s="30">
        <v>17</v>
      </c>
      <c r="M21" s="34">
        <f t="shared" si="6"/>
        <v>0.52941176470588236</v>
      </c>
      <c r="N21" s="30">
        <v>51</v>
      </c>
      <c r="O21" s="35">
        <f t="shared" ref="O21:P21" si="29">D21/7</f>
        <v>1.2857142857142858</v>
      </c>
      <c r="P21" s="35">
        <f t="shared" si="29"/>
        <v>0</v>
      </c>
      <c r="Q21" s="30">
        <f t="shared" si="8"/>
        <v>39</v>
      </c>
      <c r="R21" s="30"/>
      <c r="S21" s="36">
        <v>1.5384615384615301</v>
      </c>
      <c r="T21" s="29">
        <v>170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0.51237731481481485</v>
      </c>
      <c r="AD21" s="40">
        <f t="shared" si="12"/>
        <v>-4.4269400000000001</v>
      </c>
      <c r="AE21" s="40">
        <v>-11.68</v>
      </c>
      <c r="AF21" s="40">
        <v>-9.1553440909090913</v>
      </c>
      <c r="AG21" s="40">
        <v>0</v>
      </c>
    </row>
    <row r="22" spans="1:33" ht="15.75" customHeight="1" x14ac:dyDescent="0.2">
      <c r="A22" s="29" t="s">
        <v>76</v>
      </c>
      <c r="B22" s="29" t="s">
        <v>271</v>
      </c>
      <c r="C22" s="16">
        <f t="shared" si="4"/>
        <v>24.491666666666664</v>
      </c>
      <c r="D22" s="30">
        <v>6</v>
      </c>
      <c r="E22" s="30">
        <v>0</v>
      </c>
      <c r="F22" s="31">
        <v>146.94999999999999</v>
      </c>
      <c r="G22" s="31">
        <v>0</v>
      </c>
      <c r="H22" s="32">
        <f t="shared" si="1"/>
        <v>0</v>
      </c>
      <c r="I22" s="32">
        <f t="shared" si="2"/>
        <v>-2.0795222040067358E-2</v>
      </c>
      <c r="J22" s="33">
        <f t="shared" si="5"/>
        <v>-3.0558578787878981</v>
      </c>
      <c r="K22" s="33">
        <f t="shared" si="3"/>
        <v>-0.50930964646464971</v>
      </c>
      <c r="L22" s="30">
        <v>19</v>
      </c>
      <c r="M22" s="34">
        <f t="shared" si="6"/>
        <v>0.31578947368421051</v>
      </c>
      <c r="N22" s="30">
        <v>48</v>
      </c>
      <c r="O22" s="35">
        <f t="shared" ref="O22:P22" si="30">D22/7</f>
        <v>0.8571428571428571</v>
      </c>
      <c r="P22" s="35">
        <f t="shared" si="30"/>
        <v>0</v>
      </c>
      <c r="Q22" s="30">
        <f t="shared" si="8"/>
        <v>56</v>
      </c>
      <c r="R22" s="30"/>
      <c r="S22" s="36">
        <v>1.984496124031</v>
      </c>
      <c r="T22" s="29">
        <v>170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0.51237731481481485</v>
      </c>
      <c r="AD22" s="40">
        <f t="shared" si="12"/>
        <v>-2.9512933333333331</v>
      </c>
      <c r="AE22" s="40">
        <v>-11.68</v>
      </c>
      <c r="AF22" s="40">
        <v>-9.1553440909090913</v>
      </c>
      <c r="AG22" s="40">
        <v>0</v>
      </c>
    </row>
    <row r="23" spans="1:33" ht="15.75" customHeight="1" x14ac:dyDescent="0.2">
      <c r="A23" s="29" t="s">
        <v>77</v>
      </c>
      <c r="B23" s="29" t="s">
        <v>229</v>
      </c>
      <c r="C23" s="16">
        <f t="shared" si="4"/>
        <v>29.990000000000002</v>
      </c>
      <c r="D23" s="30">
        <v>7</v>
      </c>
      <c r="E23" s="30">
        <v>0</v>
      </c>
      <c r="F23" s="33">
        <v>209.93</v>
      </c>
      <c r="G23" s="31">
        <v>0</v>
      </c>
      <c r="H23" s="32">
        <f t="shared" si="1"/>
        <v>0</v>
      </c>
      <c r="I23" s="32">
        <f t="shared" si="2"/>
        <v>0.13885540803163357</v>
      </c>
      <c r="J23" s="33">
        <f t="shared" si="5"/>
        <v>29.149915808080834</v>
      </c>
      <c r="K23" s="33">
        <f t="shared" si="3"/>
        <v>4.1642736868686905</v>
      </c>
      <c r="L23" s="30">
        <v>24</v>
      </c>
      <c r="M23" s="34">
        <f t="shared" si="6"/>
        <v>0.29166666666666669</v>
      </c>
      <c r="N23" s="30">
        <v>51</v>
      </c>
      <c r="O23" s="35">
        <f t="shared" ref="O23:P23" si="31">D23/7</f>
        <v>1</v>
      </c>
      <c r="P23" s="35">
        <f t="shared" si="31"/>
        <v>0</v>
      </c>
      <c r="Q23" s="30">
        <f t="shared" si="8"/>
        <v>51</v>
      </c>
      <c r="R23" s="30"/>
      <c r="S23" s="36">
        <v>1.1012145748987801</v>
      </c>
      <c r="T23" s="29">
        <v>170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0.51237731481481485</v>
      </c>
      <c r="AD23" s="40">
        <f t="shared" si="12"/>
        <v>-3.4431755555555554</v>
      </c>
      <c r="AE23" s="40">
        <v>-11.68</v>
      </c>
      <c r="AF23" s="40">
        <v>-9.1553440909090913</v>
      </c>
      <c r="AG23" s="40">
        <v>0</v>
      </c>
    </row>
    <row r="24" spans="1:33" ht="15.75" customHeight="1" x14ac:dyDescent="0.2">
      <c r="A24" s="29" t="s">
        <v>79</v>
      </c>
      <c r="B24" s="29" t="s">
        <v>229</v>
      </c>
      <c r="C24" s="16">
        <f t="shared" si="4"/>
        <v>28.640000000000004</v>
      </c>
      <c r="D24" s="30">
        <v>14</v>
      </c>
      <c r="E24" s="30">
        <v>0</v>
      </c>
      <c r="F24" s="33">
        <v>400.96000000000004</v>
      </c>
      <c r="G24" s="33">
        <v>0</v>
      </c>
      <c r="H24" s="32">
        <f t="shared" si="1"/>
        <v>0</v>
      </c>
      <c r="I24" s="32">
        <f t="shared" si="2"/>
        <v>0.10533427677614143</v>
      </c>
      <c r="J24" s="33">
        <f t="shared" si="5"/>
        <v>42.234831616161671</v>
      </c>
      <c r="K24" s="33">
        <f t="shared" si="3"/>
        <v>3.016773686868691</v>
      </c>
      <c r="L24" s="30">
        <v>23</v>
      </c>
      <c r="M24" s="34">
        <f t="shared" si="6"/>
        <v>0.60869565217391308</v>
      </c>
      <c r="N24" s="30">
        <v>36</v>
      </c>
      <c r="O24" s="35">
        <f t="shared" ref="O24:P24" si="32">D24/7</f>
        <v>2</v>
      </c>
      <c r="P24" s="35">
        <f t="shared" si="32"/>
        <v>0</v>
      </c>
      <c r="Q24" s="30">
        <f t="shared" si="8"/>
        <v>18</v>
      </c>
      <c r="R24" s="30"/>
      <c r="S24" s="36">
        <v>1.3214285714285701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Summary!A1:AD5000""),9,FALSE),"""")"),170)</f>
        <v>170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0.51237731481481485</v>
      </c>
      <c r="AD24" s="40">
        <f t="shared" si="12"/>
        <v>-6.8863511111111109</v>
      </c>
      <c r="AE24" s="40">
        <v>-11.68</v>
      </c>
      <c r="AF24" s="40">
        <v>-9.1553440909090913</v>
      </c>
      <c r="AG24" s="40">
        <v>0</v>
      </c>
    </row>
    <row r="25" spans="1:33" ht="15.75" customHeight="1" x14ac:dyDescent="0.2">
      <c r="A25" s="15" t="s">
        <v>81</v>
      </c>
      <c r="B25" s="15" t="s">
        <v>272</v>
      </c>
      <c r="C25" s="16">
        <f t="shared" si="4"/>
        <v>27.99</v>
      </c>
      <c r="D25" s="17">
        <v>5</v>
      </c>
      <c r="E25" s="17">
        <v>0</v>
      </c>
      <c r="F25" s="18">
        <v>139.94999999999999</v>
      </c>
      <c r="G25" s="18">
        <v>0</v>
      </c>
      <c r="H25" s="32">
        <f t="shared" si="1"/>
        <v>0</v>
      </c>
      <c r="I25" s="32">
        <f t="shared" si="2"/>
        <v>8.7874875947759029E-2</v>
      </c>
      <c r="J25" s="33">
        <f t="shared" si="5"/>
        <v>12.298088888888875</v>
      </c>
      <c r="K25" s="33">
        <f t="shared" si="3"/>
        <v>2.4596177777777752</v>
      </c>
      <c r="L25" s="17">
        <v>23</v>
      </c>
      <c r="M25" s="34">
        <f t="shared" si="6"/>
        <v>0.21739130434782608</v>
      </c>
      <c r="N25" s="17">
        <v>31</v>
      </c>
      <c r="O25" s="35">
        <f t="shared" ref="O25:P25" si="33">D25/7</f>
        <v>0.7142857142857143</v>
      </c>
      <c r="P25" s="35">
        <f t="shared" si="33"/>
        <v>0</v>
      </c>
      <c r="Q25" s="30">
        <f t="shared" si="8"/>
        <v>43</v>
      </c>
      <c r="R25" s="30"/>
      <c r="S25" s="36">
        <v>1.3214285714285701</v>
      </c>
      <c r="T25" s="29">
        <v>170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0.51237731481481485</v>
      </c>
      <c r="AD25" s="40">
        <f t="shared" si="12"/>
        <v>-2.4594111111111112</v>
      </c>
      <c r="AE25" s="26">
        <v>-11.68</v>
      </c>
      <c r="AF25" s="26">
        <v>-9.16</v>
      </c>
      <c r="AG25" s="26">
        <v>0</v>
      </c>
    </row>
    <row r="26" spans="1:33" ht="15.75" customHeight="1" x14ac:dyDescent="0.2">
      <c r="A26" s="15" t="s">
        <v>83</v>
      </c>
      <c r="B26" s="15" t="s">
        <v>273</v>
      </c>
      <c r="C26" s="16">
        <f t="shared" si="4"/>
        <v>27.99</v>
      </c>
      <c r="D26" s="17">
        <v>8</v>
      </c>
      <c r="E26" s="17">
        <v>1</v>
      </c>
      <c r="F26" s="18">
        <v>223.92</v>
      </c>
      <c r="G26" s="18">
        <v>-0.08</v>
      </c>
      <c r="H26" s="32">
        <f t="shared" si="1"/>
        <v>3.5727045373347627E-4</v>
      </c>
      <c r="I26" s="32">
        <f t="shared" si="2"/>
        <v>7.3393129220031647E-2</v>
      </c>
      <c r="J26" s="33">
        <f t="shared" si="5"/>
        <v>16.434189494949486</v>
      </c>
      <c r="K26" s="33">
        <f t="shared" si="3"/>
        <v>2.0542736868686857</v>
      </c>
      <c r="L26" s="17">
        <v>22</v>
      </c>
      <c r="M26" s="34">
        <f t="shared" si="6"/>
        <v>0.36363636363636365</v>
      </c>
      <c r="N26" s="17">
        <v>23</v>
      </c>
      <c r="O26" s="35">
        <f t="shared" ref="O26:P26" si="34">D26/7</f>
        <v>1.1428571428571428</v>
      </c>
      <c r="P26" s="35">
        <f t="shared" si="34"/>
        <v>0.14285714285714285</v>
      </c>
      <c r="Q26" s="30">
        <f t="shared" si="8"/>
        <v>17</v>
      </c>
      <c r="R26" s="30"/>
      <c r="S26" s="22">
        <v>2.3703703703703698</v>
      </c>
      <c r="T26" s="29">
        <v>170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0.51237731481481485</v>
      </c>
      <c r="AD26" s="40">
        <f t="shared" si="12"/>
        <v>-3.9350577777777778</v>
      </c>
      <c r="AE26" s="26">
        <v>-12.08</v>
      </c>
      <c r="AF26" s="26">
        <v>-9.1553440909090895</v>
      </c>
      <c r="AG26" s="26">
        <v>0</v>
      </c>
    </row>
    <row r="27" spans="1:33" ht="15.75" customHeight="1" x14ac:dyDescent="0.2">
      <c r="A27" s="15" t="s">
        <v>84</v>
      </c>
      <c r="B27" s="15" t="s">
        <v>187</v>
      </c>
      <c r="C27" s="16">
        <f t="shared" si="4"/>
        <v>28.323333333333334</v>
      </c>
      <c r="D27" s="17">
        <v>3</v>
      </c>
      <c r="E27" s="17">
        <v>0</v>
      </c>
      <c r="F27" s="18">
        <v>84.97</v>
      </c>
      <c r="G27" s="18">
        <v>-0.08</v>
      </c>
      <c r="H27" s="32">
        <f t="shared" si="1"/>
        <v>9.4150876780040016E-4</v>
      </c>
      <c r="I27" s="32">
        <f t="shared" si="2"/>
        <v>8.194446346482355E-2</v>
      </c>
      <c r="J27" s="33">
        <f t="shared" si="5"/>
        <v>6.962821060606057</v>
      </c>
      <c r="K27" s="33">
        <f t="shared" si="3"/>
        <v>2.3209403535353523</v>
      </c>
      <c r="L27" s="17">
        <v>23</v>
      </c>
      <c r="M27" s="34">
        <f t="shared" si="6"/>
        <v>0.13043478260869565</v>
      </c>
      <c r="N27" s="17">
        <v>19</v>
      </c>
      <c r="O27" s="35">
        <f t="shared" ref="O27:P27" si="35">D27/7</f>
        <v>0.42857142857142855</v>
      </c>
      <c r="P27" s="35">
        <f t="shared" si="35"/>
        <v>0</v>
      </c>
      <c r="Q27" s="30">
        <f t="shared" si="8"/>
        <v>44</v>
      </c>
      <c r="R27" s="30"/>
      <c r="S27" s="22">
        <v>1.5018587360594799</v>
      </c>
      <c r="T27" s="29">
        <v>170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0.51237731481481485</v>
      </c>
      <c r="AD27" s="40">
        <f t="shared" si="12"/>
        <v>-1.4756466666666666</v>
      </c>
      <c r="AE27" s="26">
        <v>-12.08</v>
      </c>
      <c r="AF27" s="26">
        <v>-9.1553440909090895</v>
      </c>
      <c r="AG27" s="26">
        <v>0</v>
      </c>
    </row>
    <row r="28" spans="1:33" ht="15.75" customHeight="1" x14ac:dyDescent="0.2">
      <c r="A28" s="15" t="s">
        <v>85</v>
      </c>
      <c r="B28" s="15" t="s">
        <v>54</v>
      </c>
      <c r="C28" s="16">
        <f t="shared" si="4"/>
        <v>28.99</v>
      </c>
      <c r="D28" s="17">
        <v>5</v>
      </c>
      <c r="E28" s="17">
        <v>1</v>
      </c>
      <c r="F28" s="18">
        <v>144.94999999999999</v>
      </c>
      <c r="G28" s="18">
        <v>-0.16</v>
      </c>
      <c r="H28" s="32">
        <f t="shared" si="1"/>
        <v>1.1038289065194895E-3</v>
      </c>
      <c r="I28" s="32">
        <f t="shared" si="2"/>
        <v>9.9423031627067421E-2</v>
      </c>
      <c r="J28" s="33">
        <f t="shared" si="5"/>
        <v>14.411368434343421</v>
      </c>
      <c r="K28" s="33">
        <f t="shared" si="3"/>
        <v>2.8822736868686842</v>
      </c>
      <c r="L28" s="17">
        <v>23</v>
      </c>
      <c r="M28" s="34">
        <f t="shared" si="6"/>
        <v>0.21739130434782608</v>
      </c>
      <c r="N28" s="17">
        <v>14</v>
      </c>
      <c r="O28" s="35">
        <f t="shared" ref="O28:P28" si="36">D28/7</f>
        <v>0.7142857142857143</v>
      </c>
      <c r="P28" s="35">
        <f t="shared" si="36"/>
        <v>0.14285714285714285</v>
      </c>
      <c r="Q28" s="30">
        <f t="shared" si="8"/>
        <v>16</v>
      </c>
      <c r="R28" s="30"/>
      <c r="S28" s="22">
        <v>1.6131687242798349</v>
      </c>
      <c r="T28" s="15" t="s">
        <v>34</v>
      </c>
      <c r="U28" s="23" t="s">
        <v>34</v>
      </c>
      <c r="V28" s="1" t="s">
        <v>274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0.51237731481481485</v>
      </c>
      <c r="AD28" s="40">
        <f t="shared" si="12"/>
        <v>-2.4594111111111112</v>
      </c>
      <c r="AE28" s="26">
        <v>-12.08</v>
      </c>
      <c r="AF28" s="26">
        <v>-9.1553440909090895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>
        <f t="shared" si="4"/>
        <v>29.254545454545454</v>
      </c>
      <c r="D29" s="17">
        <v>11</v>
      </c>
      <c r="E29" s="17">
        <v>0</v>
      </c>
      <c r="F29" s="18">
        <v>321.8</v>
      </c>
      <c r="G29" s="18">
        <v>0</v>
      </c>
      <c r="H29" s="32">
        <f t="shared" si="1"/>
        <v>0</v>
      </c>
      <c r="I29" s="32">
        <f t="shared" si="2"/>
        <v>0.10730425902907274</v>
      </c>
      <c r="J29" s="33">
        <f t="shared" si="5"/>
        <v>34.530510555555608</v>
      </c>
      <c r="K29" s="33">
        <f t="shared" si="3"/>
        <v>3.1391373232323279</v>
      </c>
      <c r="L29" s="17">
        <v>14</v>
      </c>
      <c r="M29" s="34">
        <f t="shared" si="6"/>
        <v>0.7857142857142857</v>
      </c>
      <c r="N29" s="17">
        <v>2</v>
      </c>
      <c r="O29" s="35">
        <f t="shared" ref="O29:P29" si="37">D29/7</f>
        <v>1.5714285714285714</v>
      </c>
      <c r="P29" s="35">
        <f t="shared" si="37"/>
        <v>0</v>
      </c>
      <c r="Q29" s="30">
        <f t="shared" si="8"/>
        <v>1</v>
      </c>
      <c r="R29" s="30"/>
      <c r="S29" s="22">
        <v>0</v>
      </c>
      <c r="T29" s="15" t="s">
        <v>34</v>
      </c>
      <c r="U29" s="23" t="s">
        <v>34</v>
      </c>
      <c r="V29" s="1" t="s">
        <v>274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0.51237731481481485</v>
      </c>
      <c r="AD29" s="40">
        <f t="shared" si="12"/>
        <v>-5.4107044444444448</v>
      </c>
      <c r="AE29" s="26">
        <v>-12.08</v>
      </c>
      <c r="AF29" s="26">
        <v>-9.1553440909090895</v>
      </c>
      <c r="AG29" s="26">
        <v>0</v>
      </c>
    </row>
    <row r="30" spans="1:33" ht="15.75" customHeight="1" x14ac:dyDescent="0.2">
      <c r="A30" s="15" t="s">
        <v>90</v>
      </c>
      <c r="B30" s="15" t="s">
        <v>172</v>
      </c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1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 t="s">
        <v>34</v>
      </c>
      <c r="V30" s="1" t="s">
        <v>274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0.51237731481481485</v>
      </c>
      <c r="AD30" s="40">
        <f t="shared" si="12"/>
        <v>0</v>
      </c>
      <c r="AE30" s="26">
        <v>-12.08</v>
      </c>
      <c r="AF30" s="26">
        <v>-10.419285199999999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1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170</v>
      </c>
      <c r="U31" s="23" t="s">
        <v>34</v>
      </c>
      <c r="V31" s="1" t="s">
        <v>274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0.51237731481481485</v>
      </c>
      <c r="AD31" s="40">
        <f t="shared" si="12"/>
        <v>0</v>
      </c>
      <c r="AE31" s="26">
        <v>-12.08</v>
      </c>
      <c r="AF31" s="43">
        <v>-10.419285199999999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1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IFERROR(__xludf.DUMMYFUNCTION("IFERROR(VLOOKUP($B$2,IMPORTRANGE(""https://docs.google.com/spreadsheets/d/1KiWZV1ko8G7lnRucBRBd29jj3Be6ltMfljMDqzOkQmI/edit#gid=1381463014"",""Lookup!A:D""),4,FALSE),"""")"),170)</f>
        <v>170</v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IFERROR(__xludf.DUMMYFUNCTION("IFERROR(VLOOKUP($B$2,IMPORTRANGE(""https://docs.google.com/spreadsheets/d/1KiWZV1ko8G7lnRucBRBd29jj3Be6ltMfljMDqzOkQmI/edit#gid=1381463014"",""Lookup!A:D""),2,FALSE),"""")"),"No Transit, But 170 At Factory 50-75 days from Earliest Arrival")</f>
        <v>No Transit, But 170 At Factory 50-75 days from Earliest Arrival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0.51237731481481485</v>
      </c>
      <c r="AD32" s="40">
        <f t="shared" si="12"/>
        <v>0</v>
      </c>
      <c r="AE32" s="26">
        <v>-12.08</v>
      </c>
      <c r="AF32" s="26">
        <v>-10.419285199999999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3.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8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Magnetic Sidewalk Chalkboard – Sturdy Freestanding Black Sandwich Board Menu Display for Restaurant, Business or Wedding")</f>
        <v>Wooden A-Frame Sign with Eraser &amp; Chalk - Magnetic Sidewalk Chalkboard – Sturdy Freestanding Black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Info!B1:BJ5000""),2,FALSE),"""")"),"B07K8TTT9T")</f>
        <v>B07K8TTT9T</v>
      </c>
      <c r="B2" s="3" t="s">
        <v>275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29" customHeight="1" x14ac:dyDescent="0.2">
      <c r="A3" s="57" t="s">
        <v>31</v>
      </c>
      <c r="B3" s="58"/>
      <c r="C3" s="4">
        <f>((AE32+AF32)/0.85)*-1</f>
        <v>31.717341355294121</v>
      </c>
      <c r="D3" s="5">
        <f>SUM(D4:D99519)</f>
        <v>143</v>
      </c>
      <c r="E3" s="5"/>
      <c r="F3" s="6">
        <f t="shared" ref="F3:G3" si="0">SUM(F4:F99519)</f>
        <v>5784.09</v>
      </c>
      <c r="G3" s="6">
        <f t="shared" si="0"/>
        <v>-1.49</v>
      </c>
      <c r="H3" s="7">
        <f t="shared" ref="H3:H32" si="1">G3/F3*-1</f>
        <v>2.5760318390619785E-4</v>
      </c>
      <c r="I3" s="8">
        <f t="shared" ref="I3:I32" si="2">J3/F3</f>
        <v>0.2073696134825283</v>
      </c>
      <c r="J3" s="6">
        <f>SUM(J4:J99519)</f>
        <v>1199.4445076481572</v>
      </c>
      <c r="K3" s="6">
        <f t="shared" ref="K3:K32" si="3">J3/D3</f>
        <v>8.3877238297073937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Sheet!a1:g5000""),2,FALSE),"""")"),"1 - March
1 - April
1 - May
2 - June
2 - July
2 - Aug
2 - Sept
0.1 - Oct
0.1 - Nov
0.1 - Dec
0.5 - Jan
0.5 - Feb")</f>
        <v>1 - March
1 - April
1 - May
2 - June
2 - July
2 - Aug
2 - Sept
0.1 - Oct
0.1 - Nov
0.1 - Dec
0.5 - Jan
0.5 -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1</v>
      </c>
      <c r="X3" s="7">
        <f>W3/D3</f>
        <v>6.993006993006993E-3</v>
      </c>
      <c r="Y3" s="6"/>
      <c r="Z3" s="5"/>
      <c r="AA3" s="5"/>
      <c r="AB3" s="5"/>
      <c r="AC3" s="5"/>
      <c r="AD3" s="6">
        <f>SUM(AD4:AD99519)</f>
        <v>-104.69480277584651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Info!B2:BZ3000""),37,FALSE)),"""")*-1"),-14.879740152)</f>
        <v>-14.879740152</v>
      </c>
      <c r="AG3" s="6">
        <f>SUM(AG4:AG99519)</f>
        <v>0</v>
      </c>
    </row>
    <row r="4" spans="1:33" x14ac:dyDescent="0.2">
      <c r="A4" s="15" t="s">
        <v>32</v>
      </c>
      <c r="B4" s="15" t="s">
        <v>276</v>
      </c>
      <c r="C4" s="16">
        <f t="shared" ref="C4:C32" si="4">IFERROR(F4/D4," - ")</f>
        <v>41.99</v>
      </c>
      <c r="D4" s="17">
        <v>1</v>
      </c>
      <c r="E4" s="17">
        <v>0</v>
      </c>
      <c r="F4" s="18">
        <v>41.99</v>
      </c>
      <c r="G4" s="18">
        <v>0</v>
      </c>
      <c r="H4" s="19">
        <f t="shared" si="1"/>
        <v>0</v>
      </c>
      <c r="I4" s="19">
        <f t="shared" si="2"/>
        <v>0.27784110502500586</v>
      </c>
      <c r="J4" s="18">
        <f t="shared" ref="J4:J32" si="5">F4*0.85+G4+AF4*D4+D4*AE4+AG4+AD4</f>
        <v>11.666547999999997</v>
      </c>
      <c r="K4" s="18">
        <f t="shared" si="3"/>
        <v>11.666547999999997</v>
      </c>
      <c r="L4" s="17">
        <v>0</v>
      </c>
      <c r="M4" s="20" t="str">
        <f t="shared" ref="M4:M32" si="6">IFERROR(D4/L4,"-")</f>
        <v>-</v>
      </c>
      <c r="N4" s="17">
        <v>3</v>
      </c>
      <c r="O4" s="21">
        <f t="shared" ref="O4:P4" si="7">D4/7</f>
        <v>0.14285714285714285</v>
      </c>
      <c r="P4" s="21">
        <f t="shared" si="7"/>
        <v>0</v>
      </c>
      <c r="Q4" s="17">
        <f t="shared" ref="Q4:Q32" si="8">ROUNDDOWN(N4/(O4+P4),0)</f>
        <v>21</v>
      </c>
      <c r="R4" s="17"/>
      <c r="S4" s="22" t="e">
        <v>#N/A</v>
      </c>
      <c r="T4" s="15">
        <v>73</v>
      </c>
      <c r="U4" s="23">
        <v>28</v>
      </c>
      <c r="V4" s="24" t="s">
        <v>277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0.76300000000000001</v>
      </c>
      <c r="AD4" s="26">
        <f t="shared" ref="AD4:AD32" si="12">IFERROR(AB4*AC4*D4*2,0)</f>
        <v>-0.73248000000000002</v>
      </c>
      <c r="AE4" s="26">
        <v>-11.68</v>
      </c>
      <c r="AF4" s="26">
        <v>-11.612472</v>
      </c>
      <c r="AG4" s="26">
        <v>0</v>
      </c>
    </row>
    <row r="5" spans="1:33" ht="15.75" customHeight="1" x14ac:dyDescent="0.2">
      <c r="A5" s="29" t="s">
        <v>36</v>
      </c>
      <c r="B5" s="29" t="s">
        <v>278</v>
      </c>
      <c r="C5" s="16">
        <f t="shared" si="4"/>
        <v>41.99</v>
      </c>
      <c r="D5" s="30">
        <v>3</v>
      </c>
      <c r="E5" s="30">
        <v>0</v>
      </c>
      <c r="F5" s="31">
        <v>125.97</v>
      </c>
      <c r="G5" s="31">
        <v>0</v>
      </c>
      <c r="H5" s="32">
        <f t="shared" si="1"/>
        <v>0</v>
      </c>
      <c r="I5" s="32">
        <f t="shared" si="2"/>
        <v>0.27782968697783528</v>
      </c>
      <c r="J5" s="33">
        <f t="shared" si="5"/>
        <v>34.998205668597912</v>
      </c>
      <c r="K5" s="33">
        <f t="shared" si="3"/>
        <v>11.666068556199304</v>
      </c>
      <c r="L5" s="30">
        <v>57</v>
      </c>
      <c r="M5" s="34">
        <f t="shared" si="6"/>
        <v>5.2631578947368418E-2</v>
      </c>
      <c r="N5" s="30">
        <v>49</v>
      </c>
      <c r="O5" s="35">
        <f t="shared" ref="O5:P5" si="13">D5/7</f>
        <v>0.42857142857142855</v>
      </c>
      <c r="P5" s="35">
        <f t="shared" si="13"/>
        <v>0</v>
      </c>
      <c r="Q5" s="30">
        <f t="shared" si="8"/>
        <v>114</v>
      </c>
      <c r="R5" s="30"/>
      <c r="S5" s="36">
        <v>1.9701492537313401</v>
      </c>
      <c r="T5" s="29">
        <v>73</v>
      </c>
      <c r="U5" s="37">
        <v>28</v>
      </c>
      <c r="V5" s="38" t="s">
        <v>277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0.76349942062572418</v>
      </c>
      <c r="AD5" s="40">
        <f t="shared" si="12"/>
        <v>-2.1988783314020859</v>
      </c>
      <c r="AE5" s="40">
        <v>-11.68</v>
      </c>
      <c r="AF5" s="40">
        <v>-11.612472</v>
      </c>
      <c r="AG5" s="40">
        <v>0</v>
      </c>
    </row>
    <row r="6" spans="1:33" ht="15.75" customHeight="1" x14ac:dyDescent="0.2">
      <c r="A6" s="29" t="s">
        <v>38</v>
      </c>
      <c r="B6" s="29" t="s">
        <v>279</v>
      </c>
      <c r="C6" s="16">
        <f t="shared" si="4"/>
        <v>37.99</v>
      </c>
      <c r="D6" s="30">
        <v>1</v>
      </c>
      <c r="E6" s="30">
        <v>0</v>
      </c>
      <c r="F6" s="31">
        <v>37.99</v>
      </c>
      <c r="G6" s="31">
        <v>0</v>
      </c>
      <c r="H6" s="32">
        <f t="shared" si="1"/>
        <v>0</v>
      </c>
      <c r="I6" s="32">
        <f t="shared" si="2"/>
        <v>0.21760770963118947</v>
      </c>
      <c r="J6" s="33">
        <f t="shared" si="5"/>
        <v>8.266916888888888</v>
      </c>
      <c r="K6" s="33">
        <f t="shared" si="3"/>
        <v>8.266916888888888</v>
      </c>
      <c r="L6" s="30">
        <v>63</v>
      </c>
      <c r="M6" s="34">
        <f t="shared" si="6"/>
        <v>1.5873015873015872E-2</v>
      </c>
      <c r="N6" s="30">
        <v>52</v>
      </c>
      <c r="O6" s="35">
        <f t="shared" ref="O6:P6" si="14">D6/7</f>
        <v>0.14285714285714285</v>
      </c>
      <c r="P6" s="35">
        <f t="shared" si="14"/>
        <v>0</v>
      </c>
      <c r="Q6" s="30">
        <f t="shared" si="8"/>
        <v>364</v>
      </c>
      <c r="R6" s="30"/>
      <c r="S6" s="36">
        <v>2.1062801932367101</v>
      </c>
      <c r="T6" s="29">
        <v>73</v>
      </c>
      <c r="U6" s="37">
        <v>28</v>
      </c>
      <c r="V6" s="38" t="s">
        <v>280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0.76261574074074068</v>
      </c>
      <c r="AD6" s="40">
        <f t="shared" si="12"/>
        <v>-0.73211111111111105</v>
      </c>
      <c r="AE6" s="40">
        <v>-11.68</v>
      </c>
      <c r="AF6" s="40">
        <v>-11.612472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36.590000000000003</v>
      </c>
      <c r="D7" s="30">
        <v>4</v>
      </c>
      <c r="E7" s="30">
        <v>0</v>
      </c>
      <c r="F7" s="31">
        <v>146.36000000000001</v>
      </c>
      <c r="G7" s="31">
        <v>0</v>
      </c>
      <c r="H7" s="32">
        <f t="shared" si="1"/>
        <v>0</v>
      </c>
      <c r="I7" s="32">
        <f t="shared" si="2"/>
        <v>0.19341122954055451</v>
      </c>
      <c r="J7" s="33">
        <f t="shared" si="5"/>
        <v>28.307667555555561</v>
      </c>
      <c r="K7" s="33">
        <f t="shared" si="3"/>
        <v>7.0769168888888903</v>
      </c>
      <c r="L7" s="30">
        <v>84</v>
      </c>
      <c r="M7" s="34">
        <f t="shared" si="6"/>
        <v>4.7619047619047616E-2</v>
      </c>
      <c r="N7" s="30">
        <v>44</v>
      </c>
      <c r="O7" s="35">
        <f t="shared" ref="O7:P7" si="15">D7/7</f>
        <v>0.5714285714285714</v>
      </c>
      <c r="P7" s="35">
        <f t="shared" si="15"/>
        <v>0</v>
      </c>
      <c r="Q7" s="30">
        <f t="shared" si="8"/>
        <v>77</v>
      </c>
      <c r="R7" s="30"/>
      <c r="S7" s="36">
        <v>2.02298850574712</v>
      </c>
      <c r="T7" s="29">
        <v>73</v>
      </c>
      <c r="U7" s="37">
        <v>28</v>
      </c>
      <c r="V7" s="38" t="s">
        <v>280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0.76261574074074068</v>
      </c>
      <c r="AD7" s="40">
        <f t="shared" si="12"/>
        <v>-2.9284444444444442</v>
      </c>
      <c r="AE7" s="40">
        <v>-11.68</v>
      </c>
      <c r="AF7" s="40">
        <v>-11.612472</v>
      </c>
      <c r="AG7" s="40">
        <v>0</v>
      </c>
    </row>
    <row r="8" spans="1:33" ht="15.75" customHeight="1" x14ac:dyDescent="0.2">
      <c r="A8" s="29" t="s">
        <v>44</v>
      </c>
      <c r="B8" s="29" t="s">
        <v>281</v>
      </c>
      <c r="C8" s="16">
        <f t="shared" si="4"/>
        <v>36.003846153846162</v>
      </c>
      <c r="D8" s="30">
        <v>13</v>
      </c>
      <c r="E8" s="30">
        <v>0</v>
      </c>
      <c r="F8" s="31">
        <v>468.05000000000007</v>
      </c>
      <c r="G8" s="31">
        <v>0</v>
      </c>
      <c r="H8" s="32">
        <f t="shared" si="1"/>
        <v>0</v>
      </c>
      <c r="I8" s="32">
        <f t="shared" si="2"/>
        <v>0.18279041887737543</v>
      </c>
      <c r="J8" s="33">
        <f t="shared" si="5"/>
        <v>85.555055555555583</v>
      </c>
      <c r="K8" s="33">
        <f t="shared" si="3"/>
        <v>6.5811581196581219</v>
      </c>
      <c r="L8" s="30">
        <v>79</v>
      </c>
      <c r="M8" s="34">
        <f t="shared" si="6"/>
        <v>0.16455696202531644</v>
      </c>
      <c r="N8" s="30">
        <v>31</v>
      </c>
      <c r="O8" s="35">
        <f t="shared" ref="O8:P8" si="16">D8/7</f>
        <v>1.8571428571428572</v>
      </c>
      <c r="P8" s="35">
        <f t="shared" si="16"/>
        <v>0</v>
      </c>
      <c r="Q8" s="30">
        <f t="shared" si="8"/>
        <v>16</v>
      </c>
      <c r="R8" s="30"/>
      <c r="S8" s="36">
        <v>2.1408450704225301</v>
      </c>
      <c r="T8" s="29">
        <v>73</v>
      </c>
      <c r="U8" s="37">
        <v>28</v>
      </c>
      <c r="V8" s="38" t="s">
        <v>282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0.76261574074074068</v>
      </c>
      <c r="AD8" s="40">
        <f t="shared" si="12"/>
        <v>-9.5174444444444433</v>
      </c>
      <c r="AE8" s="40">
        <v>-11.68</v>
      </c>
      <c r="AF8" s="40">
        <v>-11.61</v>
      </c>
      <c r="AG8" s="40">
        <v>0</v>
      </c>
    </row>
    <row r="9" spans="1:33" ht="15.75" customHeight="1" x14ac:dyDescent="0.2">
      <c r="A9" s="29" t="s">
        <v>47</v>
      </c>
      <c r="B9" s="29" t="s">
        <v>283</v>
      </c>
      <c r="C9" s="16">
        <f t="shared" si="4"/>
        <v>37.590000000000003</v>
      </c>
      <c r="D9" s="30">
        <v>5</v>
      </c>
      <c r="E9" s="30">
        <v>0</v>
      </c>
      <c r="F9" s="31">
        <v>187.95000000000002</v>
      </c>
      <c r="G9" s="31">
        <v>0</v>
      </c>
      <c r="H9" s="32">
        <f t="shared" si="1"/>
        <v>0</v>
      </c>
      <c r="I9" s="32">
        <f t="shared" si="2"/>
        <v>0.19393149478289151</v>
      </c>
      <c r="J9" s="33">
        <f t="shared" si="5"/>
        <v>36.44942444444446</v>
      </c>
      <c r="K9" s="33">
        <f t="shared" si="3"/>
        <v>7.2898848888888921</v>
      </c>
      <c r="L9" s="30">
        <v>76</v>
      </c>
      <c r="M9" s="34">
        <f t="shared" si="6"/>
        <v>6.5789473684210523E-2</v>
      </c>
      <c r="N9" s="30">
        <v>26</v>
      </c>
      <c r="O9" s="35">
        <f t="shared" ref="O9:P9" si="17">D9/7</f>
        <v>0.7142857142857143</v>
      </c>
      <c r="P9" s="35">
        <f t="shared" si="17"/>
        <v>0</v>
      </c>
      <c r="Q9" s="30">
        <f t="shared" si="8"/>
        <v>36</v>
      </c>
      <c r="R9" s="30"/>
      <c r="S9" s="36">
        <v>1.4765100671140901</v>
      </c>
      <c r="T9" s="29">
        <v>73</v>
      </c>
      <c r="U9" s="37">
        <v>28</v>
      </c>
      <c r="V9" s="38" t="s">
        <v>284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0.76261574074074068</v>
      </c>
      <c r="AD9" s="40">
        <f t="shared" si="12"/>
        <v>-3.6605555555555553</v>
      </c>
      <c r="AE9" s="40">
        <v>-11.68</v>
      </c>
      <c r="AF9" s="40">
        <v>-12.249504</v>
      </c>
      <c r="AG9" s="40">
        <v>0</v>
      </c>
    </row>
    <row r="10" spans="1:33" ht="15.75" customHeight="1" x14ac:dyDescent="0.2">
      <c r="A10" s="29" t="s">
        <v>50</v>
      </c>
      <c r="B10" s="29" t="s">
        <v>285</v>
      </c>
      <c r="C10" s="16">
        <f t="shared" si="4"/>
        <v>38.704285714285717</v>
      </c>
      <c r="D10" s="30">
        <v>7</v>
      </c>
      <c r="E10" s="30">
        <v>0</v>
      </c>
      <c r="F10" s="31">
        <v>270.93</v>
      </c>
      <c r="G10" s="31">
        <v>-0.23000000000000004</v>
      </c>
      <c r="H10" s="32">
        <f t="shared" si="1"/>
        <v>8.4892776731997207E-4</v>
      </c>
      <c r="I10" s="32">
        <f t="shared" si="2"/>
        <v>0.21197059839154861</v>
      </c>
      <c r="J10" s="33">
        <f t="shared" si="5"/>
        <v>57.429194222222264</v>
      </c>
      <c r="K10" s="33">
        <f t="shared" si="3"/>
        <v>8.2041706031746084</v>
      </c>
      <c r="L10" s="30">
        <v>75</v>
      </c>
      <c r="M10" s="34">
        <f t="shared" si="6"/>
        <v>9.3333333333333338E-2</v>
      </c>
      <c r="N10" s="30">
        <v>46</v>
      </c>
      <c r="O10" s="35">
        <f t="shared" ref="O10:P10" si="18">D10/7</f>
        <v>1</v>
      </c>
      <c r="P10" s="35">
        <f t="shared" si="18"/>
        <v>0</v>
      </c>
      <c r="Q10" s="30">
        <f t="shared" si="8"/>
        <v>46</v>
      </c>
      <c r="R10" s="30"/>
      <c r="S10" s="36">
        <v>1.1970802919707999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0.76261574074074068</v>
      </c>
      <c r="AD10" s="40">
        <f t="shared" si="12"/>
        <v>-5.1247777777777772</v>
      </c>
      <c r="AE10" s="40">
        <v>-11.68</v>
      </c>
      <c r="AF10" s="40">
        <v>-12.249504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39.99</v>
      </c>
      <c r="D11" s="30">
        <v>4</v>
      </c>
      <c r="E11" s="30">
        <v>0</v>
      </c>
      <c r="F11" s="31">
        <v>159.96</v>
      </c>
      <c r="G11" s="31">
        <v>-0.05</v>
      </c>
      <c r="H11" s="32">
        <f t="shared" si="1"/>
        <v>3.1257814453613403E-4</v>
      </c>
      <c r="I11" s="32">
        <f t="shared" si="2"/>
        <v>0.23299287043983211</v>
      </c>
      <c r="J11" s="33">
        <f t="shared" si="5"/>
        <v>37.269539555555546</v>
      </c>
      <c r="K11" s="33">
        <f t="shared" si="3"/>
        <v>9.3173848888888866</v>
      </c>
      <c r="L11" s="30">
        <v>41</v>
      </c>
      <c r="M11" s="34">
        <f t="shared" si="6"/>
        <v>9.7560975609756101E-2</v>
      </c>
      <c r="N11" s="30">
        <v>43</v>
      </c>
      <c r="O11" s="35">
        <f t="shared" ref="O11:P11" si="19">D11/7</f>
        <v>0.5714285714285714</v>
      </c>
      <c r="P11" s="35">
        <f t="shared" si="19"/>
        <v>0</v>
      </c>
      <c r="Q11" s="30">
        <f t="shared" si="8"/>
        <v>75</v>
      </c>
      <c r="R11" s="30"/>
      <c r="S11" s="36">
        <v>1.3983739837398299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0.76261574074074068</v>
      </c>
      <c r="AD11" s="40">
        <f t="shared" si="12"/>
        <v>-2.9284444444444442</v>
      </c>
      <c r="AE11" s="40">
        <v>-11.68</v>
      </c>
      <c r="AF11" s="40">
        <v>-12.249504</v>
      </c>
      <c r="AG11" s="40">
        <v>0</v>
      </c>
    </row>
    <row r="12" spans="1:33" ht="15.75" customHeight="1" x14ac:dyDescent="0.2">
      <c r="A12" s="29" t="s">
        <v>56</v>
      </c>
      <c r="B12" s="29" t="s">
        <v>286</v>
      </c>
      <c r="C12" s="16">
        <f t="shared" si="4"/>
        <v>39.99</v>
      </c>
      <c r="D12" s="30">
        <v>6</v>
      </c>
      <c r="E12" s="30">
        <v>0</v>
      </c>
      <c r="F12" s="31">
        <v>239.94000000000003</v>
      </c>
      <c r="G12" s="31">
        <v>-0.08</v>
      </c>
      <c r="H12" s="32">
        <f t="shared" si="1"/>
        <v>3.3341668750520962E-4</v>
      </c>
      <c r="I12" s="32">
        <f t="shared" si="2"/>
        <v>0.23297203189686316</v>
      </c>
      <c r="J12" s="33">
        <f t="shared" si="5"/>
        <v>55.899309333333356</v>
      </c>
      <c r="K12" s="33">
        <f t="shared" si="3"/>
        <v>9.3165515555555594</v>
      </c>
      <c r="L12" s="30">
        <v>38</v>
      </c>
      <c r="M12" s="34">
        <f t="shared" si="6"/>
        <v>0.15789473684210525</v>
      </c>
      <c r="N12" s="30">
        <v>31</v>
      </c>
      <c r="O12" s="35">
        <f t="shared" ref="O12:P12" si="20">D12/7</f>
        <v>0.8571428571428571</v>
      </c>
      <c r="P12" s="35">
        <f t="shared" si="20"/>
        <v>0</v>
      </c>
      <c r="Q12" s="30">
        <f t="shared" si="8"/>
        <v>36</v>
      </c>
      <c r="R12" s="30"/>
      <c r="S12" s="36">
        <v>1.9393939393939299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0.76261574074074068</v>
      </c>
      <c r="AD12" s="40">
        <f t="shared" si="12"/>
        <v>-4.3926666666666661</v>
      </c>
      <c r="AE12" s="40">
        <v>-11.68</v>
      </c>
      <c r="AF12" s="40">
        <v>-12.249504</v>
      </c>
      <c r="AG12" s="40">
        <v>0</v>
      </c>
    </row>
    <row r="13" spans="1:33" ht="15.75" customHeight="1" x14ac:dyDescent="0.2">
      <c r="A13" s="29" t="s">
        <v>57</v>
      </c>
      <c r="B13" s="29" t="s">
        <v>287</v>
      </c>
      <c r="C13" s="16">
        <f t="shared" si="4"/>
        <v>42.029500000000006</v>
      </c>
      <c r="D13" s="30">
        <v>20</v>
      </c>
      <c r="E13" s="30">
        <v>0</v>
      </c>
      <c r="F13" s="33">
        <v>840.59000000000015</v>
      </c>
      <c r="G13" s="31">
        <v>-0.08</v>
      </c>
      <c r="H13" s="32">
        <f t="shared" si="1"/>
        <v>9.5171248765747856E-5</v>
      </c>
      <c r="I13" s="32">
        <f t="shared" si="2"/>
        <v>0.25515839800352108</v>
      </c>
      <c r="J13" s="33">
        <f t="shared" si="5"/>
        <v>214.48359777777983</v>
      </c>
      <c r="K13" s="33">
        <f t="shared" si="3"/>
        <v>10.724179888888992</v>
      </c>
      <c r="L13" s="30">
        <v>43</v>
      </c>
      <c r="M13" s="34">
        <f t="shared" si="6"/>
        <v>0.46511627906976744</v>
      </c>
      <c r="N13" s="30">
        <v>18</v>
      </c>
      <c r="O13" s="35">
        <f t="shared" ref="O13:P13" si="21">D13/7</f>
        <v>2.8571428571428572</v>
      </c>
      <c r="P13" s="35">
        <f t="shared" si="21"/>
        <v>0</v>
      </c>
      <c r="Q13" s="30">
        <f t="shared" si="8"/>
        <v>6</v>
      </c>
      <c r="R13" s="30"/>
      <c r="S13" s="36">
        <v>2.3736263736263701</v>
      </c>
      <c r="T13" s="29">
        <v>0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0.76261574074074068</v>
      </c>
      <c r="AD13" s="40">
        <f t="shared" si="12"/>
        <v>-14.642222222222221</v>
      </c>
      <c r="AE13" s="40">
        <v>-11.68</v>
      </c>
      <c r="AF13" s="40">
        <v>-12.5847839999999</v>
      </c>
      <c r="AG13" s="40">
        <v>0</v>
      </c>
    </row>
    <row r="14" spans="1:33" ht="15.75" customHeight="1" x14ac:dyDescent="0.2">
      <c r="A14" s="29" t="s">
        <v>59</v>
      </c>
      <c r="B14" s="29" t="s">
        <v>288</v>
      </c>
      <c r="C14" s="16">
        <f t="shared" si="4"/>
        <v>43.86999999999999</v>
      </c>
      <c r="D14" s="30">
        <v>9</v>
      </c>
      <c r="E14" s="30">
        <v>0</v>
      </c>
      <c r="F14" s="33">
        <v>394.82999999999993</v>
      </c>
      <c r="G14" s="31">
        <v>-0.05</v>
      </c>
      <c r="H14" s="32">
        <f t="shared" si="1"/>
        <v>1.2663678038649548E-4</v>
      </c>
      <c r="I14" s="32">
        <f t="shared" si="2"/>
        <v>0.28007862624420854</v>
      </c>
      <c r="J14" s="33">
        <f t="shared" si="5"/>
        <v>110.58344400000084</v>
      </c>
      <c r="K14" s="33">
        <f t="shared" si="3"/>
        <v>12.287049333333426</v>
      </c>
      <c r="L14" s="30">
        <v>68</v>
      </c>
      <c r="M14" s="34">
        <f t="shared" si="6"/>
        <v>0.13235294117647059</v>
      </c>
      <c r="N14" s="30">
        <v>4</v>
      </c>
      <c r="O14" s="35">
        <f t="shared" ref="O14:P14" si="22">D14/7</f>
        <v>1.2857142857142858</v>
      </c>
      <c r="P14" s="35">
        <f t="shared" si="22"/>
        <v>0</v>
      </c>
      <c r="Q14" s="30">
        <f t="shared" si="8"/>
        <v>3</v>
      </c>
      <c r="R14" s="30"/>
      <c r="S14" s="36">
        <v>2.7610619469026498</v>
      </c>
      <c r="T14" s="29">
        <v>100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0.76261574074074068</v>
      </c>
      <c r="AD14" s="40">
        <f t="shared" si="12"/>
        <v>-6.5889999999999995</v>
      </c>
      <c r="AE14" s="40">
        <v>-11.68</v>
      </c>
      <c r="AF14" s="40">
        <v>-12.5847839999999</v>
      </c>
      <c r="AG14" s="40">
        <v>0</v>
      </c>
    </row>
    <row r="15" spans="1:33" ht="15.75" customHeight="1" x14ac:dyDescent="0.2">
      <c r="A15" s="29" t="s">
        <v>61</v>
      </c>
      <c r="B15" s="29" t="s">
        <v>289</v>
      </c>
      <c r="C15" s="16">
        <f t="shared" si="4"/>
        <v>43.99</v>
      </c>
      <c r="D15" s="30">
        <v>3</v>
      </c>
      <c r="E15" s="30">
        <v>0</v>
      </c>
      <c r="F15" s="33">
        <v>131.97</v>
      </c>
      <c r="G15" s="31">
        <v>0</v>
      </c>
      <c r="H15" s="32">
        <f t="shared" si="1"/>
        <v>0</v>
      </c>
      <c r="I15" s="32">
        <f t="shared" si="2"/>
        <v>0.28175960192973376</v>
      </c>
      <c r="J15" s="33">
        <f t="shared" si="5"/>
        <v>37.183814666666962</v>
      </c>
      <c r="K15" s="33">
        <f t="shared" si="3"/>
        <v>12.394604888888987</v>
      </c>
      <c r="L15" s="30">
        <v>20</v>
      </c>
      <c r="M15" s="34">
        <f t="shared" si="6"/>
        <v>0.15</v>
      </c>
      <c r="N15" s="30">
        <v>4</v>
      </c>
      <c r="O15" s="35">
        <f t="shared" ref="O15:P15" si="23">D15/7</f>
        <v>0.42857142857142855</v>
      </c>
      <c r="P15" s="35">
        <f t="shared" si="23"/>
        <v>0</v>
      </c>
      <c r="Q15" s="30">
        <f t="shared" si="8"/>
        <v>9</v>
      </c>
      <c r="R15" s="30"/>
      <c r="S15" s="36">
        <v>2.75229357798165</v>
      </c>
      <c r="T15" s="29">
        <v>100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0.76261574074074068</v>
      </c>
      <c r="AD15" s="40">
        <f t="shared" si="12"/>
        <v>-2.196333333333333</v>
      </c>
      <c r="AE15" s="40">
        <v>-11.68</v>
      </c>
      <c r="AF15" s="40">
        <v>-12.5847839999999</v>
      </c>
      <c r="AG15" s="40">
        <v>0</v>
      </c>
    </row>
    <row r="16" spans="1:33" ht="15.75" customHeight="1" x14ac:dyDescent="0.2">
      <c r="A16" s="29" t="s">
        <v>64</v>
      </c>
      <c r="B16" s="29" t="s">
        <v>289</v>
      </c>
      <c r="C16" s="16">
        <f t="shared" si="4"/>
        <v>43.99</v>
      </c>
      <c r="D16" s="30">
        <v>1</v>
      </c>
      <c r="E16" s="30">
        <v>0</v>
      </c>
      <c r="F16" s="33">
        <v>43.99</v>
      </c>
      <c r="G16" s="31">
        <v>0</v>
      </c>
      <c r="H16" s="32">
        <f t="shared" si="1"/>
        <v>0</v>
      </c>
      <c r="I16" s="32">
        <f t="shared" si="2"/>
        <v>0.28175960192973382</v>
      </c>
      <c r="J16" s="33">
        <f t="shared" si="5"/>
        <v>12.39460488888899</v>
      </c>
      <c r="K16" s="33">
        <f t="shared" si="3"/>
        <v>12.39460488888899</v>
      </c>
      <c r="L16" s="30">
        <v>4</v>
      </c>
      <c r="M16" s="34">
        <f t="shared" si="6"/>
        <v>0.25</v>
      </c>
      <c r="N16" s="30">
        <v>3</v>
      </c>
      <c r="O16" s="35">
        <f t="shared" ref="O16:P16" si="24">D16/7</f>
        <v>0.14285714285714285</v>
      </c>
      <c r="P16" s="35">
        <f t="shared" si="24"/>
        <v>0</v>
      </c>
      <c r="Q16" s="30">
        <f t="shared" si="8"/>
        <v>21</v>
      </c>
      <c r="R16" s="30"/>
      <c r="S16" s="36">
        <v>3.6235294117647001</v>
      </c>
      <c r="T16" s="29">
        <v>100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0.76261574074074068</v>
      </c>
      <c r="AD16" s="40">
        <f t="shared" si="12"/>
        <v>-0.73211111111111105</v>
      </c>
      <c r="AE16" s="40">
        <v>-11.68</v>
      </c>
      <c r="AF16" s="40">
        <v>-12.5847839999999</v>
      </c>
      <c r="AG16" s="40">
        <v>0</v>
      </c>
    </row>
    <row r="17" spans="1:33" ht="15.75" customHeight="1" x14ac:dyDescent="0.2">
      <c r="A17" s="29" t="s">
        <v>66</v>
      </c>
      <c r="B17" s="29" t="s">
        <v>172</v>
      </c>
      <c r="C17" s="16">
        <f t="shared" si="4"/>
        <v>43.99</v>
      </c>
      <c r="D17" s="30">
        <v>2</v>
      </c>
      <c r="E17" s="30">
        <v>0</v>
      </c>
      <c r="F17" s="33">
        <v>87.98</v>
      </c>
      <c r="G17" s="31">
        <v>0</v>
      </c>
      <c r="H17" s="32">
        <f t="shared" si="1"/>
        <v>0</v>
      </c>
      <c r="I17" s="32">
        <f t="shared" si="2"/>
        <v>0.28175960192973382</v>
      </c>
      <c r="J17" s="33">
        <f t="shared" si="5"/>
        <v>24.78920977777798</v>
      </c>
      <c r="K17" s="33">
        <f t="shared" si="3"/>
        <v>12.39460488888899</v>
      </c>
      <c r="L17" s="30">
        <v>3</v>
      </c>
      <c r="M17" s="34">
        <f t="shared" si="6"/>
        <v>0.66666666666666663</v>
      </c>
      <c r="N17" s="30">
        <v>1</v>
      </c>
      <c r="O17" s="35">
        <f t="shared" ref="O17:P17" si="25">D17/7</f>
        <v>0.2857142857142857</v>
      </c>
      <c r="P17" s="35">
        <f t="shared" si="25"/>
        <v>0</v>
      </c>
      <c r="Q17" s="30">
        <f t="shared" si="8"/>
        <v>3</v>
      </c>
      <c r="R17" s="30"/>
      <c r="S17" s="36" t="e">
        <v>#N/A</v>
      </c>
      <c r="T17" s="29">
        <v>100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0.76261574074074068</v>
      </c>
      <c r="AD17" s="40">
        <f t="shared" si="12"/>
        <v>-1.4642222222222221</v>
      </c>
      <c r="AE17" s="40">
        <v>-11.68</v>
      </c>
      <c r="AF17" s="40">
        <v>-12.5847839999999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1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100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0.76261574074074068</v>
      </c>
      <c r="AD18" s="40">
        <f t="shared" si="12"/>
        <v>0</v>
      </c>
      <c r="AE18" s="40">
        <v>-11.68</v>
      </c>
      <c r="AF18" s="40">
        <v>-12.5847839999999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1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268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0.76261574074074068</v>
      </c>
      <c r="AD19" s="40">
        <f t="shared" si="12"/>
        <v>0</v>
      </c>
      <c r="AE19" s="40">
        <v>-11.68</v>
      </c>
      <c r="AF19" s="40">
        <v>-12.584783999999999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1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268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0.76261574074074068</v>
      </c>
      <c r="AD20" s="40">
        <f t="shared" si="12"/>
        <v>0</v>
      </c>
      <c r="AE20" s="40">
        <v>-11.68</v>
      </c>
      <c r="AF20" s="40">
        <v>-12.584783999999999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1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>
        <v>3.3239436619718301</v>
      </c>
      <c r="T21" s="29">
        <v>268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0.76261574074074068</v>
      </c>
      <c r="AD21" s="40">
        <f t="shared" si="12"/>
        <v>0</v>
      </c>
      <c r="AE21" s="40">
        <v>-11.68</v>
      </c>
      <c r="AF21" s="40">
        <v>-12.584783999999999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1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468</v>
      </c>
      <c r="U22" s="37">
        <v>200</v>
      </c>
      <c r="V22" s="38" t="s">
        <v>290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0.76261574074074068</v>
      </c>
      <c r="AD22" s="40">
        <f t="shared" si="12"/>
        <v>0</v>
      </c>
      <c r="AE22" s="40">
        <v>-11.68</v>
      </c>
      <c r="AF22" s="40">
        <v>-12.584783999999999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1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468</v>
      </c>
      <c r="U23" s="37" t="s">
        <v>34</v>
      </c>
      <c r="V23" s="38" t="s">
        <v>291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0.76261574074074068</v>
      </c>
      <c r="AD23" s="40">
        <f t="shared" si="12"/>
        <v>0</v>
      </c>
      <c r="AE23" s="40">
        <v>-11.68</v>
      </c>
      <c r="AF23" s="40">
        <v>-12.584783999999999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1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Summary!A1:AD5000""),9,FALSE),"""")"),568)</f>
        <v>568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Summary!A1:AD5000""),28,FALSE),"""")"),200)</f>
        <v>200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200 - 07/01/21 | AGL229: 100 - 08/22/21")</f>
        <v xml:space="preserve"> | AGL195: 200 - 07/01/21 | AGL229: 100 - 08/22/21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0.76261574074074068</v>
      </c>
      <c r="AD24" s="40">
        <f t="shared" si="12"/>
        <v>0</v>
      </c>
      <c r="AE24" s="40">
        <v>-11.68</v>
      </c>
      <c r="AF24" s="40">
        <v>-12.584783999999999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1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468</v>
      </c>
      <c r="U25" s="37">
        <v>200</v>
      </c>
      <c r="V25" s="38" t="s">
        <v>292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0.76261574074074068</v>
      </c>
      <c r="AD25" s="40">
        <f t="shared" si="12"/>
        <v>0</v>
      </c>
      <c r="AE25" s="26">
        <v>-11.68</v>
      </c>
      <c r="AF25" s="26">
        <v>-12.58</v>
      </c>
      <c r="AG25" s="26">
        <v>0</v>
      </c>
    </row>
    <row r="26" spans="1:33" ht="15.75" customHeight="1" x14ac:dyDescent="0.2">
      <c r="A26" s="15" t="s">
        <v>83</v>
      </c>
      <c r="B26" s="15" t="s">
        <v>172</v>
      </c>
      <c r="C26" s="16">
        <f t="shared" si="4"/>
        <v>43.99</v>
      </c>
      <c r="D26" s="17">
        <v>1</v>
      </c>
      <c r="E26" s="17">
        <v>0</v>
      </c>
      <c r="F26" s="18">
        <v>43.99</v>
      </c>
      <c r="G26" s="18">
        <v>0</v>
      </c>
      <c r="H26" s="32">
        <f t="shared" si="1"/>
        <v>0</v>
      </c>
      <c r="I26" s="32">
        <f t="shared" si="2"/>
        <v>0.28175960192973382</v>
      </c>
      <c r="J26" s="33">
        <f t="shared" si="5"/>
        <v>12.39460488888899</v>
      </c>
      <c r="K26" s="33">
        <f t="shared" si="3"/>
        <v>12.39460488888899</v>
      </c>
      <c r="L26" s="17">
        <v>6</v>
      </c>
      <c r="M26" s="34">
        <f t="shared" si="6"/>
        <v>0.16666666666666666</v>
      </c>
      <c r="N26" s="17">
        <v>0</v>
      </c>
      <c r="O26" s="35">
        <f t="shared" ref="O26:P26" si="34">D26/7</f>
        <v>0.14285714285714285</v>
      </c>
      <c r="P26" s="35">
        <f t="shared" si="34"/>
        <v>0</v>
      </c>
      <c r="Q26" s="30">
        <f t="shared" si="8"/>
        <v>0</v>
      </c>
      <c r="R26" s="30"/>
      <c r="S26" s="22">
        <v>0</v>
      </c>
      <c r="T26" s="29">
        <v>568</v>
      </c>
      <c r="U26" s="37">
        <v>200</v>
      </c>
      <c r="V26" s="38" t="s">
        <v>293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0.76261574074074068</v>
      </c>
      <c r="AD26" s="40">
        <f t="shared" si="12"/>
        <v>-0.73211111111111105</v>
      </c>
      <c r="AE26" s="26">
        <v>-11.68</v>
      </c>
      <c r="AF26" s="26">
        <v>-12.5847839999999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568</v>
      </c>
      <c r="U27" s="37">
        <v>200</v>
      </c>
      <c r="V27" s="38" t="s">
        <v>293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0.76261574074074068</v>
      </c>
      <c r="AD27" s="40">
        <f t="shared" si="12"/>
        <v>0</v>
      </c>
      <c r="AE27" s="26">
        <v>-11.68</v>
      </c>
      <c r="AF27" s="26">
        <v>-12.5847839999999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357</v>
      </c>
      <c r="V28" s="1" t="s">
        <v>294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0.76261574074074068</v>
      </c>
      <c r="AD28" s="40">
        <f t="shared" si="12"/>
        <v>0</v>
      </c>
      <c r="AE28" s="26">
        <v>-11.68</v>
      </c>
      <c r="AF28" s="26">
        <v>-12.5847839999999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357</v>
      </c>
      <c r="V29" s="1" t="s">
        <v>295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0.76261574074074068</v>
      </c>
      <c r="AD29" s="40">
        <f t="shared" si="12"/>
        <v>0</v>
      </c>
      <c r="AE29" s="26">
        <v>-11.68</v>
      </c>
      <c r="AF29" s="26">
        <v>-14.003956559999899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200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357</v>
      </c>
      <c r="V30" s="1" t="s">
        <v>296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0.76261574074074068</v>
      </c>
      <c r="AD30" s="40">
        <f t="shared" si="12"/>
        <v>0</v>
      </c>
      <c r="AE30" s="26">
        <v>-12.08</v>
      </c>
      <c r="AF30" s="26">
        <v>-14.879740152</v>
      </c>
      <c r="AG30" s="26">
        <v>0</v>
      </c>
    </row>
    <row r="31" spans="1:33" ht="15.75" customHeight="1" x14ac:dyDescent="0.2">
      <c r="A31" s="29" t="s">
        <v>93</v>
      </c>
      <c r="B31" s="29" t="s">
        <v>297</v>
      </c>
      <c r="C31" s="16">
        <f t="shared" si="4"/>
        <v>41.683000000000007</v>
      </c>
      <c r="D31" s="17">
        <v>10</v>
      </c>
      <c r="E31" s="17">
        <v>0</v>
      </c>
      <c r="F31" s="18">
        <v>416.83000000000004</v>
      </c>
      <c r="G31" s="18">
        <v>-0.67999999999999994</v>
      </c>
      <c r="H31" s="32">
        <f t="shared" si="1"/>
        <v>1.6313605066813805E-3</v>
      </c>
      <c r="I31" s="32">
        <f t="shared" si="2"/>
        <v>0.18402463202957786</v>
      </c>
      <c r="J31" s="33">
        <f t="shared" si="5"/>
        <v>76.706987368888946</v>
      </c>
      <c r="K31" s="33">
        <f t="shared" si="3"/>
        <v>7.6706987368888946</v>
      </c>
      <c r="L31" s="17">
        <v>80</v>
      </c>
      <c r="M31" s="34">
        <f t="shared" si="6"/>
        <v>0.125</v>
      </c>
      <c r="N31" s="17">
        <v>194</v>
      </c>
      <c r="O31" s="35">
        <f t="shared" ref="O31:P31" si="39">D31/7</f>
        <v>1.4285714285714286</v>
      </c>
      <c r="P31" s="35">
        <f t="shared" si="39"/>
        <v>0</v>
      </c>
      <c r="Q31" s="30">
        <f t="shared" si="8"/>
        <v>135</v>
      </c>
      <c r="R31" s="30"/>
      <c r="S31" s="22">
        <v>7.69230769230769E-2</v>
      </c>
      <c r="T31" s="15">
        <v>-57</v>
      </c>
      <c r="U31" s="23">
        <v>157</v>
      </c>
      <c r="V31" s="1" t="s">
        <v>298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0.76261574074074068</v>
      </c>
      <c r="AD31" s="40">
        <f t="shared" si="12"/>
        <v>-7.3211111111111107</v>
      </c>
      <c r="AE31" s="26">
        <v>-12.08</v>
      </c>
      <c r="AF31" s="43">
        <v>-14.879740152</v>
      </c>
      <c r="AG31" s="26">
        <v>0</v>
      </c>
    </row>
    <row r="32" spans="1:33" ht="15.75" customHeight="1" x14ac:dyDescent="0.2">
      <c r="A32" s="15" t="s">
        <v>96</v>
      </c>
      <c r="B32" s="44" t="s">
        <v>299</v>
      </c>
      <c r="C32" s="16">
        <f t="shared" si="4"/>
        <v>40.467358490566035</v>
      </c>
      <c r="D32" s="17">
        <v>53</v>
      </c>
      <c r="E32" s="17">
        <v>0</v>
      </c>
      <c r="F32" s="18">
        <v>2144.77</v>
      </c>
      <c r="G32" s="18">
        <v>-0.32</v>
      </c>
      <c r="H32" s="32">
        <f t="shared" si="1"/>
        <v>1.4920014733514549E-4</v>
      </c>
      <c r="I32" s="32">
        <f t="shared" si="2"/>
        <v>0.16554986457993687</v>
      </c>
      <c r="J32" s="33">
        <f t="shared" si="5"/>
        <v>355.0663830551112</v>
      </c>
      <c r="K32" s="33">
        <f t="shared" si="3"/>
        <v>6.6993657180209665</v>
      </c>
      <c r="L32" s="17">
        <v>182</v>
      </c>
      <c r="M32" s="34">
        <f t="shared" si="6"/>
        <v>0.29120879120879123</v>
      </c>
      <c r="N32" s="17">
        <v>145</v>
      </c>
      <c r="O32" s="35">
        <f t="shared" ref="O32:P32" si="40">D32/7</f>
        <v>7.5714285714285712</v>
      </c>
      <c r="P32" s="35">
        <f t="shared" si="40"/>
        <v>0</v>
      </c>
      <c r="Q32" s="30">
        <f t="shared" si="8"/>
        <v>19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1.139393939393939</v>
      </c>
      <c r="T32" s="15">
        <f ca="1">IFERROR(__xludf.DUMMYFUNCTION("IFERROR(VLOOKUP($B$2,IMPORTRANGE(""https://docs.google.com/spreadsheets/d/1KiWZV1ko8G7lnRucBRBd29jj3Be6ltMfljMDqzOkQmI/edit#gid=1381463014"",""Lookup!A:D""),4,FALSE),"""")"),-57)</f>
        <v>-57</v>
      </c>
      <c r="U32" s="23">
        <f ca="1">IFERROR(__xludf.DUMMYFUNCTION("IFERROR(VLOOKUP($B$2,IMPORTRANGE(""https://docs.google.com/spreadsheets/d/1KiWZV1ko8G7lnRucBRBd29jj3Be6ltMfljMDqzOkQmI/edit#gid=1381463014"",""Lookup!A:D""),3,FALSE),"""")"),100)</f>
        <v>100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- 100 units 08/22| AGL256  - 57 units 09/17")</f>
        <v>| AGL229  - 100 units 08/22| AGL256  - 57 units 09/17</v>
      </c>
      <c r="W32" s="15">
        <v>1</v>
      </c>
      <c r="X32" s="39">
        <f t="shared" si="9"/>
        <v>1.8867924528301886E-2</v>
      </c>
      <c r="Y32" s="40">
        <f t="shared" si="10"/>
        <v>0.32</v>
      </c>
      <c r="Z32" s="15">
        <v>0</v>
      </c>
      <c r="AA32" s="15" t="s">
        <v>163</v>
      </c>
      <c r="AB32" s="41">
        <f t="shared" si="11"/>
        <v>-0.48</v>
      </c>
      <c r="AC32" s="28">
        <v>0.76261574074074068</v>
      </c>
      <c r="AD32" s="40">
        <f t="shared" si="12"/>
        <v>-38.801888888888882</v>
      </c>
      <c r="AE32" s="26">
        <v>-12.08</v>
      </c>
      <c r="AF32" s="26">
        <v>-14.879740152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3.6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8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Magnetic Sidewalk Chalkboard – Sturdy Freestanding Stained Wood Sandwich Board Menu Display for Restaurant, Business or Wedding")</f>
        <v>Wooden A-Frame Sign with Eraser &amp; Chalk - Magnetic Sidewalk Chalkboard – Sturdy Freestanding Stained Wood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Info!B1:BJ5000""),2,FALSE),"""")"),"B07K8S8CPJ")</f>
        <v>B07K8S8CPJ</v>
      </c>
      <c r="B2" s="3" t="s">
        <v>300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52.25" customHeight="1" x14ac:dyDescent="0.2">
      <c r="A3" s="57" t="s">
        <v>31</v>
      </c>
      <c r="B3" s="58"/>
      <c r="C3" s="4">
        <f>((AE32+AF32)/0.85)*-1</f>
        <v>32.594048780559298</v>
      </c>
      <c r="D3" s="5">
        <f>SUM(D4:D99519)</f>
        <v>179</v>
      </c>
      <c r="E3" s="5"/>
      <c r="F3" s="6">
        <f t="shared" ref="F3:G3" si="0">SUM(F4:F99519)</f>
        <v>7778.1999999999989</v>
      </c>
      <c r="G3" s="6">
        <f t="shared" si="0"/>
        <v>-1.66</v>
      </c>
      <c r="H3" s="7">
        <f t="shared" ref="H3:H32" si="1">G3/F3*-1</f>
        <v>2.1341698593504925E-4</v>
      </c>
      <c r="I3" s="8">
        <f t="shared" ref="I3:I32" si="2">J3/F3</f>
        <v>0.24145290576666431</v>
      </c>
      <c r="J3" s="6">
        <f>SUM(J4:J99519)</f>
        <v>1878.0689916342681</v>
      </c>
      <c r="K3" s="6">
        <f t="shared" ref="K3:K32" si="3">J3/D3</f>
        <v>10.492005539856246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Sheet!a1:g5000""),2,FALSE),"""")"),"1 - March
2 - April
3 - May
4 - June
4 - July
4 - Aug
4 - Sept
0.1 - Oct
0.1 - Nov
0.1 - Dec
1 - Jan
1 - Feb")</f>
        <v>1 - March
2 - April
3 - May
4 - June
4 - July
4 - Aug
4 - Sept
0.1 - Oct
0.1 - Nov
0.1 - Dec
1 - Jan
1 -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-157.3303293380649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Info!B2:BZ3000""),37,FALSE)),"""")*-1"),-14.8649414634754)</f>
        <v>-14.8649414634754</v>
      </c>
      <c r="AG3" s="6">
        <f>SUM(AG4:AG99519)</f>
        <v>0</v>
      </c>
    </row>
    <row r="4" spans="1:33" ht="16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98</v>
      </c>
      <c r="U4" s="23">
        <v>40</v>
      </c>
      <c r="V4" s="24" t="s">
        <v>301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-11.612472</v>
      </c>
      <c r="AG4" s="26">
        <v>0</v>
      </c>
    </row>
    <row r="5" spans="1:33" ht="15.75" customHeight="1" x14ac:dyDescent="0.2">
      <c r="A5" s="29" t="s">
        <v>36</v>
      </c>
      <c r="B5" s="29" t="s">
        <v>278</v>
      </c>
      <c r="C5" s="16">
        <f t="shared" si="4"/>
        <v>43.99</v>
      </c>
      <c r="D5" s="30">
        <v>6</v>
      </c>
      <c r="E5" s="30">
        <v>0</v>
      </c>
      <c r="F5" s="31">
        <v>263.94</v>
      </c>
      <c r="G5" s="31">
        <v>0</v>
      </c>
      <c r="H5" s="32">
        <f t="shared" si="1"/>
        <v>0</v>
      </c>
      <c r="I5" s="32">
        <f t="shared" si="2"/>
        <v>0.28322580856230617</v>
      </c>
      <c r="J5" s="33">
        <f t="shared" si="5"/>
        <v>74.754619911935094</v>
      </c>
      <c r="K5" s="33">
        <f t="shared" si="3"/>
        <v>12.459103318655849</v>
      </c>
      <c r="L5" s="30">
        <v>72</v>
      </c>
      <c r="M5" s="34">
        <f t="shared" si="6"/>
        <v>8.3333333333333329E-2</v>
      </c>
      <c r="N5" s="30">
        <v>95</v>
      </c>
      <c r="O5" s="35">
        <f t="shared" ref="O5:P5" si="13">D5/7</f>
        <v>0.8571428571428571</v>
      </c>
      <c r="P5" s="35">
        <f t="shared" si="13"/>
        <v>0</v>
      </c>
      <c r="Q5" s="30">
        <f t="shared" si="8"/>
        <v>110</v>
      </c>
      <c r="R5" s="30"/>
      <c r="S5" s="36">
        <v>1.34426229508196</v>
      </c>
      <c r="T5" s="29">
        <v>98</v>
      </c>
      <c r="U5" s="37">
        <v>40</v>
      </c>
      <c r="V5" s="38" t="s">
        <v>302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0.91658820973348787</v>
      </c>
      <c r="AD5" s="40">
        <f t="shared" si="12"/>
        <v>-5.2795480880648906</v>
      </c>
      <c r="AE5" s="40">
        <v>-12.44</v>
      </c>
      <c r="AF5" s="40">
        <v>-11.612472</v>
      </c>
      <c r="AG5" s="40">
        <v>0</v>
      </c>
    </row>
    <row r="6" spans="1:33" ht="15.75" customHeight="1" x14ac:dyDescent="0.2">
      <c r="A6" s="29" t="s">
        <v>38</v>
      </c>
      <c r="B6" s="29" t="s">
        <v>279</v>
      </c>
      <c r="C6" s="16">
        <f t="shared" si="4"/>
        <v>41.332499999999996</v>
      </c>
      <c r="D6" s="30">
        <v>4</v>
      </c>
      <c r="E6" s="30">
        <v>0</v>
      </c>
      <c r="F6" s="31">
        <v>165.32999999999998</v>
      </c>
      <c r="G6" s="31">
        <v>0</v>
      </c>
      <c r="H6" s="32">
        <f t="shared" si="1"/>
        <v>0</v>
      </c>
      <c r="I6" s="32">
        <f t="shared" si="2"/>
        <v>0.24680933284945258</v>
      </c>
      <c r="J6" s="33">
        <f t="shared" si="5"/>
        <v>40.80498699999999</v>
      </c>
      <c r="K6" s="33">
        <f t="shared" si="3"/>
        <v>10.201246749999997</v>
      </c>
      <c r="L6" s="30">
        <v>65</v>
      </c>
      <c r="M6" s="34">
        <f t="shared" si="6"/>
        <v>6.1538461538461542E-2</v>
      </c>
      <c r="N6" s="30">
        <v>94</v>
      </c>
      <c r="O6" s="35">
        <f t="shared" ref="O6:P6" si="14">D6/7</f>
        <v>0.5714285714285714</v>
      </c>
      <c r="P6" s="35">
        <f t="shared" si="14"/>
        <v>0</v>
      </c>
      <c r="Q6" s="30">
        <f t="shared" si="8"/>
        <v>164</v>
      </c>
      <c r="R6" s="30"/>
      <c r="S6" s="36">
        <v>1.3084112149532701</v>
      </c>
      <c r="T6" s="29">
        <v>98</v>
      </c>
      <c r="U6" s="37">
        <v>40</v>
      </c>
      <c r="V6" s="38" t="s">
        <v>303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0.91552734375</v>
      </c>
      <c r="AD6" s="40">
        <f t="shared" si="12"/>
        <v>-3.515625</v>
      </c>
      <c r="AE6" s="40">
        <v>-12.44</v>
      </c>
      <c r="AF6" s="40">
        <v>-11.612472</v>
      </c>
      <c r="AG6" s="40">
        <v>0</v>
      </c>
    </row>
    <row r="7" spans="1:33" ht="15.75" customHeight="1" x14ac:dyDescent="0.2">
      <c r="A7" s="29" t="s">
        <v>41</v>
      </c>
      <c r="B7" s="29" t="s">
        <v>304</v>
      </c>
      <c r="C7" s="16">
        <f t="shared" si="4"/>
        <v>36.412857142857149</v>
      </c>
      <c r="D7" s="30">
        <v>14</v>
      </c>
      <c r="E7" s="30">
        <v>0</v>
      </c>
      <c r="F7" s="31">
        <v>509.78000000000009</v>
      </c>
      <c r="G7" s="31">
        <v>0</v>
      </c>
      <c r="H7" s="32">
        <f t="shared" si="1"/>
        <v>0</v>
      </c>
      <c r="I7" s="32">
        <f t="shared" si="2"/>
        <v>0.16531386970850176</v>
      </c>
      <c r="J7" s="33">
        <f t="shared" si="5"/>
        <v>84.273704500000036</v>
      </c>
      <c r="K7" s="33">
        <f t="shared" si="3"/>
        <v>6.0195503214285742</v>
      </c>
      <c r="L7" s="30">
        <v>89</v>
      </c>
      <c r="M7" s="34">
        <f t="shared" si="6"/>
        <v>0.15730337078651685</v>
      </c>
      <c r="N7" s="30">
        <v>76</v>
      </c>
      <c r="O7" s="35">
        <f t="shared" ref="O7:P7" si="15">D7/7</f>
        <v>2</v>
      </c>
      <c r="P7" s="35">
        <f t="shared" si="15"/>
        <v>0</v>
      </c>
      <c r="Q7" s="30">
        <f t="shared" si="8"/>
        <v>38</v>
      </c>
      <c r="R7" s="30"/>
      <c r="S7" s="36">
        <v>1.73493975903614</v>
      </c>
      <c r="T7" s="29">
        <v>98</v>
      </c>
      <c r="U7" s="37">
        <v>40</v>
      </c>
      <c r="V7" s="38" t="s">
        <v>305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0.91552734375</v>
      </c>
      <c r="AD7" s="40">
        <f t="shared" si="12"/>
        <v>-12.3046875</v>
      </c>
      <c r="AE7" s="40">
        <v>-12.44</v>
      </c>
      <c r="AF7" s="40">
        <v>-11.612472</v>
      </c>
      <c r="AG7" s="40">
        <v>0</v>
      </c>
    </row>
    <row r="8" spans="1:33" ht="15.75" customHeight="1" x14ac:dyDescent="0.2">
      <c r="A8" s="29" t="s">
        <v>44</v>
      </c>
      <c r="B8" s="29" t="s">
        <v>283</v>
      </c>
      <c r="C8" s="16">
        <f t="shared" si="4"/>
        <v>36.96769230769231</v>
      </c>
      <c r="D8" s="30">
        <v>13</v>
      </c>
      <c r="E8" s="30">
        <v>0</v>
      </c>
      <c r="F8" s="31">
        <v>480.58000000000004</v>
      </c>
      <c r="G8" s="31">
        <v>-0.04</v>
      </c>
      <c r="H8" s="32">
        <f t="shared" si="1"/>
        <v>8.3232760414499141E-5</v>
      </c>
      <c r="I8" s="32">
        <f t="shared" si="2"/>
        <v>0.17557372081651343</v>
      </c>
      <c r="J8" s="33">
        <f t="shared" si="5"/>
        <v>84.377218750000026</v>
      </c>
      <c r="K8" s="33">
        <f t="shared" si="3"/>
        <v>6.4905552884615405</v>
      </c>
      <c r="L8" s="30">
        <v>66</v>
      </c>
      <c r="M8" s="34">
        <f t="shared" si="6"/>
        <v>0.19696969696969696</v>
      </c>
      <c r="N8" s="30">
        <v>64</v>
      </c>
      <c r="O8" s="35">
        <f t="shared" ref="O8:P8" si="16">D8/7</f>
        <v>1.8571428571428572</v>
      </c>
      <c r="P8" s="35">
        <f t="shared" si="16"/>
        <v>0</v>
      </c>
      <c r="Q8" s="30">
        <f t="shared" si="8"/>
        <v>34</v>
      </c>
      <c r="R8" s="30"/>
      <c r="S8" s="36">
        <v>2.4415584415584402</v>
      </c>
      <c r="T8" s="29">
        <v>58</v>
      </c>
      <c r="U8" s="37">
        <v>23</v>
      </c>
      <c r="V8" s="38" t="s">
        <v>306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0.91552734375</v>
      </c>
      <c r="AD8" s="40">
        <f t="shared" si="12"/>
        <v>-11.42578125</v>
      </c>
      <c r="AE8" s="40">
        <v>-12.44</v>
      </c>
      <c r="AF8" s="40">
        <v>-11.61</v>
      </c>
      <c r="AG8" s="40">
        <v>0</v>
      </c>
    </row>
    <row r="9" spans="1:33" ht="15.75" customHeight="1" x14ac:dyDescent="0.2">
      <c r="A9" s="29" t="s">
        <v>47</v>
      </c>
      <c r="B9" s="29" t="s">
        <v>285</v>
      </c>
      <c r="C9" s="16">
        <f t="shared" si="4"/>
        <v>38.808888888888895</v>
      </c>
      <c r="D9" s="30">
        <v>9</v>
      </c>
      <c r="E9" s="30">
        <v>0</v>
      </c>
      <c r="F9" s="31">
        <v>349.28000000000003</v>
      </c>
      <c r="G9" s="31">
        <v>-0.14000000000000001</v>
      </c>
      <c r="H9" s="32">
        <f t="shared" si="1"/>
        <v>4.0082455336692627E-4</v>
      </c>
      <c r="I9" s="32">
        <f t="shared" si="2"/>
        <v>0.19077046424072386</v>
      </c>
      <c r="J9" s="33">
        <f t="shared" si="5"/>
        <v>66.632307750000038</v>
      </c>
      <c r="K9" s="33">
        <f t="shared" si="3"/>
        <v>7.4035897500000045</v>
      </c>
      <c r="L9" s="30">
        <v>70</v>
      </c>
      <c r="M9" s="34">
        <f t="shared" si="6"/>
        <v>0.12857142857142856</v>
      </c>
      <c r="N9" s="30">
        <v>58</v>
      </c>
      <c r="O9" s="35">
        <f t="shared" ref="O9:P9" si="17">D9/7</f>
        <v>1.2857142857142858</v>
      </c>
      <c r="P9" s="35">
        <f t="shared" si="17"/>
        <v>0</v>
      </c>
      <c r="Q9" s="30">
        <f t="shared" si="8"/>
        <v>45</v>
      </c>
      <c r="R9" s="30"/>
      <c r="S9" s="36">
        <v>1.30864197530864</v>
      </c>
      <c r="T9" s="29">
        <v>58</v>
      </c>
      <c r="U9" s="37">
        <v>23</v>
      </c>
      <c r="V9" s="38" t="s">
        <v>307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0.91552734375</v>
      </c>
      <c r="AD9" s="40">
        <f t="shared" si="12"/>
        <v>-7.91015625</v>
      </c>
      <c r="AE9" s="40">
        <v>-12.44</v>
      </c>
      <c r="AF9" s="40">
        <v>-12.249504</v>
      </c>
      <c r="AG9" s="40">
        <v>0</v>
      </c>
    </row>
    <row r="10" spans="1:33" ht="15.75" customHeight="1" x14ac:dyDescent="0.2">
      <c r="A10" s="29" t="s">
        <v>50</v>
      </c>
      <c r="B10" s="29" t="s">
        <v>308</v>
      </c>
      <c r="C10" s="16">
        <f t="shared" si="4"/>
        <v>39.99</v>
      </c>
      <c r="D10" s="30">
        <v>10</v>
      </c>
      <c r="E10" s="30">
        <v>0</v>
      </c>
      <c r="F10" s="31">
        <v>399.90000000000003</v>
      </c>
      <c r="G10" s="31">
        <v>0</v>
      </c>
      <c r="H10" s="32">
        <f t="shared" si="1"/>
        <v>0</v>
      </c>
      <c r="I10" s="32">
        <f t="shared" si="2"/>
        <v>0.21062990122530634</v>
      </c>
      <c r="J10" s="33">
        <f t="shared" si="5"/>
        <v>84.230897500000012</v>
      </c>
      <c r="K10" s="33">
        <f t="shared" si="3"/>
        <v>8.4230897500000008</v>
      </c>
      <c r="L10" s="30">
        <v>66</v>
      </c>
      <c r="M10" s="34">
        <f t="shared" si="6"/>
        <v>0.15151515151515152</v>
      </c>
      <c r="N10" s="30">
        <v>48</v>
      </c>
      <c r="O10" s="35">
        <f t="shared" ref="O10:P10" si="18">D10/7</f>
        <v>1.4285714285714286</v>
      </c>
      <c r="P10" s="35">
        <f t="shared" si="18"/>
        <v>0</v>
      </c>
      <c r="Q10" s="30">
        <f t="shared" si="8"/>
        <v>33</v>
      </c>
      <c r="R10" s="30"/>
      <c r="S10" s="36">
        <v>1.6</v>
      </c>
      <c r="T10" s="29">
        <v>23</v>
      </c>
      <c r="U10" s="37">
        <v>23</v>
      </c>
      <c r="V10" s="38" t="s">
        <v>309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0.91552734375</v>
      </c>
      <c r="AD10" s="40">
        <f t="shared" si="12"/>
        <v>-8.7890625</v>
      </c>
      <c r="AE10" s="40">
        <v>-12.44</v>
      </c>
      <c r="AF10" s="40">
        <v>-12.249504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40.790000000000006</v>
      </c>
      <c r="D11" s="30">
        <v>5</v>
      </c>
      <c r="E11" s="30">
        <v>0</v>
      </c>
      <c r="F11" s="31">
        <v>203.95000000000002</v>
      </c>
      <c r="G11" s="31">
        <v>0</v>
      </c>
      <c r="H11" s="32">
        <f t="shared" si="1"/>
        <v>0</v>
      </c>
      <c r="I11" s="32">
        <f t="shared" si="2"/>
        <v>0.22316964329492525</v>
      </c>
      <c r="J11" s="33">
        <f t="shared" si="5"/>
        <v>45.515448750000012</v>
      </c>
      <c r="K11" s="33">
        <f t="shared" si="3"/>
        <v>9.1030897500000023</v>
      </c>
      <c r="L11" s="30">
        <v>46</v>
      </c>
      <c r="M11" s="34">
        <f t="shared" si="6"/>
        <v>0.10869565217391304</v>
      </c>
      <c r="N11" s="30">
        <v>38</v>
      </c>
      <c r="O11" s="35">
        <f t="shared" ref="O11:P11" si="19">D11/7</f>
        <v>0.7142857142857143</v>
      </c>
      <c r="P11" s="35">
        <f t="shared" si="19"/>
        <v>0</v>
      </c>
      <c r="Q11" s="30">
        <f t="shared" si="8"/>
        <v>53</v>
      </c>
      <c r="R11" s="30"/>
      <c r="S11" s="36">
        <v>2.2047244094488101</v>
      </c>
      <c r="T11" s="29">
        <v>23</v>
      </c>
      <c r="U11" s="37">
        <v>23</v>
      </c>
      <c r="V11" s="38" t="s">
        <v>309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0.91552734375</v>
      </c>
      <c r="AD11" s="40">
        <f t="shared" si="12"/>
        <v>-4.39453125</v>
      </c>
      <c r="AE11" s="40">
        <v>-12.44</v>
      </c>
      <c r="AF11" s="40">
        <v>-12.249504</v>
      </c>
      <c r="AG11" s="40">
        <v>0</v>
      </c>
    </row>
    <row r="12" spans="1:33" ht="15.75" customHeight="1" x14ac:dyDescent="0.2">
      <c r="A12" s="29" t="s">
        <v>56</v>
      </c>
      <c r="B12" s="29" t="s">
        <v>310</v>
      </c>
      <c r="C12" s="16">
        <f t="shared" si="4"/>
        <v>41.088235294117645</v>
      </c>
      <c r="D12" s="30">
        <v>17</v>
      </c>
      <c r="E12" s="30">
        <v>0</v>
      </c>
      <c r="F12" s="31">
        <v>698.5</v>
      </c>
      <c r="G12" s="31">
        <v>-0.14000000000000001</v>
      </c>
      <c r="H12" s="32">
        <f t="shared" si="1"/>
        <v>2.0042949176807447E-4</v>
      </c>
      <c r="I12" s="32">
        <f t="shared" si="2"/>
        <v>0.22751900608446674</v>
      </c>
      <c r="J12" s="33">
        <f t="shared" si="5"/>
        <v>158.92202575000002</v>
      </c>
      <c r="K12" s="33">
        <f t="shared" si="3"/>
        <v>9.3483544558823546</v>
      </c>
      <c r="L12" s="30">
        <v>59</v>
      </c>
      <c r="M12" s="34">
        <f t="shared" si="6"/>
        <v>0.28813559322033899</v>
      </c>
      <c r="N12" s="30">
        <v>24</v>
      </c>
      <c r="O12" s="35">
        <f t="shared" ref="O12:P12" si="20">D12/7</f>
        <v>2.4285714285714284</v>
      </c>
      <c r="P12" s="35">
        <f t="shared" si="20"/>
        <v>0</v>
      </c>
      <c r="Q12" s="30">
        <f t="shared" si="8"/>
        <v>9</v>
      </c>
      <c r="R12" s="30"/>
      <c r="S12" s="36">
        <v>3.08</v>
      </c>
      <c r="T12" s="29">
        <v>23</v>
      </c>
      <c r="U12" s="37">
        <v>23</v>
      </c>
      <c r="V12" s="38" t="s">
        <v>311</v>
      </c>
      <c r="W12" s="29">
        <v>0</v>
      </c>
      <c r="X12" s="39">
        <f t="shared" si="9"/>
        <v>0</v>
      </c>
      <c r="Y12" s="40">
        <f t="shared" si="10"/>
        <v>0.14000000000000001</v>
      </c>
      <c r="Z12" s="29">
        <v>1</v>
      </c>
      <c r="AA12" s="29" t="s">
        <v>163</v>
      </c>
      <c r="AB12" s="41">
        <f t="shared" si="11"/>
        <v>-0.48</v>
      </c>
      <c r="AC12" s="42">
        <v>0.91552734375</v>
      </c>
      <c r="AD12" s="40">
        <f t="shared" si="12"/>
        <v>-14.94140625</v>
      </c>
      <c r="AE12" s="40">
        <v>-12.44</v>
      </c>
      <c r="AF12" s="40">
        <v>-12.249504</v>
      </c>
      <c r="AG12" s="40">
        <v>0</v>
      </c>
    </row>
    <row r="13" spans="1:33" ht="15.75" customHeight="1" x14ac:dyDescent="0.2">
      <c r="A13" s="29" t="s">
        <v>57</v>
      </c>
      <c r="B13" s="29" t="s">
        <v>312</v>
      </c>
      <c r="C13" s="16">
        <f t="shared" si="4"/>
        <v>42.016666666666673</v>
      </c>
      <c r="D13" s="30">
        <v>12</v>
      </c>
      <c r="E13" s="30">
        <v>0</v>
      </c>
      <c r="F13" s="33">
        <v>504.20000000000005</v>
      </c>
      <c r="G13" s="31">
        <v>-0.08</v>
      </c>
      <c r="H13" s="32">
        <f t="shared" si="1"/>
        <v>1.5866719555731853E-4</v>
      </c>
      <c r="I13" s="32">
        <f t="shared" si="2"/>
        <v>0.23333144982150189</v>
      </c>
      <c r="J13" s="33">
        <f t="shared" si="5"/>
        <v>117.64571700000127</v>
      </c>
      <c r="K13" s="33">
        <f t="shared" si="3"/>
        <v>9.8038097500001058</v>
      </c>
      <c r="L13" s="30">
        <v>49</v>
      </c>
      <c r="M13" s="34">
        <f t="shared" si="6"/>
        <v>0.24489795918367346</v>
      </c>
      <c r="N13" s="30">
        <v>11</v>
      </c>
      <c r="O13" s="35">
        <f t="shared" ref="O13:P13" si="21">D13/7</f>
        <v>1.7142857142857142</v>
      </c>
      <c r="P13" s="35">
        <f t="shared" si="21"/>
        <v>0</v>
      </c>
      <c r="Q13" s="30">
        <f t="shared" si="8"/>
        <v>6</v>
      </c>
      <c r="R13" s="30"/>
      <c r="S13" s="36">
        <v>3.6818181818181799</v>
      </c>
      <c r="T13" s="29">
        <v>23</v>
      </c>
      <c r="U13" s="37">
        <v>23</v>
      </c>
      <c r="V13" s="38" t="s">
        <v>313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0.91552734375</v>
      </c>
      <c r="AD13" s="40">
        <f t="shared" si="12"/>
        <v>-10.546875</v>
      </c>
      <c r="AE13" s="40">
        <v>-12.44</v>
      </c>
      <c r="AF13" s="40">
        <v>-12.5847839999999</v>
      </c>
      <c r="AG13" s="40">
        <v>0</v>
      </c>
    </row>
    <row r="14" spans="1:33" ht="15.75" customHeight="1" x14ac:dyDescent="0.2">
      <c r="A14" s="29" t="s">
        <v>59</v>
      </c>
      <c r="B14" s="29" t="s">
        <v>314</v>
      </c>
      <c r="C14" s="16">
        <f t="shared" si="4"/>
        <v>45.134</v>
      </c>
      <c r="D14" s="30">
        <v>5</v>
      </c>
      <c r="E14" s="30">
        <v>1</v>
      </c>
      <c r="F14" s="33">
        <v>225.67000000000002</v>
      </c>
      <c r="G14" s="31">
        <v>0</v>
      </c>
      <c r="H14" s="32">
        <f t="shared" si="1"/>
        <v>0</v>
      </c>
      <c r="I14" s="32">
        <f t="shared" si="2"/>
        <v>0.27607147051003905</v>
      </c>
      <c r="J14" s="33">
        <f t="shared" si="5"/>
        <v>62.301048750000518</v>
      </c>
      <c r="K14" s="33">
        <f t="shared" si="3"/>
        <v>12.460209750000104</v>
      </c>
      <c r="L14" s="30">
        <v>44</v>
      </c>
      <c r="M14" s="34">
        <f t="shared" si="6"/>
        <v>0.11363636363636363</v>
      </c>
      <c r="N14" s="30">
        <v>28</v>
      </c>
      <c r="O14" s="35">
        <f t="shared" ref="O14:P14" si="22">D14/7</f>
        <v>0.7142857142857143</v>
      </c>
      <c r="P14" s="35">
        <f t="shared" si="22"/>
        <v>0.14285714285714285</v>
      </c>
      <c r="Q14" s="30">
        <f t="shared" si="8"/>
        <v>32</v>
      </c>
      <c r="R14" s="30"/>
      <c r="S14" s="36">
        <v>2.0773480662983399</v>
      </c>
      <c r="T14" s="29">
        <v>213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0.91552734375</v>
      </c>
      <c r="AD14" s="40">
        <f t="shared" si="12"/>
        <v>-4.39453125</v>
      </c>
      <c r="AE14" s="40">
        <v>-12.44</v>
      </c>
      <c r="AF14" s="40">
        <v>-12.5847839999999</v>
      </c>
      <c r="AG14" s="40">
        <v>0</v>
      </c>
    </row>
    <row r="15" spans="1:33" ht="15.75" customHeight="1" x14ac:dyDescent="0.2">
      <c r="A15" s="29" t="s">
        <v>61</v>
      </c>
      <c r="B15" s="29" t="s">
        <v>315</v>
      </c>
      <c r="C15" s="16">
        <f t="shared" si="4"/>
        <v>45.847142857142856</v>
      </c>
      <c r="D15" s="30">
        <v>14</v>
      </c>
      <c r="E15" s="30">
        <v>0</v>
      </c>
      <c r="F15" s="33">
        <v>641.86</v>
      </c>
      <c r="G15" s="31">
        <v>-0.03</v>
      </c>
      <c r="H15" s="32">
        <f t="shared" si="1"/>
        <v>4.6739164303742243E-5</v>
      </c>
      <c r="I15" s="32">
        <f t="shared" si="2"/>
        <v>0.28495207132396699</v>
      </c>
      <c r="J15" s="33">
        <f t="shared" si="5"/>
        <v>182.89933650000145</v>
      </c>
      <c r="K15" s="33">
        <f t="shared" si="3"/>
        <v>13.064238321428675</v>
      </c>
      <c r="L15" s="30">
        <v>64</v>
      </c>
      <c r="M15" s="34">
        <f t="shared" si="6"/>
        <v>0.21875</v>
      </c>
      <c r="N15" s="30">
        <v>16</v>
      </c>
      <c r="O15" s="35">
        <f t="shared" ref="O15:P15" si="23">D15/7</f>
        <v>2</v>
      </c>
      <c r="P15" s="35">
        <f t="shared" si="23"/>
        <v>0</v>
      </c>
      <c r="Q15" s="30">
        <f t="shared" si="8"/>
        <v>8</v>
      </c>
      <c r="R15" s="30"/>
      <c r="S15" s="36">
        <v>2.7466666666666599</v>
      </c>
      <c r="T15" s="29">
        <v>213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0.91552734375</v>
      </c>
      <c r="AD15" s="40">
        <f t="shared" si="12"/>
        <v>-12.3046875</v>
      </c>
      <c r="AE15" s="40">
        <v>-12.44</v>
      </c>
      <c r="AF15" s="40">
        <v>-12.5847839999999</v>
      </c>
      <c r="AG15" s="40">
        <v>0</v>
      </c>
    </row>
    <row r="16" spans="1:33" ht="15.75" customHeight="1" x14ac:dyDescent="0.2">
      <c r="A16" s="29" t="s">
        <v>64</v>
      </c>
      <c r="B16" s="29" t="s">
        <v>316</v>
      </c>
      <c r="C16" s="16">
        <f t="shared" si="4"/>
        <v>48.743750000000006</v>
      </c>
      <c r="D16" s="30">
        <v>8</v>
      </c>
      <c r="E16" s="30">
        <v>0</v>
      </c>
      <c r="F16" s="33">
        <v>389.95000000000005</v>
      </c>
      <c r="G16" s="31">
        <v>-0.16</v>
      </c>
      <c r="H16" s="32">
        <f t="shared" si="1"/>
        <v>4.1030901397615073E-4</v>
      </c>
      <c r="I16" s="32">
        <f t="shared" si="2"/>
        <v>0.31816381074496941</v>
      </c>
      <c r="J16" s="33">
        <f t="shared" si="5"/>
        <v>124.06797800000083</v>
      </c>
      <c r="K16" s="33">
        <f t="shared" si="3"/>
        <v>15.508497250000104</v>
      </c>
      <c r="L16" s="30">
        <v>63</v>
      </c>
      <c r="M16" s="34">
        <f t="shared" si="6"/>
        <v>0.12698412698412698</v>
      </c>
      <c r="N16" s="30">
        <v>7</v>
      </c>
      <c r="O16" s="35">
        <f t="shared" ref="O16:P16" si="24">D16/7</f>
        <v>1.1428571428571428</v>
      </c>
      <c r="P16" s="35">
        <f t="shared" si="24"/>
        <v>0</v>
      </c>
      <c r="Q16" s="30">
        <f t="shared" si="8"/>
        <v>6</v>
      </c>
      <c r="R16" s="30"/>
      <c r="S16" s="36">
        <v>3.9304347826086898</v>
      </c>
      <c r="T16" s="29">
        <v>213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0.91552734375</v>
      </c>
      <c r="AD16" s="40">
        <f t="shared" si="12"/>
        <v>-7.03125</v>
      </c>
      <c r="AE16" s="40">
        <v>-12.44</v>
      </c>
      <c r="AF16" s="40">
        <v>-12.5847839999999</v>
      </c>
      <c r="AG16" s="40">
        <v>0</v>
      </c>
    </row>
    <row r="17" spans="1:33" ht="15.75" customHeight="1" x14ac:dyDescent="0.2">
      <c r="A17" s="29" t="s">
        <v>66</v>
      </c>
      <c r="B17" s="29" t="s">
        <v>172</v>
      </c>
      <c r="C17" s="16">
        <f t="shared" si="4"/>
        <v>49.99</v>
      </c>
      <c r="D17" s="30">
        <v>4</v>
      </c>
      <c r="E17" s="30">
        <v>0</v>
      </c>
      <c r="F17" s="33">
        <v>199.96</v>
      </c>
      <c r="G17" s="31">
        <v>-0.22000000000000003</v>
      </c>
      <c r="H17" s="32">
        <f t="shared" si="1"/>
        <v>1.1002200440088019E-3</v>
      </c>
      <c r="I17" s="32">
        <f t="shared" si="2"/>
        <v>0.33072233946789564</v>
      </c>
      <c r="J17" s="33">
        <f t="shared" si="5"/>
        <v>66.13123900000042</v>
      </c>
      <c r="K17" s="33">
        <f t="shared" si="3"/>
        <v>16.532809750000105</v>
      </c>
      <c r="L17" s="30">
        <v>51</v>
      </c>
      <c r="M17" s="34">
        <f t="shared" si="6"/>
        <v>7.8431372549019607E-2</v>
      </c>
      <c r="N17" s="30">
        <v>1</v>
      </c>
      <c r="O17" s="35">
        <f t="shared" ref="O17:P17" si="25">D17/7</f>
        <v>0.5714285714285714</v>
      </c>
      <c r="P17" s="35">
        <f t="shared" si="25"/>
        <v>0</v>
      </c>
      <c r="Q17" s="30">
        <f t="shared" si="8"/>
        <v>1</v>
      </c>
      <c r="R17" s="30"/>
      <c r="S17" s="36">
        <v>5.24444444444444</v>
      </c>
      <c r="T17" s="29">
        <v>213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0.91552734375</v>
      </c>
      <c r="AD17" s="40">
        <f t="shared" si="12"/>
        <v>-3.515625</v>
      </c>
      <c r="AE17" s="40">
        <v>-12.44</v>
      </c>
      <c r="AF17" s="40">
        <v>-12.5847839999999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213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-12.5847839999999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549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e">
        <v>#N/A</v>
      </c>
      <c r="AB19" s="41" t="e">
        <f t="shared" si="11"/>
        <v>#N/A</v>
      </c>
      <c r="AC19" s="42" t="e">
        <v>#N/A</v>
      </c>
      <c r="AD19" s="40">
        <f t="shared" si="12"/>
        <v>0</v>
      </c>
      <c r="AE19" s="40">
        <v>0</v>
      </c>
      <c r="AF19" s="40">
        <v>-12.584783999999999</v>
      </c>
      <c r="AG19" s="40">
        <v>0</v>
      </c>
    </row>
    <row r="20" spans="1:33" ht="15.75" customHeight="1" x14ac:dyDescent="0.2">
      <c r="A20" s="29" t="s">
        <v>74</v>
      </c>
      <c r="B20" s="29" t="s">
        <v>172</v>
      </c>
      <c r="C20" s="16">
        <f t="shared" si="4"/>
        <v>49.99</v>
      </c>
      <c r="D20" s="30">
        <v>2</v>
      </c>
      <c r="E20" s="30">
        <v>0</v>
      </c>
      <c r="F20" s="33">
        <v>99.98</v>
      </c>
      <c r="G20" s="31">
        <v>0</v>
      </c>
      <c r="H20" s="32">
        <f t="shared" si="1"/>
        <v>0</v>
      </c>
      <c r="I20" s="32">
        <f t="shared" si="2"/>
        <v>0.33182255951190248</v>
      </c>
      <c r="J20" s="33">
        <f t="shared" si="5"/>
        <v>33.17561950000001</v>
      </c>
      <c r="K20" s="33">
        <f t="shared" si="3"/>
        <v>16.587809750000005</v>
      </c>
      <c r="L20" s="30">
        <v>3</v>
      </c>
      <c r="M20" s="34">
        <f t="shared" si="6"/>
        <v>0.66666666666666663</v>
      </c>
      <c r="N20" s="30">
        <v>1</v>
      </c>
      <c r="O20" s="35">
        <f t="shared" ref="O20:P20" si="28">D20/7</f>
        <v>0.2857142857142857</v>
      </c>
      <c r="P20" s="35">
        <f t="shared" si="28"/>
        <v>0</v>
      </c>
      <c r="Q20" s="30">
        <f t="shared" si="8"/>
        <v>3</v>
      </c>
      <c r="R20" s="30"/>
      <c r="S20" s="36" t="e">
        <v>#N/A</v>
      </c>
      <c r="T20" s="29">
        <v>549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0.91552734375</v>
      </c>
      <c r="AD20" s="40">
        <f t="shared" si="12"/>
        <v>-1.7578125</v>
      </c>
      <c r="AE20" s="40">
        <v>-12.44</v>
      </c>
      <c r="AF20" s="40">
        <v>-12.584783999999999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549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0.91552734375</v>
      </c>
      <c r="AD21" s="40">
        <f t="shared" si="12"/>
        <v>0</v>
      </c>
      <c r="AE21" s="40">
        <v>-12.44</v>
      </c>
      <c r="AF21" s="40">
        <v>-12.584783999999999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762</v>
      </c>
      <c r="U22" s="37">
        <v>213</v>
      </c>
      <c r="V22" s="38" t="s">
        <v>317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0.91552734375</v>
      </c>
      <c r="AD22" s="40">
        <f t="shared" si="12"/>
        <v>0</v>
      </c>
      <c r="AE22" s="40">
        <v>-12.44</v>
      </c>
      <c r="AF22" s="40">
        <v>-12.584783999999999</v>
      </c>
      <c r="AG22" s="40">
        <v>0</v>
      </c>
    </row>
    <row r="23" spans="1:33" ht="15.75" customHeight="1" x14ac:dyDescent="0.2">
      <c r="A23" s="29" t="s">
        <v>77</v>
      </c>
      <c r="B23" s="29"/>
      <c r="C23" s="16">
        <f t="shared" si="4"/>
        <v>49.99</v>
      </c>
      <c r="D23" s="30">
        <v>1</v>
      </c>
      <c r="E23" s="30">
        <v>0</v>
      </c>
      <c r="F23" s="33">
        <v>49.99</v>
      </c>
      <c r="G23" s="31">
        <v>0</v>
      </c>
      <c r="H23" s="32">
        <f t="shared" si="1"/>
        <v>0</v>
      </c>
      <c r="I23" s="32">
        <f t="shared" si="2"/>
        <v>0.33182255951190248</v>
      </c>
      <c r="J23" s="33">
        <f t="shared" si="5"/>
        <v>16.587809750000005</v>
      </c>
      <c r="K23" s="33">
        <f t="shared" si="3"/>
        <v>16.587809750000005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0.14285714285714285</v>
      </c>
      <c r="P23" s="35">
        <f t="shared" si="31"/>
        <v>0</v>
      </c>
      <c r="Q23" s="30">
        <f t="shared" si="8"/>
        <v>0</v>
      </c>
      <c r="R23" s="30"/>
      <c r="S23" s="36" t="e">
        <v>#N/A</v>
      </c>
      <c r="T23" s="29">
        <v>762</v>
      </c>
      <c r="U23" s="37" t="s">
        <v>34</v>
      </c>
      <c r="V23" s="38" t="s">
        <v>318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0.91552734375</v>
      </c>
      <c r="AD23" s="40">
        <f t="shared" si="12"/>
        <v>-0.87890625</v>
      </c>
      <c r="AE23" s="40">
        <v>-12.44</v>
      </c>
      <c r="AF23" s="40">
        <v>-12.584783999999999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>
        <v>4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Summary!A1:AD5000""),9,FALSE),"""")"),882)</f>
        <v>882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Summary!A1:AD5000""),28,FALSE),"""")"),213)</f>
        <v>213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213 - 07/01/21 | AGL229: 120 - 08/22/21")</f>
        <v xml:space="preserve"> | AGL195: 213 - 07/01/21 | AGL229: 120 - 08/22/21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0.91552734375</v>
      </c>
      <c r="AD24" s="40">
        <f t="shared" si="12"/>
        <v>0</v>
      </c>
      <c r="AE24" s="40">
        <v>-12.44</v>
      </c>
      <c r="AF24" s="40">
        <v>-12.584783999999999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>
        <v>4</v>
      </c>
      <c r="T25" s="29">
        <v>762</v>
      </c>
      <c r="U25" s="37">
        <v>213</v>
      </c>
      <c r="V25" s="38" t="s">
        <v>319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0.91552734375</v>
      </c>
      <c r="AD25" s="40">
        <f t="shared" si="12"/>
        <v>0</v>
      </c>
      <c r="AE25" s="26">
        <v>-12.44</v>
      </c>
      <c r="AF25" s="26">
        <v>-12.58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882</v>
      </c>
      <c r="U26" s="37">
        <v>213</v>
      </c>
      <c r="V26" s="38" t="s">
        <v>320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0.91552734375</v>
      </c>
      <c r="AD26" s="40">
        <f t="shared" si="12"/>
        <v>0</v>
      </c>
      <c r="AE26" s="26">
        <v>-12.44</v>
      </c>
      <c r="AF26" s="26">
        <v>-12.5847839999999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882</v>
      </c>
      <c r="U27" s="37">
        <v>213</v>
      </c>
      <c r="V27" s="38" t="s">
        <v>320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0.91552734375</v>
      </c>
      <c r="AD27" s="40">
        <f t="shared" si="12"/>
        <v>0</v>
      </c>
      <c r="AE27" s="26">
        <v>-12.44</v>
      </c>
      <c r="AF27" s="26">
        <v>-12.5847839999999</v>
      </c>
      <c r="AG27" s="26">
        <v>0</v>
      </c>
    </row>
    <row r="28" spans="1:33" ht="15.75" customHeight="1" x14ac:dyDescent="0.2">
      <c r="A28" s="15" t="s">
        <v>85</v>
      </c>
      <c r="B28" s="15"/>
      <c r="C28" s="16">
        <f t="shared" si="4"/>
        <v>49.99</v>
      </c>
      <c r="D28" s="17">
        <v>1</v>
      </c>
      <c r="E28" s="17">
        <v>0</v>
      </c>
      <c r="F28" s="18">
        <v>49.99</v>
      </c>
      <c r="G28" s="18">
        <v>0</v>
      </c>
      <c r="H28" s="32">
        <f t="shared" si="1"/>
        <v>0</v>
      </c>
      <c r="I28" s="32">
        <f t="shared" si="2"/>
        <v>0.33182255951190448</v>
      </c>
      <c r="J28" s="33">
        <f t="shared" si="5"/>
        <v>16.587809750000105</v>
      </c>
      <c r="K28" s="33">
        <f t="shared" si="3"/>
        <v>16.587809750000105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0.14285714285714285</v>
      </c>
      <c r="P28" s="35">
        <f t="shared" si="36"/>
        <v>0</v>
      </c>
      <c r="Q28" s="30">
        <f t="shared" si="8"/>
        <v>0</v>
      </c>
      <c r="R28" s="30"/>
      <c r="S28" s="22">
        <v>0</v>
      </c>
      <c r="T28" s="15" t="s">
        <v>34</v>
      </c>
      <c r="U28" s="23">
        <v>392</v>
      </c>
      <c r="V28" s="1" t="s">
        <v>321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0.91552734375</v>
      </c>
      <c r="AD28" s="40">
        <f t="shared" si="12"/>
        <v>-0.87890625</v>
      </c>
      <c r="AE28" s="26">
        <v>-12.44</v>
      </c>
      <c r="AF28" s="26">
        <v>-12.5847839999999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392</v>
      </c>
      <c r="V29" s="1" t="s">
        <v>322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0.91552734375</v>
      </c>
      <c r="AD29" s="40">
        <f t="shared" si="12"/>
        <v>0</v>
      </c>
      <c r="AE29" s="26">
        <v>-12.44</v>
      </c>
      <c r="AF29" s="26">
        <v>-14.003956559999899</v>
      </c>
      <c r="AG29" s="26">
        <v>0</v>
      </c>
    </row>
    <row r="30" spans="1:33" ht="15.75" customHeight="1" x14ac:dyDescent="0.2">
      <c r="A30" s="15" t="s">
        <v>90</v>
      </c>
      <c r="B30" s="15"/>
      <c r="C30" s="16">
        <f t="shared" si="4"/>
        <v>49.99</v>
      </c>
      <c r="D30" s="17">
        <v>3</v>
      </c>
      <c r="E30" s="17">
        <v>0</v>
      </c>
      <c r="F30" s="18">
        <v>149.97</v>
      </c>
      <c r="G30" s="18">
        <v>0</v>
      </c>
      <c r="H30" s="32">
        <f t="shared" si="1"/>
        <v>0</v>
      </c>
      <c r="I30" s="32">
        <f t="shared" si="2"/>
        <v>0.2782086874679856</v>
      </c>
      <c r="J30" s="33">
        <f t="shared" si="5"/>
        <v>41.722956859573799</v>
      </c>
      <c r="K30" s="33">
        <f t="shared" si="3"/>
        <v>13.9076522865246</v>
      </c>
      <c r="L30" s="17">
        <v>0</v>
      </c>
      <c r="M30" s="34" t="str">
        <f t="shared" si="6"/>
        <v>-</v>
      </c>
      <c r="N30" s="17">
        <v>212</v>
      </c>
      <c r="O30" s="35">
        <f t="shared" ref="O30:P30" si="38">D30/7</f>
        <v>0.42857142857142855</v>
      </c>
      <c r="P30" s="35">
        <f t="shared" si="38"/>
        <v>0</v>
      </c>
      <c r="Q30" s="30">
        <f t="shared" si="8"/>
        <v>494</v>
      </c>
      <c r="R30" s="30"/>
      <c r="S30" s="22">
        <v>0</v>
      </c>
      <c r="T30" s="15" t="s">
        <v>34</v>
      </c>
      <c r="U30" s="23">
        <v>392</v>
      </c>
      <c r="V30" s="1" t="s">
        <v>323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0.91552734375</v>
      </c>
      <c r="AD30" s="40">
        <f t="shared" si="12"/>
        <v>-2.63671875</v>
      </c>
      <c r="AE30" s="26">
        <v>-12.84</v>
      </c>
      <c r="AF30" s="26">
        <v>-14.8649414634754</v>
      </c>
      <c r="AG30" s="26">
        <v>0</v>
      </c>
    </row>
    <row r="31" spans="1:33" ht="15.75" customHeight="1" x14ac:dyDescent="0.2">
      <c r="A31" s="29" t="s">
        <v>93</v>
      </c>
      <c r="B31" s="29" t="s">
        <v>324</v>
      </c>
      <c r="C31" s="16">
        <f t="shared" si="4"/>
        <v>48.115000000000002</v>
      </c>
      <c r="D31" s="17">
        <v>12</v>
      </c>
      <c r="E31" s="17">
        <v>0</v>
      </c>
      <c r="F31" s="18">
        <v>577.38</v>
      </c>
      <c r="G31" s="18">
        <v>-0.69000000000000006</v>
      </c>
      <c r="H31" s="32">
        <f t="shared" si="1"/>
        <v>1.1950535176140499E-3</v>
      </c>
      <c r="I31" s="32">
        <f t="shared" si="2"/>
        <v>0.25473142027485379</v>
      </c>
      <c r="J31" s="33">
        <f t="shared" si="5"/>
        <v>147.07682743829508</v>
      </c>
      <c r="K31" s="33">
        <f t="shared" si="3"/>
        <v>12.25640228652459</v>
      </c>
      <c r="L31" s="17">
        <v>65</v>
      </c>
      <c r="M31" s="34">
        <f t="shared" si="6"/>
        <v>0.18461538461538463</v>
      </c>
      <c r="N31" s="17">
        <v>204</v>
      </c>
      <c r="O31" s="35">
        <f t="shared" ref="O31:P31" si="39">D31/7</f>
        <v>1.7142857142857142</v>
      </c>
      <c r="P31" s="35">
        <f t="shared" si="39"/>
        <v>0</v>
      </c>
      <c r="Q31" s="30">
        <f t="shared" si="8"/>
        <v>119</v>
      </c>
      <c r="R31" s="30"/>
      <c r="S31" s="22">
        <v>0.169811320754716</v>
      </c>
      <c r="T31" s="15">
        <v>192</v>
      </c>
      <c r="U31" s="23">
        <v>179</v>
      </c>
      <c r="V31" s="1" t="s">
        <v>325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0.91552734375</v>
      </c>
      <c r="AD31" s="40">
        <f t="shared" si="12"/>
        <v>-10.546875</v>
      </c>
      <c r="AE31" s="26">
        <v>-12.84</v>
      </c>
      <c r="AF31" s="43">
        <v>-14.864941463475411</v>
      </c>
      <c r="AG31" s="26">
        <v>0</v>
      </c>
    </row>
    <row r="32" spans="1:33" ht="15.75" customHeight="1" x14ac:dyDescent="0.2">
      <c r="A32" s="15" t="s">
        <v>96</v>
      </c>
      <c r="B32" s="44" t="s">
        <v>326</v>
      </c>
      <c r="C32" s="16">
        <f t="shared" si="4"/>
        <v>46.615128205128208</v>
      </c>
      <c r="D32" s="17">
        <v>39</v>
      </c>
      <c r="E32" s="17">
        <v>0</v>
      </c>
      <c r="F32" s="18">
        <v>1817.99</v>
      </c>
      <c r="G32" s="18">
        <v>-0.16</v>
      </c>
      <c r="H32" s="32">
        <f t="shared" si="1"/>
        <v>8.800928497956534E-5</v>
      </c>
      <c r="I32" s="32">
        <f t="shared" si="2"/>
        <v>0.23672376590325547</v>
      </c>
      <c r="J32" s="33">
        <f t="shared" si="5"/>
        <v>430.36143917445941</v>
      </c>
      <c r="K32" s="33">
        <f t="shared" si="3"/>
        <v>11.034908696781011</v>
      </c>
      <c r="L32" s="17">
        <v>88</v>
      </c>
      <c r="M32" s="34">
        <f t="shared" si="6"/>
        <v>0.44318181818181818</v>
      </c>
      <c r="N32" s="17">
        <v>165</v>
      </c>
      <c r="O32" s="35">
        <f t="shared" ref="O32:P32" si="40">D32/7</f>
        <v>5.5714285714285712</v>
      </c>
      <c r="P32" s="35">
        <f t="shared" si="40"/>
        <v>0</v>
      </c>
      <c r="Q32" s="30">
        <f t="shared" si="8"/>
        <v>29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0.80874316939890711</v>
      </c>
      <c r="T32" s="15">
        <f ca="1">IFERROR(__xludf.DUMMYFUNCTION("IFERROR(VLOOKUP($B$2,IMPORTRANGE(""https://docs.google.com/spreadsheets/d/1KiWZV1ko8G7lnRucBRBd29jj3Be6ltMfljMDqzOkQmI/edit#gid=1381463014"",""Lookup!A:D""),4,FALSE),"""")"),192)</f>
        <v>192</v>
      </c>
      <c r="U32" s="23">
        <f ca="1">IFERROR(__xludf.DUMMYFUNCTION("IFERROR(VLOOKUP($B$2,IMPORTRANGE(""https://docs.google.com/spreadsheets/d/1KiWZV1ko8G7lnRucBRBd29jj3Be6ltMfljMDqzOkQmI/edit#gid=1381463014"",""Lookup!A:D""),3,FALSE),"""")"),120)</f>
        <v>120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- 120 units 08/22| AGL256  - 59 units 09/17")</f>
        <v>| AGL229  - 120 units 08/22| AGL256  - 59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0.91552734375</v>
      </c>
      <c r="AD32" s="40">
        <f t="shared" si="12"/>
        <v>-34.27734375</v>
      </c>
      <c r="AE32" s="26">
        <v>-12.84</v>
      </c>
      <c r="AF32" s="26">
        <v>-14.8649414634754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4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24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Magnetic Sidewalk Chalkboard – Sturdy Freestanding Sandwich Board Menu Display for Restaurant, Business or Wedding")</f>
        <v>Wooden A-Frame Sign with Eraser &amp; Chalk - Magnetic Sidewalk Chalkboard – Sturdy Freestanding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Info!B1:BJ5000""),2,FALSE),"""")"),"B07K8R3JQ3")</f>
        <v>B07K8R3JQ3</v>
      </c>
      <c r="B2" s="3" t="s">
        <v>327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93" customHeight="1" x14ac:dyDescent="0.2">
      <c r="A3" s="57" t="s">
        <v>31</v>
      </c>
      <c r="B3" s="58"/>
      <c r="C3" s="4">
        <f>((AE32+AF32)/0.85)*-1</f>
        <v>31.693811943529411</v>
      </c>
      <c r="D3" s="5">
        <f>SUM(D4:D99519)</f>
        <v>68</v>
      </c>
      <c r="E3" s="5"/>
      <c r="F3" s="6">
        <f t="shared" ref="F3:G3" si="0">SUM(F4:F99519)</f>
        <v>2863.4300000000003</v>
      </c>
      <c r="G3" s="6">
        <f t="shared" si="0"/>
        <v>-231.01000000000005</v>
      </c>
      <c r="H3" s="7">
        <f t="shared" ref="H3:H32" si="1">G3/F3*-1</f>
        <v>8.067597252246432E-2</v>
      </c>
      <c r="I3" s="8">
        <f t="shared" ref="I3:I32" si="2">J3/F3</f>
        <v>0.16927932465105108</v>
      </c>
      <c r="J3" s="6">
        <f>SUM(J4:J99519)</f>
        <v>484.71949658555928</v>
      </c>
      <c r="K3" s="6">
        <f t="shared" ref="K3:K32" si="3">J3/D3</f>
        <v>7.1282278909641068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Sheet!a1:g5000""),2,FALSE),"""")"),"0.5 - March
0.5 - April
1 - May
2 - June
2 - July
2 - Aug
2 - Sept
0.1 - Oct
0.1 - Nov
0.1 - Dec
0.5 - Jan
0.5 - Feb")</f>
        <v>0.5 - March
0.5 - April
1 - May
2 - June
2 - July
2 - Aug
2 - Sept
0.1 - Oct
0.1 - Nov
0.1 - Dec
0.5 - Jan
0.5 -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8</v>
      </c>
      <c r="X3" s="7">
        <f>W3/D3</f>
        <v>0.11764705882352941</v>
      </c>
      <c r="Y3" s="6"/>
      <c r="Z3" s="5"/>
      <c r="AA3" s="5"/>
      <c r="AB3" s="5"/>
      <c r="AC3" s="5"/>
      <c r="AD3" s="6">
        <f>SUM(AD4:AD99519)</f>
        <v>-55.395443414445737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Info!B2:BZ3000""),37,FALSE)),"""")*-1"),-14.879740152)</f>
        <v>-14.879740152</v>
      </c>
      <c r="AG3" s="6">
        <f>SUM(AG4:AG99519)</f>
        <v>0</v>
      </c>
    </row>
    <row r="4" spans="1:33" ht="16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39</v>
      </c>
      <c r="U4" s="23">
        <v>22</v>
      </c>
      <c r="V4" s="24" t="s">
        <v>328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-11.612472</v>
      </c>
      <c r="AG4" s="26">
        <v>0</v>
      </c>
    </row>
    <row r="5" spans="1:33" ht="15.75" customHeight="1" x14ac:dyDescent="0.2">
      <c r="A5" s="29" t="s">
        <v>36</v>
      </c>
      <c r="B5" s="29" t="s">
        <v>278</v>
      </c>
      <c r="C5" s="16">
        <f t="shared" si="4"/>
        <v>40.49</v>
      </c>
      <c r="D5" s="30">
        <v>2</v>
      </c>
      <c r="E5" s="30">
        <v>0</v>
      </c>
      <c r="F5" s="31">
        <v>80.98</v>
      </c>
      <c r="G5" s="31">
        <v>0</v>
      </c>
      <c r="H5" s="32">
        <f t="shared" si="1"/>
        <v>0</v>
      </c>
      <c r="I5" s="32">
        <f t="shared" si="2"/>
        <v>0.24520802567161762</v>
      </c>
      <c r="J5" s="33">
        <f t="shared" si="5"/>
        <v>19.856945918887597</v>
      </c>
      <c r="K5" s="33">
        <f t="shared" si="3"/>
        <v>9.9284729594437984</v>
      </c>
      <c r="L5" s="30">
        <v>30</v>
      </c>
      <c r="M5" s="34">
        <f t="shared" si="6"/>
        <v>6.6666666666666666E-2</v>
      </c>
      <c r="N5" s="30">
        <v>48</v>
      </c>
      <c r="O5" s="35">
        <f t="shared" ref="O5:P5" si="13">D5/7</f>
        <v>0.2857142857142857</v>
      </c>
      <c r="P5" s="35">
        <f t="shared" si="13"/>
        <v>0</v>
      </c>
      <c r="Q5" s="30">
        <f t="shared" si="8"/>
        <v>168</v>
      </c>
      <c r="R5" s="30"/>
      <c r="S5" s="36">
        <v>8.16326530612244E-2</v>
      </c>
      <c r="T5" s="29">
        <v>39</v>
      </c>
      <c r="U5" s="37">
        <v>22</v>
      </c>
      <c r="V5" s="38" t="s">
        <v>328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0.84953650057937424</v>
      </c>
      <c r="AD5" s="40">
        <f t="shared" si="12"/>
        <v>-1.6311100811123984</v>
      </c>
      <c r="AE5" s="40">
        <v>-12.06</v>
      </c>
      <c r="AF5" s="40">
        <v>-11.612472</v>
      </c>
      <c r="AG5" s="40">
        <v>0</v>
      </c>
    </row>
    <row r="6" spans="1:33" ht="15.75" customHeight="1" x14ac:dyDescent="0.2">
      <c r="A6" s="29" t="s">
        <v>38</v>
      </c>
      <c r="B6" s="29" t="s">
        <v>329</v>
      </c>
      <c r="C6" s="16">
        <f t="shared" si="4"/>
        <v>39.99</v>
      </c>
      <c r="D6" s="30">
        <v>1</v>
      </c>
      <c r="E6" s="30">
        <v>0</v>
      </c>
      <c r="F6" s="31">
        <v>39.99</v>
      </c>
      <c r="G6" s="31">
        <v>0</v>
      </c>
      <c r="H6" s="32">
        <f t="shared" si="1"/>
        <v>0</v>
      </c>
      <c r="I6" s="32">
        <f t="shared" si="2"/>
        <v>0.23766983968214278</v>
      </c>
      <c r="J6" s="33">
        <f t="shared" si="5"/>
        <v>9.5044168888888905</v>
      </c>
      <c r="K6" s="33">
        <f t="shared" si="3"/>
        <v>9.5044168888888905</v>
      </c>
      <c r="L6" s="30">
        <v>55</v>
      </c>
      <c r="M6" s="34">
        <f t="shared" si="6"/>
        <v>1.8181818181818181E-2</v>
      </c>
      <c r="N6" s="30">
        <v>47</v>
      </c>
      <c r="O6" s="35">
        <f t="shared" ref="O6:P6" si="14">D6/7</f>
        <v>0.14285714285714285</v>
      </c>
      <c r="P6" s="35">
        <f t="shared" si="14"/>
        <v>0</v>
      </c>
      <c r="Q6" s="30">
        <f t="shared" si="8"/>
        <v>329</v>
      </c>
      <c r="R6" s="30"/>
      <c r="S6" s="36">
        <v>0.25531914893617003</v>
      </c>
      <c r="T6" s="29">
        <v>39</v>
      </c>
      <c r="U6" s="37">
        <v>22</v>
      </c>
      <c r="V6" s="38" t="s">
        <v>328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0.84855324074074068</v>
      </c>
      <c r="AD6" s="40">
        <f t="shared" si="12"/>
        <v>-0.81461111111111106</v>
      </c>
      <c r="AE6" s="40">
        <v>-12.06</v>
      </c>
      <c r="AF6" s="40">
        <v>-11.612472</v>
      </c>
      <c r="AG6" s="40">
        <v>0</v>
      </c>
    </row>
    <row r="7" spans="1:33" ht="15.75" customHeight="1" x14ac:dyDescent="0.2">
      <c r="A7" s="29" t="s">
        <v>41</v>
      </c>
      <c r="B7" s="29" t="s">
        <v>330</v>
      </c>
      <c r="C7" s="16">
        <f t="shared" si="4"/>
        <v>36.656666666666666</v>
      </c>
      <c r="D7" s="30">
        <v>3</v>
      </c>
      <c r="E7" s="30">
        <v>0</v>
      </c>
      <c r="F7" s="31">
        <v>109.97</v>
      </c>
      <c r="G7" s="31">
        <v>-57.980000000000004</v>
      </c>
      <c r="H7" s="32">
        <f t="shared" si="1"/>
        <v>0.52723470037282905</v>
      </c>
      <c r="I7" s="32">
        <f t="shared" si="2"/>
        <v>-0.34524642478251655</v>
      </c>
      <c r="J7" s="33">
        <f t="shared" si="5"/>
        <v>-37.966749333333347</v>
      </c>
      <c r="K7" s="33">
        <f t="shared" si="3"/>
        <v>-12.655583111111115</v>
      </c>
      <c r="L7" s="30">
        <v>109</v>
      </c>
      <c r="M7" s="34">
        <f t="shared" si="6"/>
        <v>2.7522935779816515E-2</v>
      </c>
      <c r="N7" s="30">
        <v>44</v>
      </c>
      <c r="O7" s="35">
        <f t="shared" ref="O7:P7" si="15">D7/7</f>
        <v>0.42857142857142855</v>
      </c>
      <c r="P7" s="35">
        <f t="shared" si="15"/>
        <v>0</v>
      </c>
      <c r="Q7" s="30">
        <f t="shared" si="8"/>
        <v>102</v>
      </c>
      <c r="R7" s="30"/>
      <c r="S7" s="36">
        <v>0.55813953488372003</v>
      </c>
      <c r="T7" s="29">
        <v>39</v>
      </c>
      <c r="U7" s="37">
        <v>22</v>
      </c>
      <c r="V7" s="38" t="s">
        <v>328</v>
      </c>
      <c r="W7" s="29">
        <v>3</v>
      </c>
      <c r="X7" s="39">
        <f t="shared" si="9"/>
        <v>1</v>
      </c>
      <c r="Y7" s="40">
        <f t="shared" si="10"/>
        <v>8.2828571428571429</v>
      </c>
      <c r="Z7" s="29">
        <v>4</v>
      </c>
      <c r="AA7" s="29" t="s">
        <v>163</v>
      </c>
      <c r="AB7" s="41">
        <f t="shared" si="11"/>
        <v>-0.48</v>
      </c>
      <c r="AC7" s="42">
        <v>0.84855324074074068</v>
      </c>
      <c r="AD7" s="40">
        <f t="shared" si="12"/>
        <v>-2.4438333333333331</v>
      </c>
      <c r="AE7" s="40">
        <v>-12.06</v>
      </c>
      <c r="AF7" s="40">
        <v>-11.612472</v>
      </c>
      <c r="AG7" s="40">
        <v>0</v>
      </c>
    </row>
    <row r="8" spans="1:33" ht="15.75" customHeight="1" x14ac:dyDescent="0.2">
      <c r="A8" s="29" t="s">
        <v>44</v>
      </c>
      <c r="B8" s="29" t="s">
        <v>281</v>
      </c>
      <c r="C8" s="16">
        <f t="shared" si="4"/>
        <v>35.99</v>
      </c>
      <c r="D8" s="30">
        <v>5</v>
      </c>
      <c r="E8" s="30">
        <v>1</v>
      </c>
      <c r="F8" s="31">
        <v>179.95000000000002</v>
      </c>
      <c r="G8" s="31">
        <v>-44.210000000000008</v>
      </c>
      <c r="H8" s="32">
        <f t="shared" si="1"/>
        <v>0.24567935537649349</v>
      </c>
      <c r="I8" s="32">
        <f t="shared" si="2"/>
        <v>-7.5996418758297046E-2</v>
      </c>
      <c r="J8" s="33">
        <f t="shared" si="5"/>
        <v>-13.675555555555555</v>
      </c>
      <c r="K8" s="33">
        <f t="shared" si="3"/>
        <v>-2.7351111111111108</v>
      </c>
      <c r="L8" s="30">
        <v>80</v>
      </c>
      <c r="M8" s="34">
        <f t="shared" si="6"/>
        <v>6.25E-2</v>
      </c>
      <c r="N8" s="30">
        <v>38</v>
      </c>
      <c r="O8" s="35">
        <f t="shared" ref="O8:P8" si="16">D8/7</f>
        <v>0.7142857142857143</v>
      </c>
      <c r="P8" s="35">
        <f t="shared" si="16"/>
        <v>0.14285714285714285</v>
      </c>
      <c r="Q8" s="30">
        <f t="shared" si="8"/>
        <v>44</v>
      </c>
      <c r="R8" s="30"/>
      <c r="S8" s="36">
        <v>1.12820512820512</v>
      </c>
      <c r="T8" s="29">
        <v>39</v>
      </c>
      <c r="U8" s="37">
        <v>22</v>
      </c>
      <c r="V8" s="38" t="s">
        <v>331</v>
      </c>
      <c r="W8" s="29">
        <v>2</v>
      </c>
      <c r="X8" s="39">
        <f t="shared" si="9"/>
        <v>0.4</v>
      </c>
      <c r="Y8" s="40">
        <f t="shared" si="10"/>
        <v>2.9473333333333338</v>
      </c>
      <c r="Z8" s="29">
        <v>13</v>
      </c>
      <c r="AA8" s="29" t="s">
        <v>163</v>
      </c>
      <c r="AB8" s="41">
        <f t="shared" si="11"/>
        <v>-0.48</v>
      </c>
      <c r="AC8" s="42">
        <v>0.84855324074074068</v>
      </c>
      <c r="AD8" s="40">
        <f t="shared" si="12"/>
        <v>-4.0730555555555554</v>
      </c>
      <c r="AE8" s="40">
        <v>-12.06</v>
      </c>
      <c r="AF8" s="40">
        <v>-11.61</v>
      </c>
      <c r="AG8" s="40">
        <v>0</v>
      </c>
    </row>
    <row r="9" spans="1:33" ht="15.75" customHeight="1" x14ac:dyDescent="0.2">
      <c r="A9" s="29" t="s">
        <v>47</v>
      </c>
      <c r="B9" s="29" t="s">
        <v>332</v>
      </c>
      <c r="C9" s="16">
        <f t="shared" si="4"/>
        <v>37.323333333333331</v>
      </c>
      <c r="D9" s="30">
        <v>3</v>
      </c>
      <c r="E9" s="30">
        <v>0</v>
      </c>
      <c r="F9" s="31">
        <v>111.97</v>
      </c>
      <c r="G9" s="31">
        <v>-44.23</v>
      </c>
      <c r="H9" s="32">
        <f t="shared" si="1"/>
        <v>0.3950165222827543</v>
      </c>
      <c r="I9" s="32">
        <f t="shared" si="2"/>
        <v>-0.21816419874371112</v>
      </c>
      <c r="J9" s="33">
        <f t="shared" si="5"/>
        <v>-24.427845333333334</v>
      </c>
      <c r="K9" s="33">
        <f t="shared" si="3"/>
        <v>-8.1426151111111107</v>
      </c>
      <c r="L9" s="30">
        <v>67</v>
      </c>
      <c r="M9" s="34">
        <f t="shared" si="6"/>
        <v>4.4776119402985072E-2</v>
      </c>
      <c r="N9" s="30">
        <v>35</v>
      </c>
      <c r="O9" s="35">
        <f t="shared" ref="O9:P9" si="17">D9/7</f>
        <v>0.42857142857142855</v>
      </c>
      <c r="P9" s="35">
        <f t="shared" si="17"/>
        <v>0</v>
      </c>
      <c r="Q9" s="30">
        <f t="shared" si="8"/>
        <v>81</v>
      </c>
      <c r="R9" s="30"/>
      <c r="S9" s="36">
        <v>0.70588235294117596</v>
      </c>
      <c r="T9" s="29">
        <v>39</v>
      </c>
      <c r="U9" s="37">
        <v>22</v>
      </c>
      <c r="V9" s="38" t="s">
        <v>333</v>
      </c>
      <c r="W9" s="29">
        <v>1</v>
      </c>
      <c r="X9" s="39">
        <f t="shared" si="9"/>
        <v>0.33333333333333331</v>
      </c>
      <c r="Y9" s="40">
        <f t="shared" si="10"/>
        <v>7.3716666666666661</v>
      </c>
      <c r="Z9" s="29">
        <v>5</v>
      </c>
      <c r="AA9" s="29" t="s">
        <v>163</v>
      </c>
      <c r="AB9" s="41">
        <f t="shared" si="11"/>
        <v>-0.48</v>
      </c>
      <c r="AC9" s="42">
        <v>0.84855324074074068</v>
      </c>
      <c r="AD9" s="40">
        <f t="shared" si="12"/>
        <v>-2.4438333333333331</v>
      </c>
      <c r="AE9" s="40">
        <v>-12.06</v>
      </c>
      <c r="AF9" s="40">
        <v>-12.249504</v>
      </c>
      <c r="AG9" s="40">
        <v>0</v>
      </c>
    </row>
    <row r="10" spans="1:33" ht="15.75" customHeight="1" x14ac:dyDescent="0.2">
      <c r="A10" s="29" t="s">
        <v>50</v>
      </c>
      <c r="B10" s="29" t="s">
        <v>334</v>
      </c>
      <c r="C10" s="16">
        <f t="shared" si="4"/>
        <v>38.99</v>
      </c>
      <c r="D10" s="30">
        <v>2</v>
      </c>
      <c r="E10" s="30">
        <v>0</v>
      </c>
      <c r="F10" s="31">
        <v>77.98</v>
      </c>
      <c r="G10" s="31">
        <v>-43.170000000000009</v>
      </c>
      <c r="H10" s="32">
        <f t="shared" si="1"/>
        <v>0.55360348807386517</v>
      </c>
      <c r="I10" s="32">
        <f t="shared" si="2"/>
        <v>-0.3479767917699696</v>
      </c>
      <c r="J10" s="33">
        <f t="shared" si="5"/>
        <v>-27.13523022222223</v>
      </c>
      <c r="K10" s="33">
        <f t="shared" si="3"/>
        <v>-13.567615111111115</v>
      </c>
      <c r="L10" s="30">
        <v>64</v>
      </c>
      <c r="M10" s="34">
        <f t="shared" si="6"/>
        <v>3.125E-2</v>
      </c>
      <c r="N10" s="30">
        <v>57</v>
      </c>
      <c r="O10" s="35">
        <f t="shared" ref="O10:P10" si="18">D10/7</f>
        <v>0.2857142857142857</v>
      </c>
      <c r="P10" s="35">
        <f t="shared" si="18"/>
        <v>0</v>
      </c>
      <c r="Q10" s="30">
        <f t="shared" si="8"/>
        <v>199</v>
      </c>
      <c r="R10" s="30"/>
      <c r="S10" s="36">
        <v>0.61538461538461497</v>
      </c>
      <c r="T10" s="29">
        <v>0</v>
      </c>
      <c r="U10" s="37" t="s">
        <v>34</v>
      </c>
      <c r="V10" s="38" t="s">
        <v>34</v>
      </c>
      <c r="W10" s="29">
        <v>1</v>
      </c>
      <c r="X10" s="39">
        <f t="shared" si="9"/>
        <v>0.5</v>
      </c>
      <c r="Y10" s="40">
        <f t="shared" si="10"/>
        <v>14.390000000000002</v>
      </c>
      <c r="Z10" s="29">
        <v>2</v>
      </c>
      <c r="AA10" s="29" t="s">
        <v>163</v>
      </c>
      <c r="AB10" s="41">
        <f t="shared" si="11"/>
        <v>-0.48</v>
      </c>
      <c r="AC10" s="42">
        <v>0.84855324074074068</v>
      </c>
      <c r="AD10" s="40">
        <f t="shared" si="12"/>
        <v>-1.6292222222222221</v>
      </c>
      <c r="AE10" s="40">
        <v>-12.06</v>
      </c>
      <c r="AF10" s="40">
        <v>-12.249504</v>
      </c>
      <c r="AG10" s="40">
        <v>0</v>
      </c>
    </row>
    <row r="11" spans="1:33" ht="15.75" customHeight="1" x14ac:dyDescent="0.2">
      <c r="A11" s="29" t="s">
        <v>53</v>
      </c>
      <c r="B11" s="29" t="s">
        <v>335</v>
      </c>
      <c r="C11" s="16">
        <f t="shared" si="4"/>
        <v>38.99</v>
      </c>
      <c r="D11" s="30">
        <v>1</v>
      </c>
      <c r="E11" s="30">
        <v>2</v>
      </c>
      <c r="F11" s="31">
        <v>38.99</v>
      </c>
      <c r="G11" s="31">
        <v>-35.99</v>
      </c>
      <c r="H11" s="32">
        <f t="shared" si="1"/>
        <v>0.92305719415234677</v>
      </c>
      <c r="I11" s="32">
        <f t="shared" si="2"/>
        <v>-0.71743049784845125</v>
      </c>
      <c r="J11" s="33">
        <f t="shared" si="5"/>
        <v>-27.972615111111114</v>
      </c>
      <c r="K11" s="33">
        <f t="shared" si="3"/>
        <v>-27.972615111111114</v>
      </c>
      <c r="L11" s="30">
        <v>28</v>
      </c>
      <c r="M11" s="34">
        <f t="shared" si="6"/>
        <v>3.5714285714285712E-2</v>
      </c>
      <c r="N11" s="30">
        <v>53</v>
      </c>
      <c r="O11" s="35">
        <f t="shared" ref="O11:P11" si="19">D11/7</f>
        <v>0.14285714285714285</v>
      </c>
      <c r="P11" s="35">
        <f t="shared" si="19"/>
        <v>0.2857142857142857</v>
      </c>
      <c r="Q11" s="30">
        <f t="shared" si="8"/>
        <v>123</v>
      </c>
      <c r="R11" s="30"/>
      <c r="S11" s="36">
        <v>0.78350515463917503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8.9975000000000005</v>
      </c>
      <c r="Z11" s="29">
        <v>4</v>
      </c>
      <c r="AA11" s="29" t="s">
        <v>163</v>
      </c>
      <c r="AB11" s="41">
        <f t="shared" si="11"/>
        <v>-0.48</v>
      </c>
      <c r="AC11" s="42">
        <v>0.84855324074074068</v>
      </c>
      <c r="AD11" s="40">
        <f t="shared" si="12"/>
        <v>-0.81461111111111106</v>
      </c>
      <c r="AE11" s="40">
        <v>-12.06</v>
      </c>
      <c r="AF11" s="40">
        <v>-12.249504</v>
      </c>
      <c r="AG11" s="40">
        <v>0</v>
      </c>
    </row>
    <row r="12" spans="1:33" ht="15.75" customHeight="1" x14ac:dyDescent="0.2">
      <c r="A12" s="29" t="s">
        <v>56</v>
      </c>
      <c r="B12" s="29" t="s">
        <v>54</v>
      </c>
      <c r="C12" s="16">
        <f t="shared" si="4"/>
        <v>37.99</v>
      </c>
      <c r="D12" s="30">
        <v>1</v>
      </c>
      <c r="E12" s="30">
        <v>0</v>
      </c>
      <c r="F12" s="31">
        <v>37.99</v>
      </c>
      <c r="G12" s="31">
        <v>-5.13</v>
      </c>
      <c r="H12" s="32">
        <f t="shared" si="1"/>
        <v>0.13503553566728085</v>
      </c>
      <c r="I12" s="32">
        <f t="shared" si="2"/>
        <v>5.3629504840455082E-2</v>
      </c>
      <c r="J12" s="33">
        <f t="shared" si="5"/>
        <v>2.0373848888888886</v>
      </c>
      <c r="K12" s="33">
        <f t="shared" si="3"/>
        <v>2.0373848888888886</v>
      </c>
      <c r="L12" s="30">
        <v>24</v>
      </c>
      <c r="M12" s="34">
        <f t="shared" si="6"/>
        <v>4.1666666666666664E-2</v>
      </c>
      <c r="N12" s="30">
        <v>50</v>
      </c>
      <c r="O12" s="35">
        <f t="shared" ref="O12:P12" si="20">D12/7</f>
        <v>0.14285714285714285</v>
      </c>
      <c r="P12" s="35">
        <f t="shared" si="20"/>
        <v>0</v>
      </c>
      <c r="Q12" s="30">
        <f t="shared" si="8"/>
        <v>350</v>
      </c>
      <c r="R12" s="30"/>
      <c r="S12" s="36">
        <v>0.97674418604651103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0.84855324074074068</v>
      </c>
      <c r="AD12" s="40">
        <f t="shared" si="12"/>
        <v>-0.81461111111111106</v>
      </c>
      <c r="AE12" s="40">
        <v>-12.06</v>
      </c>
      <c r="AF12" s="40">
        <v>-12.249504</v>
      </c>
      <c r="AG12" s="40">
        <v>0</v>
      </c>
    </row>
    <row r="13" spans="1:33" ht="15.75" customHeight="1" x14ac:dyDescent="0.2">
      <c r="A13" s="29" t="s">
        <v>57</v>
      </c>
      <c r="B13" s="29" t="s">
        <v>336</v>
      </c>
      <c r="C13" s="16">
        <f t="shared" si="4"/>
        <v>37.99</v>
      </c>
      <c r="D13" s="30">
        <v>6</v>
      </c>
      <c r="E13" s="30">
        <v>0</v>
      </c>
      <c r="F13" s="33">
        <v>227.94000000000003</v>
      </c>
      <c r="G13" s="31">
        <v>-0.24</v>
      </c>
      <c r="H13" s="32">
        <f t="shared" si="1"/>
        <v>1.0529086601737297E-3</v>
      </c>
      <c r="I13" s="32">
        <f t="shared" si="2"/>
        <v>0.17878665145798869</v>
      </c>
      <c r="J13" s="33">
        <f t="shared" si="5"/>
        <v>40.75262933333395</v>
      </c>
      <c r="K13" s="33">
        <f t="shared" si="3"/>
        <v>6.7921048888889919</v>
      </c>
      <c r="L13" s="30">
        <v>21</v>
      </c>
      <c r="M13" s="34">
        <f t="shared" si="6"/>
        <v>0.2857142857142857</v>
      </c>
      <c r="N13" s="30">
        <v>44</v>
      </c>
      <c r="O13" s="35">
        <f t="shared" ref="O13:P13" si="21">D13/7</f>
        <v>0.8571428571428571</v>
      </c>
      <c r="P13" s="35">
        <f t="shared" si="21"/>
        <v>0</v>
      </c>
      <c r="Q13" s="30">
        <f t="shared" si="8"/>
        <v>51</v>
      </c>
      <c r="R13" s="30"/>
      <c r="S13" s="36">
        <v>1.0697674418604599</v>
      </c>
      <c r="T13" s="29">
        <v>0</v>
      </c>
      <c r="U13" s="37" t="s">
        <v>34</v>
      </c>
      <c r="V13" s="38" t="s">
        <v>34</v>
      </c>
      <c r="W13" s="29">
        <v>1</v>
      </c>
      <c r="X13" s="39">
        <f t="shared" si="9"/>
        <v>0.16666666666666666</v>
      </c>
      <c r="Y13" s="40">
        <f t="shared" si="10"/>
        <v>0.24</v>
      </c>
      <c r="Z13" s="29">
        <v>0</v>
      </c>
      <c r="AA13" s="29" t="s">
        <v>163</v>
      </c>
      <c r="AB13" s="41">
        <f t="shared" si="11"/>
        <v>-0.48</v>
      </c>
      <c r="AC13" s="42">
        <v>0.84855324074074068</v>
      </c>
      <c r="AD13" s="40">
        <f t="shared" si="12"/>
        <v>-4.8876666666666662</v>
      </c>
      <c r="AE13" s="40">
        <v>-12.06</v>
      </c>
      <c r="AF13" s="40">
        <v>-12.5847839999999</v>
      </c>
      <c r="AG13" s="40">
        <v>0</v>
      </c>
    </row>
    <row r="14" spans="1:33" ht="15.75" customHeight="1" x14ac:dyDescent="0.2">
      <c r="A14" s="29" t="s">
        <v>59</v>
      </c>
      <c r="B14" s="29" t="s">
        <v>337</v>
      </c>
      <c r="C14" s="16">
        <f t="shared" si="4"/>
        <v>39.99</v>
      </c>
      <c r="D14" s="30">
        <v>7</v>
      </c>
      <c r="E14" s="30">
        <v>0</v>
      </c>
      <c r="F14" s="33">
        <v>279.93</v>
      </c>
      <c r="G14" s="31">
        <v>0</v>
      </c>
      <c r="H14" s="32">
        <f t="shared" si="1"/>
        <v>0</v>
      </c>
      <c r="I14" s="32">
        <f t="shared" si="2"/>
        <v>0.21335596121252778</v>
      </c>
      <c r="J14" s="33">
        <f t="shared" si="5"/>
        <v>59.724734222222907</v>
      </c>
      <c r="K14" s="33">
        <f t="shared" si="3"/>
        <v>8.5321048888889859</v>
      </c>
      <c r="L14" s="30">
        <v>56</v>
      </c>
      <c r="M14" s="34">
        <f t="shared" si="6"/>
        <v>0.125</v>
      </c>
      <c r="N14" s="30">
        <v>38</v>
      </c>
      <c r="O14" s="35">
        <f t="shared" ref="O14:P14" si="22">D14/7</f>
        <v>1</v>
      </c>
      <c r="P14" s="35">
        <f t="shared" si="22"/>
        <v>0</v>
      </c>
      <c r="Q14" s="30">
        <f t="shared" si="8"/>
        <v>38</v>
      </c>
      <c r="R14" s="30"/>
      <c r="S14" s="36">
        <v>0.89510489510489499</v>
      </c>
      <c r="T14" s="29">
        <v>100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0.84855324074074068</v>
      </c>
      <c r="AD14" s="40">
        <f t="shared" si="12"/>
        <v>-5.7022777777777778</v>
      </c>
      <c r="AE14" s="40">
        <v>-12.06</v>
      </c>
      <c r="AF14" s="40">
        <v>-12.5847839999999</v>
      </c>
      <c r="AG14" s="40">
        <v>0</v>
      </c>
    </row>
    <row r="15" spans="1:33" ht="15.75" customHeight="1" x14ac:dyDescent="0.2">
      <c r="A15" s="29" t="s">
        <v>61</v>
      </c>
      <c r="B15" s="29" t="s">
        <v>314</v>
      </c>
      <c r="C15" s="16">
        <f t="shared" si="4"/>
        <v>42.158000000000001</v>
      </c>
      <c r="D15" s="30">
        <v>10</v>
      </c>
      <c r="E15" s="30">
        <v>0</v>
      </c>
      <c r="F15" s="33">
        <v>421.58000000000004</v>
      </c>
      <c r="G15" s="31">
        <v>-0.06</v>
      </c>
      <c r="H15" s="32">
        <f t="shared" si="1"/>
        <v>1.4232174201812229E-4</v>
      </c>
      <c r="I15" s="32">
        <f t="shared" si="2"/>
        <v>0.24595343443448431</v>
      </c>
      <c r="J15" s="33">
        <f t="shared" si="5"/>
        <v>103.6890488888899</v>
      </c>
      <c r="K15" s="33">
        <f t="shared" si="3"/>
        <v>10.36890488888899</v>
      </c>
      <c r="L15" s="30">
        <v>67</v>
      </c>
      <c r="M15" s="34">
        <f t="shared" si="6"/>
        <v>0.14925373134328357</v>
      </c>
      <c r="N15" s="30">
        <v>29</v>
      </c>
      <c r="O15" s="35">
        <f t="shared" ref="O15:P15" si="23">D15/7</f>
        <v>1.4285714285714286</v>
      </c>
      <c r="P15" s="35">
        <f t="shared" si="23"/>
        <v>0</v>
      </c>
      <c r="Q15" s="30">
        <f t="shared" si="8"/>
        <v>20</v>
      </c>
      <c r="R15" s="30"/>
      <c r="S15" s="36">
        <v>1.25</v>
      </c>
      <c r="T15" s="29">
        <v>100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0.84855324074074068</v>
      </c>
      <c r="AD15" s="40">
        <f t="shared" si="12"/>
        <v>-8.1461111111111109</v>
      </c>
      <c r="AE15" s="40">
        <v>-12.06</v>
      </c>
      <c r="AF15" s="40">
        <v>-12.5847839999999</v>
      </c>
      <c r="AG15" s="40">
        <v>0</v>
      </c>
    </row>
    <row r="16" spans="1:33" ht="15.75" customHeight="1" x14ac:dyDescent="0.2">
      <c r="A16" s="29" t="s">
        <v>64</v>
      </c>
      <c r="B16" s="29" t="s">
        <v>338</v>
      </c>
      <c r="C16" s="16">
        <f t="shared" si="4"/>
        <v>44.672500000000007</v>
      </c>
      <c r="D16" s="30">
        <v>12</v>
      </c>
      <c r="E16" s="30">
        <v>0</v>
      </c>
      <c r="F16" s="33">
        <v>536.07000000000005</v>
      </c>
      <c r="G16" s="31">
        <v>0</v>
      </c>
      <c r="H16" s="32">
        <f t="shared" si="1"/>
        <v>0</v>
      </c>
      <c r="I16" s="32">
        <f t="shared" si="2"/>
        <v>0.28008797109830413</v>
      </c>
      <c r="J16" s="33">
        <f t="shared" si="5"/>
        <v>150.14675866666792</v>
      </c>
      <c r="K16" s="33">
        <f t="shared" si="3"/>
        <v>12.512229888888994</v>
      </c>
      <c r="L16" s="30">
        <v>71</v>
      </c>
      <c r="M16" s="34">
        <f t="shared" si="6"/>
        <v>0.16901408450704225</v>
      </c>
      <c r="N16" s="30">
        <v>17</v>
      </c>
      <c r="O16" s="35">
        <f t="shared" ref="O16:P16" si="24">D16/7</f>
        <v>1.7142857142857142</v>
      </c>
      <c r="P16" s="35">
        <f t="shared" si="24"/>
        <v>0</v>
      </c>
      <c r="Q16" s="30">
        <f t="shared" si="8"/>
        <v>9</v>
      </c>
      <c r="R16" s="30"/>
      <c r="S16" s="36">
        <v>2</v>
      </c>
      <c r="T16" s="29">
        <v>100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0.84855324074074068</v>
      </c>
      <c r="AD16" s="40">
        <f t="shared" si="12"/>
        <v>-9.7753333333333323</v>
      </c>
      <c r="AE16" s="40">
        <v>-12.06</v>
      </c>
      <c r="AF16" s="40">
        <v>-12.5847839999999</v>
      </c>
      <c r="AG16" s="40">
        <v>0</v>
      </c>
    </row>
    <row r="17" spans="1:33" ht="15.75" customHeight="1" x14ac:dyDescent="0.2">
      <c r="A17" s="29" t="s">
        <v>66</v>
      </c>
      <c r="B17" s="29" t="s">
        <v>172</v>
      </c>
      <c r="C17" s="16">
        <f t="shared" si="4"/>
        <v>47.83</v>
      </c>
      <c r="D17" s="30">
        <v>11</v>
      </c>
      <c r="E17" s="30">
        <v>1</v>
      </c>
      <c r="F17" s="33">
        <v>526.13</v>
      </c>
      <c r="G17" s="31">
        <v>0</v>
      </c>
      <c r="H17" s="32">
        <f t="shared" si="1"/>
        <v>0</v>
      </c>
      <c r="I17" s="32">
        <f t="shared" si="2"/>
        <v>0.3177107440704367</v>
      </c>
      <c r="J17" s="33">
        <f t="shared" si="5"/>
        <v>167.15715377777886</v>
      </c>
      <c r="K17" s="33">
        <f t="shared" si="3"/>
        <v>15.196104888888987</v>
      </c>
      <c r="L17" s="30">
        <v>63</v>
      </c>
      <c r="M17" s="34">
        <f t="shared" si="6"/>
        <v>0.17460317460317459</v>
      </c>
      <c r="N17" s="30">
        <v>5</v>
      </c>
      <c r="O17" s="35">
        <f t="shared" ref="O17:P17" si="25">D17/7</f>
        <v>1.5714285714285714</v>
      </c>
      <c r="P17" s="35">
        <f t="shared" si="25"/>
        <v>0.14285714285714285</v>
      </c>
      <c r="Q17" s="30">
        <f t="shared" si="8"/>
        <v>2</v>
      </c>
      <c r="R17" s="30"/>
      <c r="S17" s="36">
        <v>2.7526881720430101</v>
      </c>
      <c r="T17" s="29">
        <v>100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0.84855324074074068</v>
      </c>
      <c r="AD17" s="40">
        <f t="shared" si="12"/>
        <v>-8.9607222222222216</v>
      </c>
      <c r="AE17" s="40">
        <v>-12.06</v>
      </c>
      <c r="AF17" s="40">
        <v>-12.5847839999999</v>
      </c>
      <c r="AG17" s="40">
        <v>0</v>
      </c>
    </row>
    <row r="18" spans="1:33" ht="15.75" customHeight="1" x14ac:dyDescent="0.2">
      <c r="A18" s="29" t="s">
        <v>69</v>
      </c>
      <c r="B18" s="29" t="s">
        <v>172</v>
      </c>
      <c r="C18" s="16">
        <f t="shared" si="4"/>
        <v>48.49</v>
      </c>
      <c r="D18" s="30">
        <v>4</v>
      </c>
      <c r="E18" s="30">
        <v>0</v>
      </c>
      <c r="F18" s="33">
        <v>193.96</v>
      </c>
      <c r="G18" s="31">
        <v>0</v>
      </c>
      <c r="H18" s="32">
        <f t="shared" si="1"/>
        <v>0</v>
      </c>
      <c r="I18" s="32">
        <f t="shared" si="2"/>
        <v>0.32495576178364594</v>
      </c>
      <c r="J18" s="33">
        <f t="shared" si="5"/>
        <v>63.028419555555963</v>
      </c>
      <c r="K18" s="33">
        <f t="shared" si="3"/>
        <v>15.757104888888991</v>
      </c>
      <c r="L18" s="30">
        <v>25</v>
      </c>
      <c r="M18" s="34">
        <f t="shared" si="6"/>
        <v>0.16</v>
      </c>
      <c r="N18" s="30">
        <v>0</v>
      </c>
      <c r="O18" s="35">
        <f t="shared" ref="O18:P18" si="26">D18/7</f>
        <v>0.5714285714285714</v>
      </c>
      <c r="P18" s="35">
        <f t="shared" si="26"/>
        <v>0</v>
      </c>
      <c r="Q18" s="30">
        <f t="shared" si="8"/>
        <v>0</v>
      </c>
      <c r="R18" s="30"/>
      <c r="S18" s="36" t="e">
        <v>#N/A</v>
      </c>
      <c r="T18" s="29">
        <v>100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0.84855324074074068</v>
      </c>
      <c r="AD18" s="40">
        <f t="shared" si="12"/>
        <v>-3.2584444444444443</v>
      </c>
      <c r="AE18" s="40">
        <v>-12.06</v>
      </c>
      <c r="AF18" s="40">
        <v>-12.5847839999999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268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0.84855324074074068</v>
      </c>
      <c r="AD19" s="40">
        <f t="shared" si="12"/>
        <v>0</v>
      </c>
      <c r="AE19" s="40">
        <v>-12.06</v>
      </c>
      <c r="AF19" s="40">
        <v>-12.584783999999999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0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268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0.84855324074074068</v>
      </c>
      <c r="AD20" s="40">
        <f t="shared" si="12"/>
        <v>0</v>
      </c>
      <c r="AE20" s="40">
        <v>-12.06</v>
      </c>
      <c r="AF20" s="40">
        <v>-12.584783999999999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268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0.84855324074074068</v>
      </c>
      <c r="AD21" s="40">
        <f t="shared" si="12"/>
        <v>0</v>
      </c>
      <c r="AE21" s="40">
        <v>-12.06</v>
      </c>
      <c r="AF21" s="40">
        <v>-12.584783999999999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268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0.84855324074074068</v>
      </c>
      <c r="AD22" s="40">
        <f t="shared" si="12"/>
        <v>0</v>
      </c>
      <c r="AE22" s="40">
        <v>-12.06</v>
      </c>
      <c r="AF22" s="40">
        <v>-12.584783999999999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268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0.84855324074074068</v>
      </c>
      <c r="AD23" s="40">
        <f t="shared" si="12"/>
        <v>0</v>
      </c>
      <c r="AE23" s="40">
        <v>-12.06</v>
      </c>
      <c r="AF23" s="40">
        <v>-12.584783999999999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Summary!A1:AD5000""),9,FALSE),"""")"),368)</f>
        <v>368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Summary!A1:AD5000""),28,FALSE),"""")"),100)</f>
        <v>100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AGL229: 100 - 08/22/21")</f>
        <v xml:space="preserve"> | AGL229: 100 - 08/22/21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0.84855324074074068</v>
      </c>
      <c r="AD24" s="40">
        <f t="shared" si="12"/>
        <v>0</v>
      </c>
      <c r="AE24" s="40">
        <v>-12.06</v>
      </c>
      <c r="AF24" s="40">
        <v>-12.584783999999999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268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0.84855324074074068</v>
      </c>
      <c r="AD25" s="40">
        <f t="shared" si="12"/>
        <v>0</v>
      </c>
      <c r="AE25" s="26">
        <v>-12.06</v>
      </c>
      <c r="AF25" s="26">
        <v>-12.58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368</v>
      </c>
      <c r="U26" s="37">
        <v>100</v>
      </c>
      <c r="V26" s="38" t="s">
        <v>339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0.84855324074074068</v>
      </c>
      <c r="AD26" s="40">
        <f t="shared" si="12"/>
        <v>0</v>
      </c>
      <c r="AE26" s="26">
        <v>-12.06</v>
      </c>
      <c r="AF26" s="26">
        <v>-12.5847839999999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368</v>
      </c>
      <c r="U27" s="37">
        <v>100</v>
      </c>
      <c r="V27" s="38" t="s">
        <v>339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0.84855324074074068</v>
      </c>
      <c r="AD27" s="40">
        <f t="shared" si="12"/>
        <v>0</v>
      </c>
      <c r="AE27" s="26">
        <v>-12.06</v>
      </c>
      <c r="AF27" s="26">
        <v>-12.5847839999999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100</v>
      </c>
      <c r="V28" s="1" t="s">
        <v>340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0.84855324074074068</v>
      </c>
      <c r="AD28" s="40">
        <f t="shared" si="12"/>
        <v>0</v>
      </c>
      <c r="AE28" s="26">
        <v>-12.06</v>
      </c>
      <c r="AF28" s="26">
        <v>-12.5847839999999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100</v>
      </c>
      <c r="V29" s="1" t="s">
        <v>340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0.84855324074074068</v>
      </c>
      <c r="AD29" s="40">
        <f t="shared" si="12"/>
        <v>0</v>
      </c>
      <c r="AE29" s="26">
        <v>-12.06</v>
      </c>
      <c r="AF29" s="26">
        <v>-14.003956559999899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100</v>
      </c>
      <c r="V30" s="1" t="s">
        <v>340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0.84855324074074068</v>
      </c>
      <c r="AD30" s="40">
        <f t="shared" si="12"/>
        <v>0</v>
      </c>
      <c r="AE30" s="26">
        <v>-12.06</v>
      </c>
      <c r="AF30" s="26">
        <v>-14.879740152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168</v>
      </c>
      <c r="U31" s="23">
        <v>100</v>
      </c>
      <c r="V31" s="1" t="s">
        <v>341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0.84855324074074068</v>
      </c>
      <c r="AD31" s="40">
        <f t="shared" si="12"/>
        <v>0</v>
      </c>
      <c r="AE31" s="26">
        <v>-12.06</v>
      </c>
      <c r="AF31" s="43">
        <v>-14.879740152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IFERROR(__xludf.DUMMYFUNCTION("IFERROR(VLOOKUP($B$2,IMPORTRANGE(""https://docs.google.com/spreadsheets/d/1KiWZV1ko8G7lnRucBRBd29jj3Be6ltMfljMDqzOkQmI/edit#gid=1381463014"",""Lookup!A:D""),4,FALSE),"""")"),168)</f>
        <v>168</v>
      </c>
      <c r="U32" s="23">
        <f ca="1">IFERROR(__xludf.DUMMYFUNCTION("IFERROR(VLOOKUP($B$2,IMPORTRANGE(""https://docs.google.com/spreadsheets/d/1KiWZV1ko8G7lnRucBRBd29jj3Be6ltMfljMDqzOkQmI/edit#gid=1381463014"",""Lookup!A:D""),3,FALSE),"""")"),100)</f>
        <v>100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- 100 units 08/22")</f>
        <v>| AGL229  - 100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0.84855324074074068</v>
      </c>
      <c r="AD32" s="40">
        <f t="shared" si="12"/>
        <v>0</v>
      </c>
      <c r="AE32" s="26">
        <v>-12.06</v>
      </c>
      <c r="AF32" s="26">
        <v>-14.879740152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8.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39.332031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Magnetic Sidewalk Chalkboard – Sturdy Freestanding Grey Sandwich Board Menu Display for Restaurant, Business or Wedding")</f>
        <v>Wooden A-Frame Sign with Eraser &amp; Chalk - Magnetic Sidewalk Chalkboard – Sturdy Freestanding Grey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Info!B1:BJ5000""),2,FALSE),"""")"),"B07K8RNYJ9")</f>
        <v>B07K8RNYJ9</v>
      </c>
      <c r="B2" s="3" t="s">
        <v>342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38" customHeight="1" x14ac:dyDescent="0.2">
      <c r="A3" s="57" t="s">
        <v>31</v>
      </c>
      <c r="B3" s="58"/>
      <c r="C3" s="4">
        <f>((AE32+AF32)/0.85)*-1</f>
        <v>30.982094296470471</v>
      </c>
      <c r="D3" s="5">
        <f>SUM(D4:D99519)</f>
        <v>164</v>
      </c>
      <c r="E3" s="5"/>
      <c r="F3" s="6">
        <f t="shared" ref="F3:G3" si="0">SUM(F4:F99519)</f>
        <v>7485.2</v>
      </c>
      <c r="G3" s="6">
        <f t="shared" si="0"/>
        <v>-0.85</v>
      </c>
      <c r="H3" s="7">
        <f t="shared" ref="H3:H32" si="1">G3/F3*-1</f>
        <v>1.1355741997541815E-4</v>
      </c>
      <c r="I3" s="8">
        <f t="shared" ref="I3:I32" si="2">J3/F3</f>
        <v>0.30229878056597714</v>
      </c>
      <c r="J3" s="6">
        <f>SUM(J4:J99519)</f>
        <v>2262.7668322924519</v>
      </c>
      <c r="K3" s="6">
        <f t="shared" ref="K3:K32" si="3">J3/D3</f>
        <v>13.79735873349056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Sheet!a1:g5000""),2,FALSE),"""")"),"0.5 - March
0.5 - April
1 - May
2 - June
2 - July
2 - Aug
2 - Sept
0.1 - Oct
0.1 - Nov
0.1 - Dec
0.5 - Jan
0.5 - Feb")</f>
        <v>0.5 - March
0.5 - April
1 - May
2 - June
2 - July
2 - Aug
2 - Sept
0.1 - Oct
0.1 - Nov
0.1 - Dec
0.5 - Jan
0.5 -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3</v>
      </c>
      <c r="X3" s="7">
        <f>W3/D3</f>
        <v>1.8292682926829267E-2</v>
      </c>
      <c r="Y3" s="6"/>
      <c r="Z3" s="5"/>
      <c r="AA3" s="5"/>
      <c r="AB3" s="5"/>
      <c r="AC3" s="5"/>
      <c r="AD3" s="6">
        <f>SUM(AD4:AD99519)</f>
        <v>-124.27555555555557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Info!B2:BZ3000""),37,FALSE)),"""")*-1"),-14.2547801519999)</f>
        <v>-14.254780151999899</v>
      </c>
      <c r="AG3" s="6">
        <f>SUM(AG4:AG99519)</f>
        <v>0</v>
      </c>
    </row>
    <row r="4" spans="1:33" x14ac:dyDescent="0.2">
      <c r="A4" s="15" t="s">
        <v>32</v>
      </c>
      <c r="B4" s="15" t="s">
        <v>343</v>
      </c>
      <c r="C4" s="16">
        <f t="shared" ref="C4:C32" si="4">IFERROR(F4/D4," - ")</f>
        <v>40.659999999999997</v>
      </c>
      <c r="D4" s="17">
        <v>5</v>
      </c>
      <c r="E4" s="17">
        <v>0</v>
      </c>
      <c r="F4" s="18">
        <v>203.29999999999998</v>
      </c>
      <c r="G4" s="18">
        <v>-0.03</v>
      </c>
      <c r="H4" s="19">
        <f t="shared" si="1"/>
        <v>1.4756517461878997E-4</v>
      </c>
      <c r="I4" s="19">
        <f t="shared" si="2"/>
        <v>0.25835588347816574</v>
      </c>
      <c r="J4" s="18">
        <f t="shared" ref="J4:J32" si="5">F4*0.85+G4+AF4*D4+D4*AE4+AG4+AD4</f>
        <v>52.523751111111089</v>
      </c>
      <c r="K4" s="18">
        <f t="shared" si="3"/>
        <v>10.504750222222217</v>
      </c>
      <c r="L4" s="17">
        <v>24</v>
      </c>
      <c r="M4" s="20">
        <f t="shared" ref="M4:M32" si="6">IFERROR(D4/L4,"-")</f>
        <v>0.20833333333333334</v>
      </c>
      <c r="N4" s="17">
        <v>3</v>
      </c>
      <c r="O4" s="21">
        <f t="shared" ref="O4:P4" si="7">D4/7</f>
        <v>0.7142857142857143</v>
      </c>
      <c r="P4" s="21">
        <f t="shared" si="7"/>
        <v>0</v>
      </c>
      <c r="Q4" s="17">
        <f t="shared" ref="Q4:Q32" si="8">ROUNDDOWN(N4/(O4+P4),0)</f>
        <v>4</v>
      </c>
      <c r="R4" s="17"/>
      <c r="S4" s="22">
        <v>0.76190476190476097</v>
      </c>
      <c r="T4" s="15">
        <v>141</v>
      </c>
      <c r="U4" s="23">
        <v>30</v>
      </c>
      <c r="V4" s="24" t="s">
        <v>344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0.78935185185185186</v>
      </c>
      <c r="AD4" s="26">
        <f t="shared" ref="AD4:AD32" si="12">IFERROR(AB4*AC4*D4*2,0)</f>
        <v>-3.7888888888888888</v>
      </c>
      <c r="AE4" s="26">
        <v>-11.68</v>
      </c>
      <c r="AF4" s="26">
        <v>-11.612472</v>
      </c>
      <c r="AG4" s="26">
        <v>0</v>
      </c>
    </row>
    <row r="5" spans="1:33" ht="15.75" customHeight="1" x14ac:dyDescent="0.2">
      <c r="A5" s="29" t="s">
        <v>36</v>
      </c>
      <c r="B5" s="29" t="s">
        <v>278</v>
      </c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52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>
        <v>0.32558139534883701</v>
      </c>
      <c r="T5" s="29">
        <v>141</v>
      </c>
      <c r="U5" s="37">
        <v>30</v>
      </c>
      <c r="V5" s="38" t="s">
        <v>345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0.79026651216685984</v>
      </c>
      <c r="AD5" s="40">
        <f t="shared" si="12"/>
        <v>0</v>
      </c>
      <c r="AE5" s="40">
        <v>-11.68</v>
      </c>
      <c r="AF5" s="40">
        <v>-11.612472</v>
      </c>
      <c r="AG5" s="40">
        <v>0</v>
      </c>
    </row>
    <row r="6" spans="1:33" ht="15.75" customHeight="1" x14ac:dyDescent="0.2">
      <c r="A6" s="29" t="s">
        <v>38</v>
      </c>
      <c r="B6" s="29" t="s">
        <v>54</v>
      </c>
      <c r="C6" s="16">
        <f t="shared" si="4"/>
        <v>37.99</v>
      </c>
      <c r="D6" s="30">
        <v>3</v>
      </c>
      <c r="E6" s="30">
        <v>0</v>
      </c>
      <c r="F6" s="31">
        <v>113.97</v>
      </c>
      <c r="G6" s="31">
        <v>0</v>
      </c>
      <c r="H6" s="32">
        <f t="shared" si="1"/>
        <v>0</v>
      </c>
      <c r="I6" s="32">
        <f t="shared" si="2"/>
        <v>0.21693209324091131</v>
      </c>
      <c r="J6" s="33">
        <f t="shared" si="5"/>
        <v>24.72375066666666</v>
      </c>
      <c r="K6" s="33">
        <f t="shared" si="3"/>
        <v>8.2412502222222201</v>
      </c>
      <c r="L6" s="30">
        <v>45</v>
      </c>
      <c r="M6" s="34">
        <f t="shared" si="6"/>
        <v>6.6666666666666666E-2</v>
      </c>
      <c r="N6" s="30">
        <v>51</v>
      </c>
      <c r="O6" s="35">
        <f t="shared" ref="O6:P6" si="14">D6/7</f>
        <v>0.42857142857142855</v>
      </c>
      <c r="P6" s="35">
        <f t="shared" si="14"/>
        <v>0</v>
      </c>
      <c r="Q6" s="30">
        <f t="shared" si="8"/>
        <v>119</v>
      </c>
      <c r="R6" s="30"/>
      <c r="S6" s="36">
        <v>0.28235294117646997</v>
      </c>
      <c r="T6" s="29">
        <v>141</v>
      </c>
      <c r="U6" s="37">
        <v>30</v>
      </c>
      <c r="V6" s="38" t="s">
        <v>345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0.78935185185185186</v>
      </c>
      <c r="AD6" s="40">
        <f t="shared" si="12"/>
        <v>-2.2733333333333334</v>
      </c>
      <c r="AE6" s="40">
        <v>-11.68</v>
      </c>
      <c r="AF6" s="40">
        <v>-11.612472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37.99</v>
      </c>
      <c r="D7" s="30">
        <v>4</v>
      </c>
      <c r="E7" s="30">
        <v>0</v>
      </c>
      <c r="F7" s="31">
        <v>151.96</v>
      </c>
      <c r="G7" s="31">
        <v>0</v>
      </c>
      <c r="H7" s="32">
        <f t="shared" si="1"/>
        <v>0</v>
      </c>
      <c r="I7" s="32">
        <f t="shared" si="2"/>
        <v>0.21693209324091134</v>
      </c>
      <c r="J7" s="33">
        <f t="shared" si="5"/>
        <v>32.965000888888888</v>
      </c>
      <c r="K7" s="33">
        <f t="shared" si="3"/>
        <v>8.2412502222222219</v>
      </c>
      <c r="L7" s="30">
        <v>62</v>
      </c>
      <c r="M7" s="34">
        <f t="shared" si="6"/>
        <v>6.4516129032258063E-2</v>
      </c>
      <c r="N7" s="30">
        <v>44</v>
      </c>
      <c r="O7" s="35">
        <f t="shared" ref="O7:P7" si="15">D7/7</f>
        <v>0.5714285714285714</v>
      </c>
      <c r="P7" s="35">
        <f t="shared" si="15"/>
        <v>0</v>
      </c>
      <c r="Q7" s="30">
        <f t="shared" si="8"/>
        <v>77</v>
      </c>
      <c r="R7" s="30"/>
      <c r="S7" s="36">
        <v>0.64864864864864802</v>
      </c>
      <c r="T7" s="29">
        <v>141</v>
      </c>
      <c r="U7" s="37">
        <v>30</v>
      </c>
      <c r="V7" s="38" t="s">
        <v>345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0.78935185185185186</v>
      </c>
      <c r="AD7" s="40">
        <f t="shared" si="12"/>
        <v>-3.0311111111111111</v>
      </c>
      <c r="AE7" s="40">
        <v>-11.68</v>
      </c>
      <c r="AF7" s="40">
        <v>-11.612472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37.99</v>
      </c>
      <c r="D8" s="30">
        <v>4</v>
      </c>
      <c r="E8" s="30">
        <v>0</v>
      </c>
      <c r="F8" s="31">
        <v>151.96</v>
      </c>
      <c r="G8" s="31">
        <v>0</v>
      </c>
      <c r="H8" s="32">
        <f t="shared" si="1"/>
        <v>0</v>
      </c>
      <c r="I8" s="32">
        <f t="shared" si="2"/>
        <v>0.2169971629961101</v>
      </c>
      <c r="J8" s="33">
        <f t="shared" si="5"/>
        <v>32.974888888888891</v>
      </c>
      <c r="K8" s="33">
        <f t="shared" si="3"/>
        <v>8.2437222222222228</v>
      </c>
      <c r="L8" s="30">
        <v>61</v>
      </c>
      <c r="M8" s="34">
        <f t="shared" si="6"/>
        <v>6.5573770491803282E-2</v>
      </c>
      <c r="N8" s="30">
        <v>41</v>
      </c>
      <c r="O8" s="35">
        <f t="shared" ref="O8:P8" si="16">D8/7</f>
        <v>0.5714285714285714</v>
      </c>
      <c r="P8" s="35">
        <f t="shared" si="16"/>
        <v>0</v>
      </c>
      <c r="Q8" s="30">
        <f t="shared" si="8"/>
        <v>71</v>
      </c>
      <c r="R8" s="30"/>
      <c r="S8" s="36">
        <v>0.97142857142857097</v>
      </c>
      <c r="T8" s="29">
        <v>111</v>
      </c>
      <c r="U8" s="37">
        <v>30</v>
      </c>
      <c r="V8" s="38" t="s">
        <v>346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0.78935185185185186</v>
      </c>
      <c r="AD8" s="40">
        <f t="shared" si="12"/>
        <v>-3.0311111111111111</v>
      </c>
      <c r="AE8" s="40">
        <v>-11.68</v>
      </c>
      <c r="AF8" s="40">
        <v>-11.61</v>
      </c>
      <c r="AG8" s="40">
        <v>0</v>
      </c>
    </row>
    <row r="9" spans="1:33" ht="15.75" customHeight="1" x14ac:dyDescent="0.2">
      <c r="A9" s="29" t="s">
        <v>47</v>
      </c>
      <c r="B9" s="29" t="s">
        <v>347</v>
      </c>
      <c r="C9" s="16">
        <f t="shared" si="4"/>
        <v>37.99</v>
      </c>
      <c r="D9" s="30">
        <v>9</v>
      </c>
      <c r="E9" s="30">
        <v>0</v>
      </c>
      <c r="F9" s="31">
        <v>341.91</v>
      </c>
      <c r="G9" s="31">
        <v>0</v>
      </c>
      <c r="H9" s="32">
        <f t="shared" si="1"/>
        <v>0</v>
      </c>
      <c r="I9" s="32">
        <f t="shared" si="2"/>
        <v>0.20016368050071662</v>
      </c>
      <c r="J9" s="33">
        <f t="shared" si="5"/>
        <v>68.437964000000022</v>
      </c>
      <c r="K9" s="33">
        <f t="shared" si="3"/>
        <v>7.604218222222225</v>
      </c>
      <c r="L9" s="30">
        <v>53</v>
      </c>
      <c r="M9" s="34">
        <f t="shared" si="6"/>
        <v>0.16981132075471697</v>
      </c>
      <c r="N9" s="30">
        <v>33</v>
      </c>
      <c r="O9" s="35">
        <f t="shared" ref="O9:P9" si="17">D9/7</f>
        <v>1.2857142857142858</v>
      </c>
      <c r="P9" s="35">
        <f t="shared" si="17"/>
        <v>0</v>
      </c>
      <c r="Q9" s="30">
        <f t="shared" si="8"/>
        <v>25</v>
      </c>
      <c r="R9" s="30"/>
      <c r="S9" s="36">
        <v>0.82882882882882802</v>
      </c>
      <c r="T9" s="29">
        <v>111</v>
      </c>
      <c r="U9" s="37">
        <v>30</v>
      </c>
      <c r="V9" s="38" t="s">
        <v>348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0.78935185185185186</v>
      </c>
      <c r="AD9" s="40">
        <f t="shared" si="12"/>
        <v>-6.82</v>
      </c>
      <c r="AE9" s="40">
        <v>-11.68</v>
      </c>
      <c r="AF9" s="40">
        <v>-12.249504</v>
      </c>
      <c r="AG9" s="40">
        <v>0</v>
      </c>
    </row>
    <row r="10" spans="1:33" ht="15.75" customHeight="1" x14ac:dyDescent="0.2">
      <c r="A10" s="29" t="s">
        <v>50</v>
      </c>
      <c r="B10" s="29" t="s">
        <v>336</v>
      </c>
      <c r="C10" s="16">
        <f t="shared" si="4"/>
        <v>38.656666666666673</v>
      </c>
      <c r="D10" s="30">
        <v>6</v>
      </c>
      <c r="E10" s="30">
        <v>0</v>
      </c>
      <c r="F10" s="31">
        <v>231.94000000000003</v>
      </c>
      <c r="G10" s="31">
        <v>-0.08</v>
      </c>
      <c r="H10" s="32">
        <f t="shared" si="1"/>
        <v>3.4491678882469601E-4</v>
      </c>
      <c r="I10" s="32">
        <f t="shared" si="2"/>
        <v>0.21102573654105955</v>
      </c>
      <c r="J10" s="33">
        <f t="shared" si="5"/>
        <v>48.945309333333356</v>
      </c>
      <c r="K10" s="33">
        <f t="shared" si="3"/>
        <v>8.1575515555555587</v>
      </c>
      <c r="L10" s="30">
        <v>56</v>
      </c>
      <c r="M10" s="34">
        <f t="shared" si="6"/>
        <v>0.10714285714285714</v>
      </c>
      <c r="N10" s="30">
        <v>28</v>
      </c>
      <c r="O10" s="35">
        <f t="shared" ref="O10:P10" si="18">D10/7</f>
        <v>0.8571428571428571</v>
      </c>
      <c r="P10" s="35">
        <f t="shared" si="18"/>
        <v>0</v>
      </c>
      <c r="Q10" s="30">
        <f t="shared" si="8"/>
        <v>32</v>
      </c>
      <c r="R10" s="30"/>
      <c r="S10" s="36">
        <v>1.1047619047618999</v>
      </c>
      <c r="T10" s="29">
        <v>111</v>
      </c>
      <c r="U10" s="37">
        <v>30</v>
      </c>
      <c r="V10" s="38" t="s">
        <v>349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0.78935185185185186</v>
      </c>
      <c r="AD10" s="40">
        <f t="shared" si="12"/>
        <v>-4.5466666666666669</v>
      </c>
      <c r="AE10" s="40">
        <v>-11.68</v>
      </c>
      <c r="AF10" s="40">
        <v>-12.249504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39.99</v>
      </c>
      <c r="D11" s="30">
        <v>3</v>
      </c>
      <c r="E11" s="30">
        <v>0</v>
      </c>
      <c r="F11" s="31">
        <v>119.97</v>
      </c>
      <c r="G11" s="31">
        <v>0</v>
      </c>
      <c r="H11" s="32">
        <f t="shared" si="1"/>
        <v>0</v>
      </c>
      <c r="I11" s="32">
        <f t="shared" si="2"/>
        <v>0.23266362146092079</v>
      </c>
      <c r="J11" s="33">
        <f t="shared" si="5"/>
        <v>27.912654666666668</v>
      </c>
      <c r="K11" s="33">
        <f t="shared" si="3"/>
        <v>9.3042182222222234</v>
      </c>
      <c r="L11" s="30">
        <v>12</v>
      </c>
      <c r="M11" s="34">
        <f t="shared" si="6"/>
        <v>0.25</v>
      </c>
      <c r="N11" s="30">
        <v>23</v>
      </c>
      <c r="O11" s="35">
        <f t="shared" ref="O11:P11" si="19">D11/7</f>
        <v>0.42857142857142855</v>
      </c>
      <c r="P11" s="35">
        <f t="shared" si="19"/>
        <v>0</v>
      </c>
      <c r="Q11" s="30">
        <f t="shared" si="8"/>
        <v>53</v>
      </c>
      <c r="R11" s="30"/>
      <c r="S11" s="36">
        <v>1.51111111111111</v>
      </c>
      <c r="T11" s="29">
        <v>192</v>
      </c>
      <c r="U11" s="37">
        <v>30</v>
      </c>
      <c r="V11" s="38" t="s">
        <v>350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0.78935185185185186</v>
      </c>
      <c r="AD11" s="40">
        <f t="shared" si="12"/>
        <v>-2.2733333333333334</v>
      </c>
      <c r="AE11" s="40">
        <v>-11.68</v>
      </c>
      <c r="AF11" s="40">
        <v>-12.249504</v>
      </c>
      <c r="AG11" s="40">
        <v>0</v>
      </c>
    </row>
    <row r="12" spans="1:33" ht="15.75" customHeight="1" x14ac:dyDescent="0.2">
      <c r="A12" s="29" t="s">
        <v>56</v>
      </c>
      <c r="B12" s="29" t="s">
        <v>286</v>
      </c>
      <c r="C12" s="16">
        <f t="shared" si="4"/>
        <v>39.99</v>
      </c>
      <c r="D12" s="30">
        <v>4</v>
      </c>
      <c r="E12" s="30">
        <v>0</v>
      </c>
      <c r="F12" s="31">
        <v>159.96</v>
      </c>
      <c r="G12" s="31">
        <v>0</v>
      </c>
      <c r="H12" s="32">
        <f t="shared" si="1"/>
        <v>0</v>
      </c>
      <c r="I12" s="32">
        <f t="shared" si="2"/>
        <v>0.23266362146092082</v>
      </c>
      <c r="J12" s="33">
        <f t="shared" si="5"/>
        <v>37.216872888888894</v>
      </c>
      <c r="K12" s="33">
        <f t="shared" si="3"/>
        <v>9.3042182222222234</v>
      </c>
      <c r="L12" s="30">
        <v>19</v>
      </c>
      <c r="M12" s="34">
        <f t="shared" si="6"/>
        <v>0.21052631578947367</v>
      </c>
      <c r="N12" s="30">
        <v>20</v>
      </c>
      <c r="O12" s="35">
        <f t="shared" ref="O12:P12" si="20">D12/7</f>
        <v>0.5714285714285714</v>
      </c>
      <c r="P12" s="35">
        <f t="shared" si="20"/>
        <v>0</v>
      </c>
      <c r="Q12" s="30">
        <f t="shared" si="8"/>
        <v>35</v>
      </c>
      <c r="R12" s="30"/>
      <c r="S12" s="36">
        <v>1.74117647058823</v>
      </c>
      <c r="T12" s="29">
        <v>192</v>
      </c>
      <c r="U12" s="37">
        <v>30</v>
      </c>
      <c r="V12" s="38" t="s">
        <v>351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0.78935185185185186</v>
      </c>
      <c r="AD12" s="40">
        <f t="shared" si="12"/>
        <v>-3.0311111111111111</v>
      </c>
      <c r="AE12" s="40">
        <v>-11.68</v>
      </c>
      <c r="AF12" s="40">
        <v>-12.249504</v>
      </c>
      <c r="AG12" s="40">
        <v>0</v>
      </c>
    </row>
    <row r="13" spans="1:33" ht="15.75" customHeight="1" x14ac:dyDescent="0.2">
      <c r="A13" s="29" t="s">
        <v>57</v>
      </c>
      <c r="B13" s="29" t="s">
        <v>54</v>
      </c>
      <c r="C13" s="16">
        <f t="shared" si="4"/>
        <v>39.99</v>
      </c>
      <c r="D13" s="30">
        <v>1</v>
      </c>
      <c r="E13" s="30">
        <v>0</v>
      </c>
      <c r="F13" s="33">
        <v>39.99</v>
      </c>
      <c r="G13" s="31">
        <v>0</v>
      </c>
      <c r="H13" s="32">
        <f t="shared" si="1"/>
        <v>0</v>
      </c>
      <c r="I13" s="32">
        <f t="shared" si="2"/>
        <v>0.22427952543691734</v>
      </c>
      <c r="J13" s="33">
        <f t="shared" si="5"/>
        <v>8.9689382222223255</v>
      </c>
      <c r="K13" s="33">
        <f t="shared" si="3"/>
        <v>8.9689382222223255</v>
      </c>
      <c r="L13" s="30">
        <v>15</v>
      </c>
      <c r="M13" s="34">
        <f t="shared" si="6"/>
        <v>6.6666666666666666E-2</v>
      </c>
      <c r="N13" s="30">
        <v>18</v>
      </c>
      <c r="O13" s="35">
        <f t="shared" ref="O13:P13" si="21">D13/7</f>
        <v>0.14285714285714285</v>
      </c>
      <c r="P13" s="35">
        <f t="shared" si="21"/>
        <v>0</v>
      </c>
      <c r="Q13" s="30">
        <f t="shared" si="8"/>
        <v>126</v>
      </c>
      <c r="R13" s="30"/>
      <c r="S13" s="36">
        <v>1.95</v>
      </c>
      <c r="T13" s="29">
        <v>192</v>
      </c>
      <c r="U13" s="37">
        <v>30</v>
      </c>
      <c r="V13" s="38" t="s">
        <v>352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0.78935185185185186</v>
      </c>
      <c r="AD13" s="40">
        <f t="shared" si="12"/>
        <v>-0.75777777777777777</v>
      </c>
      <c r="AE13" s="40">
        <v>-11.68</v>
      </c>
      <c r="AF13" s="40">
        <v>-12.5847839999999</v>
      </c>
      <c r="AG13" s="40">
        <v>0</v>
      </c>
    </row>
    <row r="14" spans="1:33" ht="15.75" customHeight="1" x14ac:dyDescent="0.2">
      <c r="A14" s="29" t="s">
        <v>59</v>
      </c>
      <c r="B14" s="29" t="s">
        <v>54</v>
      </c>
      <c r="C14" s="16">
        <f t="shared" si="4"/>
        <v>41.99</v>
      </c>
      <c r="D14" s="30">
        <v>4</v>
      </c>
      <c r="E14" s="30">
        <v>0</v>
      </c>
      <c r="F14" s="33">
        <v>167.96</v>
      </c>
      <c r="G14" s="31">
        <v>0</v>
      </c>
      <c r="H14" s="32">
        <f t="shared" si="1"/>
        <v>0</v>
      </c>
      <c r="I14" s="32">
        <f t="shared" si="2"/>
        <v>0.25408283453732605</v>
      </c>
      <c r="J14" s="33">
        <f t="shared" si="5"/>
        <v>42.675752888889285</v>
      </c>
      <c r="K14" s="33">
        <f t="shared" si="3"/>
        <v>10.668938222222321</v>
      </c>
      <c r="L14" s="30">
        <v>27</v>
      </c>
      <c r="M14" s="34">
        <f t="shared" si="6"/>
        <v>0.14814814814814814</v>
      </c>
      <c r="N14" s="30">
        <v>45</v>
      </c>
      <c r="O14" s="35">
        <f t="shared" ref="O14:P14" si="22">D14/7</f>
        <v>0.5714285714285714</v>
      </c>
      <c r="P14" s="35">
        <f t="shared" si="22"/>
        <v>0</v>
      </c>
      <c r="Q14" s="30">
        <f t="shared" si="8"/>
        <v>78</v>
      </c>
      <c r="R14" s="30"/>
      <c r="S14" s="36">
        <v>1.2027972027972</v>
      </c>
      <c r="T14" s="29">
        <v>162</v>
      </c>
      <c r="U14" s="37">
        <v>81</v>
      </c>
      <c r="V14" s="38" t="s">
        <v>353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0.78935185185185186</v>
      </c>
      <c r="AD14" s="40">
        <f t="shared" si="12"/>
        <v>-3.0311111111111111</v>
      </c>
      <c r="AE14" s="40">
        <v>-11.68</v>
      </c>
      <c r="AF14" s="40">
        <v>-12.5847839999999</v>
      </c>
      <c r="AG14" s="40">
        <v>0</v>
      </c>
    </row>
    <row r="15" spans="1:33" ht="15.75" customHeight="1" x14ac:dyDescent="0.2">
      <c r="A15" s="29" t="s">
        <v>61</v>
      </c>
      <c r="B15" s="29" t="s">
        <v>314</v>
      </c>
      <c r="C15" s="16">
        <f t="shared" si="4"/>
        <v>41.989999999999995</v>
      </c>
      <c r="D15" s="30">
        <v>8</v>
      </c>
      <c r="E15" s="30">
        <v>0</v>
      </c>
      <c r="F15" s="33">
        <v>335.91999999999996</v>
      </c>
      <c r="G15" s="31">
        <v>0</v>
      </c>
      <c r="H15" s="32">
        <f t="shared" si="1"/>
        <v>0</v>
      </c>
      <c r="I15" s="32">
        <f t="shared" si="2"/>
        <v>0.25408283453732611</v>
      </c>
      <c r="J15" s="33">
        <f t="shared" si="5"/>
        <v>85.35150577777857</v>
      </c>
      <c r="K15" s="33">
        <f t="shared" si="3"/>
        <v>10.668938222222321</v>
      </c>
      <c r="L15" s="30">
        <v>26</v>
      </c>
      <c r="M15" s="34">
        <f t="shared" si="6"/>
        <v>0.30769230769230771</v>
      </c>
      <c r="N15" s="30">
        <v>36</v>
      </c>
      <c r="O15" s="35">
        <f t="shared" ref="O15:P15" si="23">D15/7</f>
        <v>1.1428571428571428</v>
      </c>
      <c r="P15" s="35">
        <f t="shared" si="23"/>
        <v>0</v>
      </c>
      <c r="Q15" s="30">
        <f t="shared" si="8"/>
        <v>31</v>
      </c>
      <c r="R15" s="30"/>
      <c r="S15" s="36">
        <v>1.7435897435897401</v>
      </c>
      <c r="T15" s="29">
        <v>81</v>
      </c>
      <c r="U15" s="37">
        <v>81</v>
      </c>
      <c r="V15" s="38" t="s">
        <v>353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0.78935185185185186</v>
      </c>
      <c r="AD15" s="40">
        <f t="shared" si="12"/>
        <v>-6.0622222222222222</v>
      </c>
      <c r="AE15" s="40">
        <v>-11.68</v>
      </c>
      <c r="AF15" s="40">
        <v>-12.5847839999999</v>
      </c>
      <c r="AG15" s="40">
        <v>0</v>
      </c>
    </row>
    <row r="16" spans="1:33" ht="15.75" customHeight="1" x14ac:dyDescent="0.2">
      <c r="A16" s="29" t="s">
        <v>64</v>
      </c>
      <c r="B16" s="29" t="s">
        <v>354</v>
      </c>
      <c r="C16" s="16">
        <f t="shared" si="4"/>
        <v>44.24</v>
      </c>
      <c r="D16" s="30">
        <v>8</v>
      </c>
      <c r="E16" s="30">
        <v>0</v>
      </c>
      <c r="F16" s="33">
        <v>353.92</v>
      </c>
      <c r="G16" s="31">
        <v>0</v>
      </c>
      <c r="H16" s="32">
        <f t="shared" si="1"/>
        <v>0</v>
      </c>
      <c r="I16" s="32">
        <f t="shared" si="2"/>
        <v>0.28439055656017909</v>
      </c>
      <c r="J16" s="33">
        <f t="shared" si="5"/>
        <v>100.65150577777858</v>
      </c>
      <c r="K16" s="33">
        <f t="shared" si="3"/>
        <v>12.581438222222323</v>
      </c>
      <c r="L16" s="30">
        <v>36</v>
      </c>
      <c r="M16" s="34">
        <f t="shared" si="6"/>
        <v>0.22222222222222221</v>
      </c>
      <c r="N16" s="30">
        <v>30</v>
      </c>
      <c r="O16" s="35">
        <f t="shared" ref="O16:P16" si="24">D16/7</f>
        <v>1.1428571428571428</v>
      </c>
      <c r="P16" s="35">
        <f t="shared" si="24"/>
        <v>0</v>
      </c>
      <c r="Q16" s="30">
        <f t="shared" si="8"/>
        <v>26</v>
      </c>
      <c r="R16" s="30"/>
      <c r="S16" s="36">
        <v>1.9649122807017501</v>
      </c>
      <c r="T16" s="29">
        <v>81</v>
      </c>
      <c r="U16" s="37">
        <v>81</v>
      </c>
      <c r="V16" s="38" t="s">
        <v>355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0.78935185185185186</v>
      </c>
      <c r="AD16" s="40">
        <f t="shared" si="12"/>
        <v>-6.0622222222222222</v>
      </c>
      <c r="AE16" s="40">
        <v>-11.68</v>
      </c>
      <c r="AF16" s="40">
        <v>-12.5847839999999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47.49</v>
      </c>
      <c r="D17" s="30">
        <v>4</v>
      </c>
      <c r="E17" s="30">
        <v>0</v>
      </c>
      <c r="F17" s="33">
        <v>189.96</v>
      </c>
      <c r="G17" s="31">
        <v>0</v>
      </c>
      <c r="H17" s="32">
        <f t="shared" si="1"/>
        <v>0</v>
      </c>
      <c r="I17" s="32">
        <f t="shared" si="2"/>
        <v>0.32309829905711362</v>
      </c>
      <c r="J17" s="33">
        <f t="shared" si="5"/>
        <v>61.375752888889302</v>
      </c>
      <c r="K17" s="33">
        <f t="shared" si="3"/>
        <v>15.343938222222326</v>
      </c>
      <c r="L17" s="30">
        <v>30</v>
      </c>
      <c r="M17" s="34">
        <f t="shared" si="6"/>
        <v>0.13333333333333333</v>
      </c>
      <c r="N17" s="30">
        <v>24</v>
      </c>
      <c r="O17" s="35">
        <f t="shared" ref="O17:P17" si="25">D17/7</f>
        <v>0.5714285714285714</v>
      </c>
      <c r="P17" s="35">
        <f t="shared" si="25"/>
        <v>0</v>
      </c>
      <c r="Q17" s="30">
        <f t="shared" si="8"/>
        <v>42</v>
      </c>
      <c r="R17" s="30"/>
      <c r="S17" s="36">
        <v>2.43298969072164</v>
      </c>
      <c r="T17" s="29">
        <v>81</v>
      </c>
      <c r="U17" s="37">
        <v>81</v>
      </c>
      <c r="V17" s="38" t="s">
        <v>355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0.78935185185185186</v>
      </c>
      <c r="AD17" s="40">
        <f t="shared" si="12"/>
        <v>-3.0311111111111111</v>
      </c>
      <c r="AE17" s="40">
        <v>-11.68</v>
      </c>
      <c r="AF17" s="40">
        <v>-12.5847839999999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47.99</v>
      </c>
      <c r="D18" s="30">
        <v>3</v>
      </c>
      <c r="E18" s="30">
        <v>0</v>
      </c>
      <c r="F18" s="33">
        <v>143.97</v>
      </c>
      <c r="G18" s="31">
        <v>0</v>
      </c>
      <c r="H18" s="32">
        <f t="shared" si="1"/>
        <v>0</v>
      </c>
      <c r="I18" s="32">
        <f t="shared" si="2"/>
        <v>0.3285880021300755</v>
      </c>
      <c r="J18" s="33">
        <f t="shared" si="5"/>
        <v>47.306814666666966</v>
      </c>
      <c r="K18" s="33">
        <f t="shared" si="3"/>
        <v>15.768938222222323</v>
      </c>
      <c r="L18" s="30">
        <v>60</v>
      </c>
      <c r="M18" s="34">
        <f t="shared" si="6"/>
        <v>0.05</v>
      </c>
      <c r="N18" s="30">
        <v>22</v>
      </c>
      <c r="O18" s="35">
        <f t="shared" ref="O18:P18" si="26">D18/7</f>
        <v>0.42857142857142855</v>
      </c>
      <c r="P18" s="35">
        <f t="shared" si="26"/>
        <v>0</v>
      </c>
      <c r="Q18" s="30">
        <f t="shared" si="8"/>
        <v>51</v>
      </c>
      <c r="R18" s="30"/>
      <c r="S18" s="36">
        <v>1.81538461538461</v>
      </c>
      <c r="T18" s="29">
        <v>81</v>
      </c>
      <c r="U18" s="37" t="s">
        <v>34</v>
      </c>
      <c r="V18" s="38" t="s">
        <v>356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0.78935185185185186</v>
      </c>
      <c r="AD18" s="40">
        <f t="shared" si="12"/>
        <v>-2.2733333333333334</v>
      </c>
      <c r="AE18" s="40">
        <v>-11.68</v>
      </c>
      <c r="AF18" s="40">
        <v>-12.5847839999999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47.99</v>
      </c>
      <c r="D19" s="30">
        <v>6</v>
      </c>
      <c r="E19" s="30">
        <v>0</v>
      </c>
      <c r="F19" s="33">
        <v>287.94</v>
      </c>
      <c r="G19" s="31">
        <v>-0.08</v>
      </c>
      <c r="H19" s="32">
        <f t="shared" si="1"/>
        <v>2.7783566020698759E-4</v>
      </c>
      <c r="I19" s="32">
        <f t="shared" si="2"/>
        <v>0.32831016646986638</v>
      </c>
      <c r="J19" s="33">
        <f t="shared" si="5"/>
        <v>94.533629333333323</v>
      </c>
      <c r="K19" s="33">
        <f t="shared" si="3"/>
        <v>15.755604888888888</v>
      </c>
      <c r="L19" s="30">
        <v>44</v>
      </c>
      <c r="M19" s="34">
        <f t="shared" si="6"/>
        <v>0.13636363636363635</v>
      </c>
      <c r="N19" s="30">
        <v>98</v>
      </c>
      <c r="O19" s="35">
        <f t="shared" ref="O19:P19" si="27">D19/7</f>
        <v>0.8571428571428571</v>
      </c>
      <c r="P19" s="35">
        <f t="shared" si="27"/>
        <v>0</v>
      </c>
      <c r="Q19" s="30">
        <f t="shared" si="8"/>
        <v>114</v>
      </c>
      <c r="R19" s="30"/>
      <c r="S19" s="36">
        <v>1.1101321585902999</v>
      </c>
      <c r="T19" s="29">
        <v>168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0.78935185185185186</v>
      </c>
      <c r="AD19" s="40">
        <f t="shared" si="12"/>
        <v>-4.5466666666666669</v>
      </c>
      <c r="AE19" s="40">
        <v>-11.68</v>
      </c>
      <c r="AF19" s="40">
        <v>-12.584783999999999</v>
      </c>
      <c r="AG19" s="40">
        <v>0</v>
      </c>
    </row>
    <row r="20" spans="1:33" ht="15.75" customHeight="1" x14ac:dyDescent="0.2">
      <c r="A20" s="29" t="s">
        <v>74</v>
      </c>
      <c r="B20" s="29" t="s">
        <v>54</v>
      </c>
      <c r="C20" s="16">
        <f t="shared" si="4"/>
        <v>48.164545454545447</v>
      </c>
      <c r="D20" s="30">
        <v>11</v>
      </c>
      <c r="E20" s="30">
        <v>0</v>
      </c>
      <c r="F20" s="33">
        <v>529.80999999999995</v>
      </c>
      <c r="G20" s="31">
        <v>-0.08</v>
      </c>
      <c r="H20" s="32">
        <f t="shared" si="1"/>
        <v>1.5099752741548858E-4</v>
      </c>
      <c r="I20" s="32">
        <f t="shared" si="2"/>
        <v>0.33032657074129307</v>
      </c>
      <c r="J20" s="33">
        <f t="shared" si="5"/>
        <v>175.01032044444446</v>
      </c>
      <c r="K20" s="33">
        <f t="shared" si="3"/>
        <v>15.910029131313133</v>
      </c>
      <c r="L20" s="30">
        <v>66</v>
      </c>
      <c r="M20" s="34">
        <f t="shared" si="6"/>
        <v>0.16666666666666666</v>
      </c>
      <c r="N20" s="30">
        <v>89</v>
      </c>
      <c r="O20" s="35">
        <f t="shared" ref="O20:P20" si="28">D20/7</f>
        <v>1.5714285714285714</v>
      </c>
      <c r="P20" s="35">
        <f t="shared" si="28"/>
        <v>0</v>
      </c>
      <c r="Q20" s="30">
        <f t="shared" si="8"/>
        <v>56</v>
      </c>
      <c r="R20" s="30"/>
      <c r="S20" s="36">
        <v>1.22167487684729</v>
      </c>
      <c r="T20" s="29">
        <v>168</v>
      </c>
      <c r="U20" s="37" t="s">
        <v>34</v>
      </c>
      <c r="V20" s="38" t="s">
        <v>34</v>
      </c>
      <c r="W20" s="29">
        <v>1</v>
      </c>
      <c r="X20" s="39">
        <f t="shared" si="9"/>
        <v>9.0909090909090912E-2</v>
      </c>
      <c r="Y20" s="40">
        <f t="shared" si="10"/>
        <v>0.08</v>
      </c>
      <c r="Z20" s="29">
        <v>0</v>
      </c>
      <c r="AA20" s="29" t="s">
        <v>163</v>
      </c>
      <c r="AB20" s="41">
        <f t="shared" si="11"/>
        <v>-0.48</v>
      </c>
      <c r="AC20" s="42">
        <v>0.78935185185185186</v>
      </c>
      <c r="AD20" s="40">
        <f t="shared" si="12"/>
        <v>-8.3355555555555547</v>
      </c>
      <c r="AE20" s="40">
        <v>-11.68</v>
      </c>
      <c r="AF20" s="40">
        <v>-12.584783999999999</v>
      </c>
      <c r="AG20" s="40">
        <v>0</v>
      </c>
    </row>
    <row r="21" spans="1:33" ht="15.75" customHeight="1" x14ac:dyDescent="0.2">
      <c r="A21" s="29" t="s">
        <v>75</v>
      </c>
      <c r="B21" s="29" t="s">
        <v>357</v>
      </c>
      <c r="C21" s="16">
        <f t="shared" si="4"/>
        <v>49.201333333333331</v>
      </c>
      <c r="D21" s="30">
        <v>15</v>
      </c>
      <c r="E21" s="30">
        <v>0</v>
      </c>
      <c r="F21" s="33">
        <v>738.02</v>
      </c>
      <c r="G21" s="31">
        <v>-0.16</v>
      </c>
      <c r="H21" s="32">
        <f t="shared" si="1"/>
        <v>2.1679629278339343E-4</v>
      </c>
      <c r="I21" s="32">
        <f t="shared" si="2"/>
        <v>0.34120833220418606</v>
      </c>
      <c r="J21" s="33">
        <f t="shared" si="5"/>
        <v>251.8185733333334</v>
      </c>
      <c r="K21" s="33">
        <f t="shared" si="3"/>
        <v>16.787904888888892</v>
      </c>
      <c r="L21" s="30">
        <v>45</v>
      </c>
      <c r="M21" s="34">
        <f t="shared" si="6"/>
        <v>0.33333333333333331</v>
      </c>
      <c r="N21" s="30">
        <v>47</v>
      </c>
      <c r="O21" s="35">
        <f t="shared" ref="O21:P21" si="29">D21/7</f>
        <v>2.1428571428571428</v>
      </c>
      <c r="P21" s="35">
        <f t="shared" si="29"/>
        <v>0</v>
      </c>
      <c r="Q21" s="30">
        <f t="shared" si="8"/>
        <v>21</v>
      </c>
      <c r="R21" s="30"/>
      <c r="S21" s="36">
        <v>2.0689655172413701</v>
      </c>
      <c r="T21" s="29">
        <v>168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0.78935185185185186</v>
      </c>
      <c r="AD21" s="40">
        <f t="shared" si="12"/>
        <v>-11.366666666666667</v>
      </c>
      <c r="AE21" s="40">
        <v>-11.68</v>
      </c>
      <c r="AF21" s="40">
        <v>-12.584783999999999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51.449999999999996</v>
      </c>
      <c r="D22" s="30">
        <v>7</v>
      </c>
      <c r="E22" s="30">
        <v>0</v>
      </c>
      <c r="F22" s="31">
        <v>360.15</v>
      </c>
      <c r="G22" s="31">
        <v>0</v>
      </c>
      <c r="H22" s="32">
        <f t="shared" si="1"/>
        <v>0</v>
      </c>
      <c r="I22" s="32">
        <f t="shared" si="2"/>
        <v>0.36365283230752626</v>
      </c>
      <c r="J22" s="33">
        <f t="shared" si="5"/>
        <v>130.96956755555559</v>
      </c>
      <c r="K22" s="33">
        <f t="shared" si="3"/>
        <v>18.709938222222227</v>
      </c>
      <c r="L22" s="30">
        <v>80</v>
      </c>
      <c r="M22" s="34">
        <f t="shared" si="6"/>
        <v>8.7499999999999994E-2</v>
      </c>
      <c r="N22" s="30">
        <v>55</v>
      </c>
      <c r="O22" s="35">
        <f t="shared" ref="O22:P22" si="30">D22/7</f>
        <v>1</v>
      </c>
      <c r="P22" s="35">
        <f t="shared" si="30"/>
        <v>0</v>
      </c>
      <c r="Q22" s="30">
        <f t="shared" si="8"/>
        <v>55</v>
      </c>
      <c r="R22" s="30"/>
      <c r="S22" s="36">
        <v>2.24113475177304</v>
      </c>
      <c r="T22" s="29">
        <v>168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0.78935185185185186</v>
      </c>
      <c r="AD22" s="40">
        <f t="shared" si="12"/>
        <v>-5.3044444444444441</v>
      </c>
      <c r="AE22" s="40">
        <v>-11.68</v>
      </c>
      <c r="AF22" s="40">
        <v>-12.584783999999999</v>
      </c>
      <c r="AG22" s="40">
        <v>0</v>
      </c>
    </row>
    <row r="23" spans="1:33" ht="15.75" customHeight="1" x14ac:dyDescent="0.2">
      <c r="A23" s="29" t="s">
        <v>77</v>
      </c>
      <c r="B23" s="29" t="s">
        <v>358</v>
      </c>
      <c r="C23" s="16">
        <f t="shared" si="4"/>
        <v>52.013999999999996</v>
      </c>
      <c r="D23" s="30">
        <v>10</v>
      </c>
      <c r="E23" s="30">
        <v>0</v>
      </c>
      <c r="F23" s="33">
        <v>520.14</v>
      </c>
      <c r="G23" s="31">
        <v>0</v>
      </c>
      <c r="H23" s="32">
        <f t="shared" si="1"/>
        <v>0</v>
      </c>
      <c r="I23" s="32">
        <f t="shared" si="2"/>
        <v>0.36892640870193066</v>
      </c>
      <c r="J23" s="33">
        <f t="shared" si="5"/>
        <v>191.89338222222221</v>
      </c>
      <c r="K23" s="33">
        <f t="shared" si="3"/>
        <v>19.189338222222222</v>
      </c>
      <c r="L23" s="30">
        <v>78</v>
      </c>
      <c r="M23" s="34">
        <f t="shared" si="6"/>
        <v>0.12820512820512819</v>
      </c>
      <c r="N23" s="30">
        <v>54</v>
      </c>
      <c r="O23" s="35">
        <f t="shared" ref="O23:P23" si="31">D23/7</f>
        <v>1.4285714285714286</v>
      </c>
      <c r="P23" s="35">
        <f t="shared" si="31"/>
        <v>0</v>
      </c>
      <c r="Q23" s="30">
        <f t="shared" si="8"/>
        <v>37</v>
      </c>
      <c r="R23" s="30"/>
      <c r="S23" s="36">
        <v>1.3941908713692901</v>
      </c>
      <c r="T23" s="29">
        <v>168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0.78935185185185186</v>
      </c>
      <c r="AD23" s="40">
        <f t="shared" si="12"/>
        <v>-7.5777777777777775</v>
      </c>
      <c r="AE23" s="40">
        <v>-11.68</v>
      </c>
      <c r="AF23" s="40">
        <v>-12.584783999999999</v>
      </c>
      <c r="AG23" s="40">
        <v>0</v>
      </c>
    </row>
    <row r="24" spans="1:33" ht="15.75" customHeight="1" x14ac:dyDescent="0.2">
      <c r="A24" s="29" t="s">
        <v>79</v>
      </c>
      <c r="B24" s="29" t="s">
        <v>359</v>
      </c>
      <c r="C24" s="16">
        <f t="shared" si="4"/>
        <v>51.726666666666667</v>
      </c>
      <c r="D24" s="30">
        <v>3</v>
      </c>
      <c r="E24" s="30">
        <v>0</v>
      </c>
      <c r="F24" s="33">
        <v>155.18</v>
      </c>
      <c r="G24" s="33">
        <v>-0.08</v>
      </c>
      <c r="H24" s="32">
        <f t="shared" si="1"/>
        <v>5.1553035184946508E-4</v>
      </c>
      <c r="I24" s="32">
        <f t="shared" si="2"/>
        <v>0.36573859174292206</v>
      </c>
      <c r="J24" s="33">
        <f t="shared" si="5"/>
        <v>56.755314666666649</v>
      </c>
      <c r="K24" s="33">
        <f t="shared" si="3"/>
        <v>18.918438222222218</v>
      </c>
      <c r="L24" s="30">
        <v>62</v>
      </c>
      <c r="M24" s="34">
        <f t="shared" si="6"/>
        <v>4.8387096774193547E-2</v>
      </c>
      <c r="N24" s="30">
        <v>47</v>
      </c>
      <c r="O24" s="35">
        <f t="shared" ref="O24:P24" si="32">D24/7</f>
        <v>0.42857142857142855</v>
      </c>
      <c r="P24" s="35">
        <f t="shared" si="32"/>
        <v>0</v>
      </c>
      <c r="Q24" s="30">
        <f t="shared" si="8"/>
        <v>109</v>
      </c>
      <c r="R24" s="30"/>
      <c r="S24" s="36">
        <v>1.4909090909090901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Summary!A1:AD5000""),9,FALSE),"""")"),168)</f>
        <v>168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0.78935185185185186</v>
      </c>
      <c r="AD24" s="40">
        <f t="shared" si="12"/>
        <v>-2.2733333333333334</v>
      </c>
      <c r="AE24" s="40">
        <v>-11.68</v>
      </c>
      <c r="AF24" s="40">
        <v>-12.584783999999999</v>
      </c>
      <c r="AG24" s="40">
        <v>0</v>
      </c>
    </row>
    <row r="25" spans="1:33" ht="15.75" customHeight="1" x14ac:dyDescent="0.2">
      <c r="A25" s="15" t="s">
        <v>81</v>
      </c>
      <c r="B25" s="15" t="s">
        <v>54</v>
      </c>
      <c r="C25" s="16">
        <f t="shared" si="4"/>
        <v>47.989999999999995</v>
      </c>
      <c r="D25" s="17">
        <v>5</v>
      </c>
      <c r="E25" s="17">
        <v>0</v>
      </c>
      <c r="F25" s="18">
        <v>239.95</v>
      </c>
      <c r="G25" s="18">
        <v>0</v>
      </c>
      <c r="H25" s="32">
        <f t="shared" si="1"/>
        <v>0</v>
      </c>
      <c r="I25" s="32">
        <f t="shared" si="2"/>
        <v>0.32868768956495553</v>
      </c>
      <c r="J25" s="33">
        <f t="shared" si="5"/>
        <v>78.868611111111079</v>
      </c>
      <c r="K25" s="33">
        <f t="shared" si="3"/>
        <v>15.773722222222215</v>
      </c>
      <c r="L25" s="17">
        <v>56</v>
      </c>
      <c r="M25" s="34">
        <f t="shared" si="6"/>
        <v>8.9285714285714288E-2</v>
      </c>
      <c r="N25" s="17">
        <v>41</v>
      </c>
      <c r="O25" s="35">
        <f t="shared" ref="O25:P25" si="33">D25/7</f>
        <v>0.7142857142857143</v>
      </c>
      <c r="P25" s="35">
        <f t="shared" si="33"/>
        <v>0</v>
      </c>
      <c r="Q25" s="30">
        <f t="shared" si="8"/>
        <v>57</v>
      </c>
      <c r="R25" s="30"/>
      <c r="S25" s="36">
        <v>1.4909090909090901</v>
      </c>
      <c r="T25" s="29">
        <v>168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0.78935185185185186</v>
      </c>
      <c r="AD25" s="40">
        <f t="shared" si="12"/>
        <v>-3.7888888888888888</v>
      </c>
      <c r="AE25" s="26">
        <v>-11.68</v>
      </c>
      <c r="AF25" s="26">
        <v>-12.58</v>
      </c>
      <c r="AG25" s="26">
        <v>0</v>
      </c>
    </row>
    <row r="26" spans="1:33" ht="15.75" customHeight="1" x14ac:dyDescent="0.2">
      <c r="A26" s="15" t="s">
        <v>83</v>
      </c>
      <c r="B26" s="15" t="s">
        <v>54</v>
      </c>
      <c r="C26" s="16">
        <f t="shared" si="4"/>
        <v>48.03</v>
      </c>
      <c r="D26" s="17">
        <v>17</v>
      </c>
      <c r="E26" s="17">
        <v>0</v>
      </c>
      <c r="F26" s="18">
        <v>816.51</v>
      </c>
      <c r="G26" s="18">
        <v>-0.24</v>
      </c>
      <c r="H26" s="32">
        <f t="shared" si="1"/>
        <v>2.9393393834735643E-4</v>
      </c>
      <c r="I26" s="32">
        <f t="shared" si="2"/>
        <v>0.32040017853765357</v>
      </c>
      <c r="J26" s="33">
        <f t="shared" si="5"/>
        <v>261.60994977777949</v>
      </c>
      <c r="K26" s="33">
        <f t="shared" si="3"/>
        <v>15.3888205751635</v>
      </c>
      <c r="L26" s="17">
        <v>79</v>
      </c>
      <c r="M26" s="34">
        <f t="shared" si="6"/>
        <v>0.21518987341772153</v>
      </c>
      <c r="N26" s="17">
        <v>28</v>
      </c>
      <c r="O26" s="35">
        <f t="shared" ref="O26:P26" si="34">D26/7</f>
        <v>2.4285714285714284</v>
      </c>
      <c r="P26" s="35">
        <f t="shared" si="34"/>
        <v>0</v>
      </c>
      <c r="Q26" s="30">
        <f t="shared" si="8"/>
        <v>11</v>
      </c>
      <c r="R26" s="30"/>
      <c r="S26" s="22">
        <v>2.3947368421052628</v>
      </c>
      <c r="T26" s="29">
        <v>168</v>
      </c>
      <c r="U26" s="37" t="s">
        <v>34</v>
      </c>
      <c r="V26" s="38" t="s">
        <v>34</v>
      </c>
      <c r="W26" s="15">
        <v>1</v>
      </c>
      <c r="X26" s="39">
        <f t="shared" si="9"/>
        <v>5.8823529411764705E-2</v>
      </c>
      <c r="Y26" s="40">
        <f t="shared" si="10"/>
        <v>0.24</v>
      </c>
      <c r="Z26" s="15">
        <v>0</v>
      </c>
      <c r="AA26" s="29" t="s">
        <v>163</v>
      </c>
      <c r="AB26" s="41">
        <f t="shared" si="11"/>
        <v>-0.48</v>
      </c>
      <c r="AC26" s="42">
        <v>0.78935185185185186</v>
      </c>
      <c r="AD26" s="40">
        <f t="shared" si="12"/>
        <v>-12.882222222222222</v>
      </c>
      <c r="AE26" s="26">
        <v>-12.08</v>
      </c>
      <c r="AF26" s="26">
        <v>-12.5847839999999</v>
      </c>
      <c r="AG26" s="26">
        <v>0</v>
      </c>
    </row>
    <row r="27" spans="1:33" ht="15.75" customHeight="1" x14ac:dyDescent="0.2">
      <c r="A27" s="15" t="s">
        <v>84</v>
      </c>
      <c r="B27" s="15" t="s">
        <v>172</v>
      </c>
      <c r="C27" s="16">
        <f t="shared" si="4"/>
        <v>47.079130434782606</v>
      </c>
      <c r="D27" s="17">
        <v>23</v>
      </c>
      <c r="E27" s="17">
        <v>0</v>
      </c>
      <c r="F27" s="18">
        <v>1082.82</v>
      </c>
      <c r="G27" s="18">
        <v>-0.1</v>
      </c>
      <c r="H27" s="32">
        <f t="shared" si="1"/>
        <v>9.2351452688350805E-5</v>
      </c>
      <c r="I27" s="32">
        <f t="shared" si="2"/>
        <v>0.30991123096277629</v>
      </c>
      <c r="J27" s="33">
        <f t="shared" si="5"/>
        <v>335.57807911111337</v>
      </c>
      <c r="K27" s="33">
        <f t="shared" si="3"/>
        <v>14.590351265700582</v>
      </c>
      <c r="L27" s="17">
        <v>88</v>
      </c>
      <c r="M27" s="34">
        <f t="shared" si="6"/>
        <v>0.26136363636363635</v>
      </c>
      <c r="N27" s="17">
        <v>3</v>
      </c>
      <c r="O27" s="35">
        <f t="shared" ref="O27:P27" si="35">D27/7</f>
        <v>3.2857142857142856</v>
      </c>
      <c r="P27" s="35">
        <f t="shared" si="35"/>
        <v>0</v>
      </c>
      <c r="Q27" s="30">
        <f t="shared" si="8"/>
        <v>0</v>
      </c>
      <c r="R27" s="30"/>
      <c r="S27" s="22">
        <v>2.0814479638009051</v>
      </c>
      <c r="T27" s="29">
        <v>168</v>
      </c>
      <c r="U27" s="37" t="s">
        <v>34</v>
      </c>
      <c r="V27" s="38" t="s">
        <v>34</v>
      </c>
      <c r="W27" s="15">
        <v>1</v>
      </c>
      <c r="X27" s="39">
        <f t="shared" si="9"/>
        <v>4.3478260869565216E-2</v>
      </c>
      <c r="Y27" s="40">
        <f t="shared" si="10"/>
        <v>0.1</v>
      </c>
      <c r="Z27" s="15">
        <v>0</v>
      </c>
      <c r="AA27" s="29" t="s">
        <v>163</v>
      </c>
      <c r="AB27" s="41">
        <f t="shared" si="11"/>
        <v>-0.48</v>
      </c>
      <c r="AC27" s="42">
        <v>0.78935185185185186</v>
      </c>
      <c r="AD27" s="40">
        <f t="shared" si="12"/>
        <v>-17.428888888888888</v>
      </c>
      <c r="AE27" s="26">
        <v>-12.08</v>
      </c>
      <c r="AF27" s="26">
        <v>-12.5847839999999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1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2.187192118226601</v>
      </c>
      <c r="T28" s="15" t="s">
        <v>34</v>
      </c>
      <c r="U28" s="23">
        <v>88</v>
      </c>
      <c r="V28" s="1" t="s">
        <v>360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0.78935185185185186</v>
      </c>
      <c r="AD28" s="40">
        <f t="shared" si="12"/>
        <v>0</v>
      </c>
      <c r="AE28" s="26">
        <v>-12.08</v>
      </c>
      <c r="AF28" s="26">
        <v>-12.5847839999999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1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88</v>
      </c>
      <c r="V29" s="1" t="s">
        <v>361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0.78935185185185186</v>
      </c>
      <c r="AD29" s="40">
        <f t="shared" si="12"/>
        <v>0</v>
      </c>
      <c r="AE29" s="26">
        <v>-12.08</v>
      </c>
      <c r="AF29" s="26">
        <v>-12.5847839999999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1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88</v>
      </c>
      <c r="V30" s="1" t="s">
        <v>362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0.78935185185185186</v>
      </c>
      <c r="AD30" s="40">
        <f t="shared" si="12"/>
        <v>0</v>
      </c>
      <c r="AE30" s="26">
        <v>-12.08</v>
      </c>
      <c r="AF30" s="26">
        <v>-14.254780151999899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1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80</v>
      </c>
      <c r="U31" s="23">
        <v>88</v>
      </c>
      <c r="V31" s="1" t="s">
        <v>363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0.78935185185185186</v>
      </c>
      <c r="AD31" s="40">
        <f t="shared" si="12"/>
        <v>0</v>
      </c>
      <c r="AE31" s="26">
        <v>-12.08</v>
      </c>
      <c r="AF31" s="43">
        <v>-14.254780151999999</v>
      </c>
      <c r="AG31" s="26">
        <v>0</v>
      </c>
    </row>
    <row r="32" spans="1:33" ht="15.75" customHeight="1" x14ac:dyDescent="0.2">
      <c r="A32" s="15" t="s">
        <v>96</v>
      </c>
      <c r="B32" s="15" t="s">
        <v>172</v>
      </c>
      <c r="C32" s="16">
        <f t="shared" si="4"/>
        <v>47.99</v>
      </c>
      <c r="D32" s="17">
        <v>1</v>
      </c>
      <c r="E32" s="17">
        <v>0</v>
      </c>
      <c r="F32" s="18">
        <v>47.99</v>
      </c>
      <c r="G32" s="18">
        <v>0</v>
      </c>
      <c r="H32" s="32">
        <f t="shared" si="1"/>
        <v>0</v>
      </c>
      <c r="I32" s="32">
        <f t="shared" si="2"/>
        <v>0.28545409606631217</v>
      </c>
      <c r="J32" s="33">
        <f t="shared" si="5"/>
        <v>13.698942070222323</v>
      </c>
      <c r="K32" s="33">
        <f t="shared" si="3"/>
        <v>13.698942070222323</v>
      </c>
      <c r="L32" s="17">
        <v>2</v>
      </c>
      <c r="M32" s="34">
        <f t="shared" si="6"/>
        <v>0.5</v>
      </c>
      <c r="N32" s="17">
        <v>1</v>
      </c>
      <c r="O32" s="35">
        <f t="shared" ref="O32:P32" si="40">D32/7</f>
        <v>0.14285714285714285</v>
      </c>
      <c r="P32" s="35">
        <f t="shared" si="40"/>
        <v>0</v>
      </c>
      <c r="Q32" s="30">
        <f t="shared" si="8"/>
        <v>7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IFERROR(__xludf.DUMMYFUNCTION("IFERROR(VLOOKUP($B$2,IMPORTRANGE(""https://docs.google.com/spreadsheets/d/1KiWZV1ko8G7lnRucBRBd29jj3Be6ltMfljMDqzOkQmI/edit#gid=1381463014"",""Lookup!A:D""),4,FALSE),"""")"),80)</f>
        <v>80</v>
      </c>
      <c r="U32" s="23">
        <f ca="1">IFERROR(__xludf.DUMMYFUNCTION("IFERROR(VLOOKUP($B$2,IMPORTRANGE(""https://docs.google.com/spreadsheets/d/1KiWZV1ko8G7lnRucBRBd29jj3Be6ltMfljMDqzOkQmI/edit#gid=1381463014"",""Lookup!A:D""),3,FALSE),"""")"),0)</f>
        <v>0</v>
      </c>
      <c r="V32" s="1" t="str">
        <f ca="1">IFERROR(__xludf.DUMMYFUNCTION("IFERROR(VLOOKUP($B$2,IMPORTRANGE(""https://docs.google.com/spreadsheets/d/1KiWZV1ko8G7lnRucBRBd29jj3Be6ltMfljMDqzOkQmI/edit#gid=1381463014"",""Lookup!A:D""),2,FALSE),"""")"),"| AGL256  - 88 units 09/17")</f>
        <v>| AGL256  - 88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0.78935185185185186</v>
      </c>
      <c r="AD32" s="40">
        <f t="shared" si="12"/>
        <v>-0.75777777777777777</v>
      </c>
      <c r="AE32" s="26">
        <v>-12.08</v>
      </c>
      <c r="AF32" s="26">
        <v>-14.254780151999899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4.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35.832031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Magnetic Sidewalk Chalkboard – Sturdy Freestanding White Sandwich Board Menu Display for Restaurant, Business Or Wedding")</f>
        <v>Wooden A-Frame Sign with Eraser &amp; Chalk - Magnetic Sidewalk Chalkboard – Sturdy Freestanding White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Info!B1:BJ5000""),2,FALSE),"""")"),"B07K8SNLC8")</f>
        <v>B07K8SNLC8</v>
      </c>
      <c r="B2" s="3" t="s">
        <v>364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09.5" customHeight="1" x14ac:dyDescent="0.2">
      <c r="A3" s="57" t="s">
        <v>31</v>
      </c>
      <c r="B3" s="58"/>
      <c r="C3" s="4">
        <f>((AE32+AF32)/0.85)*-1</f>
        <v>31.852682531764589</v>
      </c>
      <c r="D3" s="5">
        <f>SUM(D4:D99519)</f>
        <v>130</v>
      </c>
      <c r="E3" s="5"/>
      <c r="F3" s="6">
        <f t="shared" ref="F3:G3" si="0">SUM(F4:F99519)</f>
        <v>5637.73</v>
      </c>
      <c r="G3" s="6">
        <f t="shared" si="0"/>
        <v>-0.45000000000000007</v>
      </c>
      <c r="H3" s="7">
        <f t="shared" ref="H3:H32" si="1">G3/F3*-1</f>
        <v>7.9819359919683998E-5</v>
      </c>
      <c r="I3" s="8">
        <f t="shared" ref="I3:I32" si="2">J3/F3</f>
        <v>0.24736503270802895</v>
      </c>
      <c r="J3" s="6">
        <f>SUM(J4:J99519)</f>
        <v>1394.5772658490359</v>
      </c>
      <c r="K3" s="6">
        <f t="shared" ref="K3:K32" si="3">J3/D3</f>
        <v>10.727517429607969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Sheet!a1:g5000""),2,FALSE),"""")"),"1 - March
1 - April
2 - May
3 - June
3 - July
3 - Aug
3 - Sept
0.1 - Oct
0.1 - Nov
0.1 - Dec
0.5 - Jan
0.5 - Feb")</f>
        <v>1 - March
1 - April
2 - May
3 - June
3 - July
3 - Aug
3 - Sept
0.1 - Oct
0.1 - Nov
0.1 - Dec
0.5 - Jan
0.5 -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-121.26957399897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Info!B2:BZ3000""),37,FALSE)),"""")*-1"),-14.2547801519999)</f>
        <v>-14.254780151999899</v>
      </c>
      <c r="AG3" s="6">
        <f>SUM(AG4:AG99519)</f>
        <v>0</v>
      </c>
    </row>
    <row r="4" spans="1:33" ht="16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102</v>
      </c>
      <c r="U4" s="23">
        <v>40</v>
      </c>
      <c r="V4" s="24" t="s">
        <v>365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-11.612472</v>
      </c>
      <c r="AG4" s="26">
        <v>0</v>
      </c>
    </row>
    <row r="5" spans="1:33" ht="15.75" customHeight="1" x14ac:dyDescent="0.2">
      <c r="A5" s="29" t="s">
        <v>36</v>
      </c>
      <c r="B5" s="29" t="s">
        <v>278</v>
      </c>
      <c r="C5" s="16">
        <f t="shared" si="4"/>
        <v>39.99</v>
      </c>
      <c r="D5" s="30">
        <v>2</v>
      </c>
      <c r="E5" s="30">
        <v>0</v>
      </c>
      <c r="F5" s="31">
        <v>79.98</v>
      </c>
      <c r="G5" s="31">
        <v>-0.02</v>
      </c>
      <c r="H5" s="32">
        <f t="shared" si="1"/>
        <v>2.500625156289072E-4</v>
      </c>
      <c r="I5" s="32">
        <f t="shared" si="2"/>
        <v>0.21488023118178159</v>
      </c>
      <c r="J5" s="33">
        <f t="shared" si="5"/>
        <v>17.186120889918893</v>
      </c>
      <c r="K5" s="33">
        <f t="shared" si="3"/>
        <v>8.5930604449594465</v>
      </c>
      <c r="L5" s="30">
        <v>28</v>
      </c>
      <c r="M5" s="34">
        <f t="shared" si="6"/>
        <v>7.1428571428571425E-2</v>
      </c>
      <c r="N5" s="30">
        <v>48</v>
      </c>
      <c r="O5" s="35">
        <f t="shared" ref="O5:P5" si="13">D5/7</f>
        <v>0.2857142857142857</v>
      </c>
      <c r="P5" s="35">
        <f t="shared" si="13"/>
        <v>0</v>
      </c>
      <c r="Q5" s="30">
        <f t="shared" si="8"/>
        <v>168</v>
      </c>
      <c r="R5" s="30"/>
      <c r="S5" s="36">
        <v>7.2727272727272696E-2</v>
      </c>
      <c r="T5" s="29">
        <v>102</v>
      </c>
      <c r="U5" s="37">
        <v>40</v>
      </c>
      <c r="V5" s="38" t="s">
        <v>366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0.9957995365005794</v>
      </c>
      <c r="AD5" s="40">
        <f t="shared" si="12"/>
        <v>-1.9119351100811124</v>
      </c>
      <c r="AE5" s="40">
        <v>-12.82</v>
      </c>
      <c r="AF5" s="40">
        <v>-11.612472</v>
      </c>
      <c r="AG5" s="40">
        <v>0</v>
      </c>
    </row>
    <row r="6" spans="1:33" ht="15.75" customHeight="1" x14ac:dyDescent="0.2">
      <c r="A6" s="29" t="s">
        <v>38</v>
      </c>
      <c r="B6" s="29" t="s">
        <v>54</v>
      </c>
      <c r="C6" s="16">
        <f t="shared" si="4"/>
        <v>38.275714285714287</v>
      </c>
      <c r="D6" s="30">
        <v>7</v>
      </c>
      <c r="E6" s="30">
        <v>0</v>
      </c>
      <c r="F6" s="31">
        <v>267.93</v>
      </c>
      <c r="G6" s="31">
        <v>0</v>
      </c>
      <c r="H6" s="32">
        <f t="shared" si="1"/>
        <v>0</v>
      </c>
      <c r="I6" s="32">
        <f t="shared" si="2"/>
        <v>0.18672477222491771</v>
      </c>
      <c r="J6" s="33">
        <f t="shared" si="5"/>
        <v>50.029168222222204</v>
      </c>
      <c r="K6" s="33">
        <f t="shared" si="3"/>
        <v>7.147024031746029</v>
      </c>
      <c r="L6" s="30">
        <v>48</v>
      </c>
      <c r="M6" s="34">
        <f t="shared" si="6"/>
        <v>0.14583333333333334</v>
      </c>
      <c r="N6" s="30">
        <v>42</v>
      </c>
      <c r="O6" s="35">
        <f t="shared" ref="O6:P6" si="14">D6/7</f>
        <v>1</v>
      </c>
      <c r="P6" s="35">
        <f t="shared" si="14"/>
        <v>0</v>
      </c>
      <c r="Q6" s="30">
        <f t="shared" si="8"/>
        <v>42</v>
      </c>
      <c r="R6" s="30"/>
      <c r="S6" s="36">
        <v>0.39215686274509798</v>
      </c>
      <c r="T6" s="29">
        <v>102</v>
      </c>
      <c r="U6" s="37">
        <v>40</v>
      </c>
      <c r="V6" s="38" t="s">
        <v>367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0.9946469907407407</v>
      </c>
      <c r="AD6" s="40">
        <f t="shared" si="12"/>
        <v>-6.6840277777777777</v>
      </c>
      <c r="AE6" s="40">
        <v>-12.82</v>
      </c>
      <c r="AF6" s="40">
        <v>-11.612472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37.99</v>
      </c>
      <c r="D7" s="30">
        <v>7</v>
      </c>
      <c r="E7" s="30">
        <v>0</v>
      </c>
      <c r="F7" s="31">
        <v>265.93</v>
      </c>
      <c r="G7" s="31">
        <v>-0.02</v>
      </c>
      <c r="H7" s="32">
        <f t="shared" si="1"/>
        <v>7.5207761440980702E-5</v>
      </c>
      <c r="I7" s="32">
        <f t="shared" si="2"/>
        <v>0.18166121995345469</v>
      </c>
      <c r="J7" s="33">
        <f t="shared" si="5"/>
        <v>48.309168222222205</v>
      </c>
      <c r="K7" s="33">
        <f t="shared" si="3"/>
        <v>6.9013097460317434</v>
      </c>
      <c r="L7" s="30">
        <v>71</v>
      </c>
      <c r="M7" s="34">
        <f t="shared" si="6"/>
        <v>9.8591549295774641E-2</v>
      </c>
      <c r="N7" s="30">
        <v>35</v>
      </c>
      <c r="O7" s="35">
        <f t="shared" ref="O7:P7" si="15">D7/7</f>
        <v>1</v>
      </c>
      <c r="P7" s="35">
        <f t="shared" si="15"/>
        <v>0</v>
      </c>
      <c r="Q7" s="30">
        <f t="shared" si="8"/>
        <v>35</v>
      </c>
      <c r="R7" s="30"/>
      <c r="S7" s="36">
        <v>1.4634146341463401</v>
      </c>
      <c r="T7" s="29">
        <v>102</v>
      </c>
      <c r="U7" s="37">
        <v>40</v>
      </c>
      <c r="V7" s="38" t="s">
        <v>368</v>
      </c>
      <c r="W7" s="29">
        <v>0</v>
      </c>
      <c r="X7" s="39">
        <f t="shared" si="9"/>
        <v>0</v>
      </c>
      <c r="Y7" s="40">
        <f t="shared" si="10"/>
        <v>0.02</v>
      </c>
      <c r="Z7" s="29">
        <v>1</v>
      </c>
      <c r="AA7" s="29" t="s">
        <v>163</v>
      </c>
      <c r="AB7" s="41">
        <f t="shared" si="11"/>
        <v>-0.48</v>
      </c>
      <c r="AC7" s="42">
        <v>0.9946469907407407</v>
      </c>
      <c r="AD7" s="40">
        <f t="shared" si="12"/>
        <v>-6.6840277777777777</v>
      </c>
      <c r="AE7" s="40">
        <v>-12.82</v>
      </c>
      <c r="AF7" s="40">
        <v>-11.612472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37.99</v>
      </c>
      <c r="D8" s="30">
        <v>4</v>
      </c>
      <c r="E8" s="30">
        <v>0</v>
      </c>
      <c r="F8" s="31">
        <v>151.96</v>
      </c>
      <c r="G8" s="31">
        <v>-0.02</v>
      </c>
      <c r="H8" s="32">
        <f t="shared" si="1"/>
        <v>1.3161358252171624E-4</v>
      </c>
      <c r="I8" s="32">
        <f t="shared" si="2"/>
        <v>0.18166988388757269</v>
      </c>
      <c r="J8" s="33">
        <f t="shared" si="5"/>
        <v>27.606555555555545</v>
      </c>
      <c r="K8" s="33">
        <f t="shared" si="3"/>
        <v>6.9016388888888862</v>
      </c>
      <c r="L8" s="30">
        <v>53</v>
      </c>
      <c r="M8" s="34">
        <f t="shared" si="6"/>
        <v>7.5471698113207544E-2</v>
      </c>
      <c r="N8" s="30">
        <v>31</v>
      </c>
      <c r="O8" s="35">
        <f t="shared" ref="O8:P8" si="16">D8/7</f>
        <v>0.5714285714285714</v>
      </c>
      <c r="P8" s="35">
        <f t="shared" si="16"/>
        <v>0</v>
      </c>
      <c r="Q8" s="30">
        <f t="shared" si="8"/>
        <v>54</v>
      </c>
      <c r="R8" s="30"/>
      <c r="S8" s="36">
        <v>2.3529411764705799</v>
      </c>
      <c r="T8" s="29">
        <v>90</v>
      </c>
      <c r="U8" s="37">
        <v>40</v>
      </c>
      <c r="V8" s="38" t="s">
        <v>369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0.9946469907407407</v>
      </c>
      <c r="AD8" s="40">
        <f t="shared" si="12"/>
        <v>-3.8194444444444442</v>
      </c>
      <c r="AE8" s="40">
        <v>-12.82</v>
      </c>
      <c r="AF8" s="40">
        <v>-11.61</v>
      </c>
      <c r="AG8" s="40">
        <v>0</v>
      </c>
    </row>
    <row r="9" spans="1:33" ht="15.75" customHeight="1" x14ac:dyDescent="0.2">
      <c r="A9" s="29" t="s">
        <v>47</v>
      </c>
      <c r="B9" s="29" t="s">
        <v>347</v>
      </c>
      <c r="C9" s="16">
        <f t="shared" si="4"/>
        <v>37.99</v>
      </c>
      <c r="D9" s="30">
        <v>9</v>
      </c>
      <c r="E9" s="30">
        <v>0</v>
      </c>
      <c r="F9" s="31">
        <v>341.91</v>
      </c>
      <c r="G9" s="31">
        <v>0</v>
      </c>
      <c r="H9" s="32">
        <f t="shared" si="1"/>
        <v>0</v>
      </c>
      <c r="I9" s="32">
        <f t="shared" si="2"/>
        <v>0.16496801497470101</v>
      </c>
      <c r="J9" s="33">
        <f t="shared" si="5"/>
        <v>56.404214000000024</v>
      </c>
      <c r="K9" s="33">
        <f t="shared" si="3"/>
        <v>6.2671348888888918</v>
      </c>
      <c r="L9" s="30">
        <v>52</v>
      </c>
      <c r="M9" s="34">
        <f t="shared" si="6"/>
        <v>0.17307692307692307</v>
      </c>
      <c r="N9" s="30">
        <v>23</v>
      </c>
      <c r="O9" s="35">
        <f t="shared" ref="O9:P9" si="17">D9/7</f>
        <v>1.2857142857142858</v>
      </c>
      <c r="P9" s="35">
        <f t="shared" si="17"/>
        <v>0</v>
      </c>
      <c r="Q9" s="30">
        <f t="shared" si="8"/>
        <v>17</v>
      </c>
      <c r="R9" s="30"/>
      <c r="S9" s="36">
        <v>1.4025974025974</v>
      </c>
      <c r="T9" s="29">
        <v>90</v>
      </c>
      <c r="U9" s="37">
        <v>40</v>
      </c>
      <c r="V9" s="38" t="s">
        <v>370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0.9946469907407407</v>
      </c>
      <c r="AD9" s="40">
        <f t="shared" si="12"/>
        <v>-8.59375</v>
      </c>
      <c r="AE9" s="40">
        <v>-12.82</v>
      </c>
      <c r="AF9" s="40">
        <v>-12.249504</v>
      </c>
      <c r="AG9" s="40">
        <v>0</v>
      </c>
    </row>
    <row r="10" spans="1:33" ht="15.75" customHeight="1" x14ac:dyDescent="0.2">
      <c r="A10" s="29" t="s">
        <v>50</v>
      </c>
      <c r="B10" s="29" t="s">
        <v>54</v>
      </c>
      <c r="C10" s="16">
        <f t="shared" si="4"/>
        <v>38.49</v>
      </c>
      <c r="D10" s="30">
        <v>4</v>
      </c>
      <c r="E10" s="30">
        <v>0</v>
      </c>
      <c r="F10" s="31">
        <v>153.96</v>
      </c>
      <c r="G10" s="31">
        <v>0</v>
      </c>
      <c r="H10" s="32">
        <f t="shared" si="1"/>
        <v>0</v>
      </c>
      <c r="I10" s="32">
        <f t="shared" si="2"/>
        <v>0.17386684564533361</v>
      </c>
      <c r="J10" s="33">
        <f t="shared" si="5"/>
        <v>26.768539555555563</v>
      </c>
      <c r="K10" s="33">
        <f t="shared" si="3"/>
        <v>6.6921348888888907</v>
      </c>
      <c r="L10" s="30">
        <v>56</v>
      </c>
      <c r="M10" s="34">
        <f t="shared" si="6"/>
        <v>7.1428571428571425E-2</v>
      </c>
      <c r="N10" s="30">
        <v>58</v>
      </c>
      <c r="O10" s="35">
        <f t="shared" ref="O10:P10" si="18">D10/7</f>
        <v>0.5714285714285714</v>
      </c>
      <c r="P10" s="35">
        <f t="shared" si="18"/>
        <v>0</v>
      </c>
      <c r="Q10" s="30">
        <f t="shared" si="8"/>
        <v>101</v>
      </c>
      <c r="R10" s="30"/>
      <c r="S10" s="36">
        <v>1.1743119266055</v>
      </c>
      <c r="T10" s="29">
        <v>36</v>
      </c>
      <c r="U10" s="37">
        <v>14</v>
      </c>
      <c r="V10" s="38" t="s">
        <v>371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0.9946469907407407</v>
      </c>
      <c r="AD10" s="40">
        <f t="shared" si="12"/>
        <v>-3.8194444444444442</v>
      </c>
      <c r="AE10" s="40">
        <v>-12.82</v>
      </c>
      <c r="AF10" s="40">
        <v>-12.249504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38.99</v>
      </c>
      <c r="D11" s="30">
        <v>4</v>
      </c>
      <c r="E11" s="30">
        <v>0</v>
      </c>
      <c r="F11" s="31">
        <v>155.96</v>
      </c>
      <c r="G11" s="31">
        <v>0</v>
      </c>
      <c r="H11" s="32">
        <f t="shared" si="1"/>
        <v>0</v>
      </c>
      <c r="I11" s="32">
        <f t="shared" si="2"/>
        <v>0.18253744264911229</v>
      </c>
      <c r="J11" s="33">
        <f t="shared" si="5"/>
        <v>28.468539555555552</v>
      </c>
      <c r="K11" s="33">
        <f t="shared" si="3"/>
        <v>7.1171348888888879</v>
      </c>
      <c r="L11" s="30">
        <v>18</v>
      </c>
      <c r="M11" s="34">
        <f t="shared" si="6"/>
        <v>0.22222222222222221</v>
      </c>
      <c r="N11" s="30">
        <v>56</v>
      </c>
      <c r="O11" s="35">
        <f t="shared" ref="O11:P11" si="19">D11/7</f>
        <v>0.5714285714285714</v>
      </c>
      <c r="P11" s="35">
        <f t="shared" si="19"/>
        <v>0</v>
      </c>
      <c r="Q11" s="30">
        <f t="shared" si="8"/>
        <v>98</v>
      </c>
      <c r="R11" s="30"/>
      <c r="S11" s="36">
        <v>1.5744680851063799</v>
      </c>
      <c r="T11" s="29">
        <v>58</v>
      </c>
      <c r="U11" s="37">
        <v>14</v>
      </c>
      <c r="V11" s="38" t="s">
        <v>372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0.9946469907407407</v>
      </c>
      <c r="AD11" s="40">
        <f t="shared" si="12"/>
        <v>-3.8194444444444442</v>
      </c>
      <c r="AE11" s="40">
        <v>-12.82</v>
      </c>
      <c r="AF11" s="40">
        <v>-12.249504</v>
      </c>
      <c r="AG11" s="40">
        <v>0</v>
      </c>
    </row>
    <row r="12" spans="1:33" ht="15.75" customHeight="1" x14ac:dyDescent="0.2">
      <c r="A12" s="29" t="s">
        <v>56</v>
      </c>
      <c r="B12" s="29" t="s">
        <v>286</v>
      </c>
      <c r="C12" s="16">
        <f t="shared" si="4"/>
        <v>35.091000000000001</v>
      </c>
      <c r="D12" s="30">
        <v>10</v>
      </c>
      <c r="E12" s="30">
        <v>0</v>
      </c>
      <c r="F12" s="31">
        <v>350.91</v>
      </c>
      <c r="G12" s="31">
        <v>0</v>
      </c>
      <c r="H12" s="32">
        <f t="shared" si="1"/>
        <v>0</v>
      </c>
      <c r="I12" s="32">
        <f t="shared" si="2"/>
        <v>0.10837493627679146</v>
      </c>
      <c r="J12" s="33">
        <f t="shared" si="5"/>
        <v>38.029848888888893</v>
      </c>
      <c r="K12" s="33">
        <f t="shared" si="3"/>
        <v>3.8029848888888891</v>
      </c>
      <c r="L12" s="30">
        <v>21</v>
      </c>
      <c r="M12" s="34">
        <f t="shared" si="6"/>
        <v>0.47619047619047616</v>
      </c>
      <c r="N12" s="30">
        <v>44</v>
      </c>
      <c r="O12" s="35">
        <f t="shared" ref="O12:P12" si="20">D12/7</f>
        <v>1.4285714285714286</v>
      </c>
      <c r="P12" s="35">
        <f t="shared" si="20"/>
        <v>0</v>
      </c>
      <c r="Q12" s="30">
        <f t="shared" si="8"/>
        <v>30</v>
      </c>
      <c r="R12" s="30"/>
      <c r="S12" s="36">
        <v>2.33766233766233</v>
      </c>
      <c r="T12" s="29">
        <v>58</v>
      </c>
      <c r="U12" s="37">
        <v>14</v>
      </c>
      <c r="V12" s="38" t="s">
        <v>373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0.9946469907407407</v>
      </c>
      <c r="AD12" s="40">
        <f t="shared" si="12"/>
        <v>-9.5486111111111107</v>
      </c>
      <c r="AE12" s="40">
        <v>-12.82</v>
      </c>
      <c r="AF12" s="40">
        <v>-12.249504</v>
      </c>
      <c r="AG12" s="40">
        <v>0</v>
      </c>
    </row>
    <row r="13" spans="1:33" ht="15.75" customHeight="1" x14ac:dyDescent="0.2">
      <c r="A13" s="29" t="s">
        <v>57</v>
      </c>
      <c r="B13" s="29" t="s">
        <v>374</v>
      </c>
      <c r="C13" s="16">
        <f t="shared" si="4"/>
        <v>41.444545454545455</v>
      </c>
      <c r="D13" s="30">
        <v>11</v>
      </c>
      <c r="E13" s="30">
        <v>0</v>
      </c>
      <c r="F13" s="33">
        <v>455.89000000000004</v>
      </c>
      <c r="G13" s="31">
        <v>0</v>
      </c>
      <c r="H13" s="32">
        <f t="shared" si="1"/>
        <v>0</v>
      </c>
      <c r="I13" s="32">
        <f t="shared" si="2"/>
        <v>0.2139779415599791</v>
      </c>
      <c r="J13" s="33">
        <f t="shared" si="5"/>
        <v>97.550403777778882</v>
      </c>
      <c r="K13" s="33">
        <f t="shared" si="3"/>
        <v>8.868218525252626</v>
      </c>
      <c r="L13" s="30">
        <v>23</v>
      </c>
      <c r="M13" s="34">
        <f t="shared" si="6"/>
        <v>0.47826086956521741</v>
      </c>
      <c r="N13" s="30">
        <v>33</v>
      </c>
      <c r="O13" s="35">
        <f t="shared" ref="O13:P13" si="21">D13/7</f>
        <v>1.5714285714285714</v>
      </c>
      <c r="P13" s="35">
        <f t="shared" si="21"/>
        <v>0</v>
      </c>
      <c r="Q13" s="30">
        <f t="shared" si="8"/>
        <v>21</v>
      </c>
      <c r="R13" s="30"/>
      <c r="S13" s="36">
        <v>2.56</v>
      </c>
      <c r="T13" s="29">
        <v>58</v>
      </c>
      <c r="U13" s="37">
        <v>14</v>
      </c>
      <c r="V13" s="38" t="s">
        <v>375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0.9946469907407407</v>
      </c>
      <c r="AD13" s="40">
        <f t="shared" si="12"/>
        <v>-10.503472222222221</v>
      </c>
      <c r="AE13" s="40">
        <v>-12.82</v>
      </c>
      <c r="AF13" s="40">
        <v>-12.5847839999999</v>
      </c>
      <c r="AG13" s="40">
        <v>0</v>
      </c>
    </row>
    <row r="14" spans="1:33" ht="15.75" customHeight="1" x14ac:dyDescent="0.2">
      <c r="A14" s="29" t="s">
        <v>59</v>
      </c>
      <c r="B14" s="29" t="s">
        <v>54</v>
      </c>
      <c r="C14" s="16">
        <f t="shared" si="4"/>
        <v>43.99</v>
      </c>
      <c r="D14" s="30">
        <v>8</v>
      </c>
      <c r="E14" s="30">
        <v>0</v>
      </c>
      <c r="F14" s="33">
        <v>351.92</v>
      </c>
      <c r="G14" s="31">
        <v>0</v>
      </c>
      <c r="H14" s="32">
        <f t="shared" si="1"/>
        <v>0</v>
      </c>
      <c r="I14" s="32">
        <f t="shared" si="2"/>
        <v>0.25078097042257308</v>
      </c>
      <c r="J14" s="33">
        <f t="shared" si="5"/>
        <v>88.25483911111192</v>
      </c>
      <c r="K14" s="33">
        <f t="shared" si="3"/>
        <v>11.03185488888899</v>
      </c>
      <c r="L14" s="30">
        <v>41</v>
      </c>
      <c r="M14" s="34">
        <f t="shared" si="6"/>
        <v>0.1951219512195122</v>
      </c>
      <c r="N14" s="30">
        <v>40</v>
      </c>
      <c r="O14" s="35">
        <f t="shared" ref="O14:P14" si="22">D14/7</f>
        <v>1.1428571428571428</v>
      </c>
      <c r="P14" s="35">
        <f t="shared" si="22"/>
        <v>0</v>
      </c>
      <c r="Q14" s="30">
        <f t="shared" si="8"/>
        <v>35</v>
      </c>
      <c r="R14" s="30"/>
      <c r="S14" s="36">
        <v>1.5947712418300599</v>
      </c>
      <c r="T14" s="29">
        <v>244</v>
      </c>
      <c r="U14" s="37">
        <v>22</v>
      </c>
      <c r="V14" s="38" t="s">
        <v>376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0.9946469907407407</v>
      </c>
      <c r="AD14" s="40">
        <f t="shared" si="12"/>
        <v>-7.6388888888888884</v>
      </c>
      <c r="AE14" s="40">
        <v>-12.82</v>
      </c>
      <c r="AF14" s="40">
        <v>-12.5847839999999</v>
      </c>
      <c r="AG14" s="40">
        <v>0</v>
      </c>
    </row>
    <row r="15" spans="1:33" ht="15.75" customHeight="1" x14ac:dyDescent="0.2">
      <c r="A15" s="29" t="s">
        <v>61</v>
      </c>
      <c r="B15" s="29" t="s">
        <v>377</v>
      </c>
      <c r="C15" s="16">
        <f t="shared" si="4"/>
        <v>37.222307692307695</v>
      </c>
      <c r="D15" s="30">
        <v>13</v>
      </c>
      <c r="E15" s="30">
        <v>0</v>
      </c>
      <c r="F15" s="33">
        <v>483.89000000000004</v>
      </c>
      <c r="G15" s="31">
        <v>0</v>
      </c>
      <c r="H15" s="32">
        <f t="shared" si="1"/>
        <v>0</v>
      </c>
      <c r="I15" s="32">
        <f t="shared" si="2"/>
        <v>0.14183205595395004</v>
      </c>
      <c r="J15" s="33">
        <f t="shared" si="5"/>
        <v>68.631113555556894</v>
      </c>
      <c r="K15" s="33">
        <f t="shared" si="3"/>
        <v>5.2793164273505306</v>
      </c>
      <c r="L15" s="30">
        <v>37</v>
      </c>
      <c r="M15" s="34">
        <f t="shared" si="6"/>
        <v>0.35135135135135137</v>
      </c>
      <c r="N15" s="30">
        <v>28</v>
      </c>
      <c r="O15" s="35">
        <f t="shared" ref="O15:P15" si="23">D15/7</f>
        <v>1.8571428571428572</v>
      </c>
      <c r="P15" s="35">
        <f t="shared" si="23"/>
        <v>0</v>
      </c>
      <c r="Q15" s="30">
        <f t="shared" si="8"/>
        <v>15</v>
      </c>
      <c r="R15" s="30"/>
      <c r="S15" s="36">
        <v>2.2015503875968898</v>
      </c>
      <c r="T15" s="29">
        <v>222</v>
      </c>
      <c r="U15" s="37">
        <v>22</v>
      </c>
      <c r="V15" s="38" t="s">
        <v>376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0.9946469907407407</v>
      </c>
      <c r="AD15" s="40">
        <f t="shared" si="12"/>
        <v>-12.413194444444443</v>
      </c>
      <c r="AE15" s="40">
        <v>-12.82</v>
      </c>
      <c r="AF15" s="40">
        <v>-12.5847839999999</v>
      </c>
      <c r="AG15" s="40">
        <v>0</v>
      </c>
    </row>
    <row r="16" spans="1:33" ht="15.75" customHeight="1" x14ac:dyDescent="0.2">
      <c r="A16" s="29" t="s">
        <v>64</v>
      </c>
      <c r="B16" s="29" t="s">
        <v>378</v>
      </c>
      <c r="C16" s="16">
        <f t="shared" si="4"/>
        <v>46.717272727272729</v>
      </c>
      <c r="D16" s="30">
        <v>11</v>
      </c>
      <c r="E16" s="30">
        <v>0</v>
      </c>
      <c r="F16" s="33">
        <v>513.89</v>
      </c>
      <c r="G16" s="31">
        <v>0</v>
      </c>
      <c r="H16" s="32">
        <f t="shared" si="1"/>
        <v>0</v>
      </c>
      <c r="I16" s="32">
        <f t="shared" si="2"/>
        <v>0.28576233002739659</v>
      </c>
      <c r="J16" s="33">
        <f t="shared" si="5"/>
        <v>146.85040377777884</v>
      </c>
      <c r="K16" s="33">
        <f t="shared" si="3"/>
        <v>13.350036707070803</v>
      </c>
      <c r="L16" s="30">
        <v>35</v>
      </c>
      <c r="M16" s="34">
        <f t="shared" si="6"/>
        <v>0.31428571428571428</v>
      </c>
      <c r="N16" s="30">
        <v>18</v>
      </c>
      <c r="O16" s="35">
        <f t="shared" ref="O16:P16" si="24">D16/7</f>
        <v>1.5714285714285714</v>
      </c>
      <c r="P16" s="35">
        <f t="shared" si="24"/>
        <v>0</v>
      </c>
      <c r="Q16" s="30">
        <f t="shared" si="8"/>
        <v>11</v>
      </c>
      <c r="R16" s="30"/>
      <c r="S16" s="36">
        <v>3.4166666666666599</v>
      </c>
      <c r="T16" s="29">
        <v>222</v>
      </c>
      <c r="U16" s="37">
        <v>22</v>
      </c>
      <c r="V16" s="38" t="s">
        <v>379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0.9946469907407407</v>
      </c>
      <c r="AD16" s="40">
        <f t="shared" si="12"/>
        <v>-10.503472222222221</v>
      </c>
      <c r="AE16" s="40">
        <v>-12.82</v>
      </c>
      <c r="AF16" s="40">
        <v>-12.5847839999999</v>
      </c>
      <c r="AG16" s="40">
        <v>0</v>
      </c>
    </row>
    <row r="17" spans="1:33" ht="15.75" customHeight="1" x14ac:dyDescent="0.2">
      <c r="A17" s="29" t="s">
        <v>66</v>
      </c>
      <c r="B17" s="29" t="s">
        <v>380</v>
      </c>
      <c r="C17" s="16">
        <f t="shared" si="4"/>
        <v>49.99</v>
      </c>
      <c r="D17" s="30">
        <v>10</v>
      </c>
      <c r="E17" s="30">
        <v>0</v>
      </c>
      <c r="F17" s="33">
        <v>499.90000000000003</v>
      </c>
      <c r="G17" s="31">
        <v>-0.08</v>
      </c>
      <c r="H17" s="32">
        <f t="shared" si="1"/>
        <v>1.6003200640128025E-4</v>
      </c>
      <c r="I17" s="32">
        <f t="shared" si="2"/>
        <v>0.32254160609899968</v>
      </c>
      <c r="J17" s="33">
        <f t="shared" si="5"/>
        <v>161.23854888888994</v>
      </c>
      <c r="K17" s="33">
        <f t="shared" si="3"/>
        <v>16.123854888888992</v>
      </c>
      <c r="L17" s="30">
        <v>56</v>
      </c>
      <c r="M17" s="34">
        <f t="shared" si="6"/>
        <v>0.17857142857142858</v>
      </c>
      <c r="N17" s="30">
        <v>7</v>
      </c>
      <c r="O17" s="35">
        <f t="shared" ref="O17:P17" si="25">D17/7</f>
        <v>1.4285714285714286</v>
      </c>
      <c r="P17" s="35">
        <f t="shared" si="25"/>
        <v>0</v>
      </c>
      <c r="Q17" s="30">
        <f t="shared" si="8"/>
        <v>4</v>
      </c>
      <c r="R17" s="30"/>
      <c r="S17" s="36">
        <v>4.4235294117646999</v>
      </c>
      <c r="T17" s="29">
        <v>222</v>
      </c>
      <c r="U17" s="37">
        <v>22</v>
      </c>
      <c r="V17" s="38" t="s">
        <v>379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0.9946469907407407</v>
      </c>
      <c r="AD17" s="40">
        <f t="shared" si="12"/>
        <v>-9.5486111111111107</v>
      </c>
      <c r="AE17" s="40">
        <v>-12.82</v>
      </c>
      <c r="AF17" s="40">
        <v>-12.5847839999999</v>
      </c>
      <c r="AG17" s="40">
        <v>0</v>
      </c>
    </row>
    <row r="18" spans="1:33" ht="15.75" customHeight="1" x14ac:dyDescent="0.2">
      <c r="A18" s="29" t="s">
        <v>69</v>
      </c>
      <c r="B18" s="29" t="s">
        <v>172</v>
      </c>
      <c r="C18" s="16">
        <f t="shared" si="4"/>
        <v>50.99</v>
      </c>
      <c r="D18" s="30">
        <v>6</v>
      </c>
      <c r="E18" s="30">
        <v>0</v>
      </c>
      <c r="F18" s="33">
        <v>305.94</v>
      </c>
      <c r="G18" s="31">
        <v>-0.08</v>
      </c>
      <c r="H18" s="32">
        <f t="shared" si="1"/>
        <v>2.6148918088514091E-4</v>
      </c>
      <c r="I18" s="32">
        <f t="shared" si="2"/>
        <v>0.33278136017955784</v>
      </c>
      <c r="J18" s="33">
        <f t="shared" si="5"/>
        <v>101.81112933333392</v>
      </c>
      <c r="K18" s="33">
        <f t="shared" si="3"/>
        <v>16.968521555555654</v>
      </c>
      <c r="L18" s="30">
        <v>30</v>
      </c>
      <c r="M18" s="34">
        <f t="shared" si="6"/>
        <v>0.2</v>
      </c>
      <c r="N18" s="30">
        <v>1</v>
      </c>
      <c r="O18" s="35">
        <f t="shared" ref="O18:P18" si="26">D18/7</f>
        <v>0.8571428571428571</v>
      </c>
      <c r="P18" s="35">
        <f t="shared" si="26"/>
        <v>0</v>
      </c>
      <c r="Q18" s="30">
        <f t="shared" si="8"/>
        <v>1</v>
      </c>
      <c r="R18" s="30"/>
      <c r="S18" s="36">
        <v>2.5098039215686199</v>
      </c>
      <c r="T18" s="29">
        <v>222</v>
      </c>
      <c r="U18" s="37" t="s">
        <v>34</v>
      </c>
      <c r="V18" s="38"/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0.9946469907407407</v>
      </c>
      <c r="AD18" s="40">
        <f t="shared" si="12"/>
        <v>-5.7291666666666661</v>
      </c>
      <c r="AE18" s="40">
        <v>-12.82</v>
      </c>
      <c r="AF18" s="40">
        <v>-12.5847839999999</v>
      </c>
      <c r="AG18" s="40">
        <v>0</v>
      </c>
    </row>
    <row r="19" spans="1:33" ht="15.75" customHeight="1" x14ac:dyDescent="0.2">
      <c r="A19" s="29" t="s">
        <v>71</v>
      </c>
      <c r="B19" s="29" t="s">
        <v>381</v>
      </c>
      <c r="C19" s="16">
        <f t="shared" si="4"/>
        <v>50.99</v>
      </c>
      <c r="D19" s="30">
        <v>5</v>
      </c>
      <c r="E19" s="30">
        <v>0</v>
      </c>
      <c r="F19" s="33">
        <v>254.95000000000002</v>
      </c>
      <c r="G19" s="31">
        <v>-0.23000000000000004</v>
      </c>
      <c r="H19" s="32">
        <f t="shared" si="1"/>
        <v>9.0213767405373613E-4</v>
      </c>
      <c r="I19" s="32">
        <f t="shared" si="2"/>
        <v>0.33214071168638737</v>
      </c>
      <c r="J19" s="33">
        <f t="shared" si="5"/>
        <v>84.679274444444459</v>
      </c>
      <c r="K19" s="33">
        <f t="shared" si="3"/>
        <v>16.93585488888889</v>
      </c>
      <c r="L19" s="30">
        <v>28</v>
      </c>
      <c r="M19" s="34">
        <f t="shared" si="6"/>
        <v>0.17857142857142858</v>
      </c>
      <c r="N19" s="30">
        <v>19</v>
      </c>
      <c r="O19" s="35">
        <f t="shared" ref="O19:P19" si="27">D19/7</f>
        <v>0.7142857142857143</v>
      </c>
      <c r="P19" s="35">
        <f t="shared" si="27"/>
        <v>0</v>
      </c>
      <c r="Q19" s="30">
        <f t="shared" si="8"/>
        <v>26</v>
      </c>
      <c r="R19" s="30"/>
      <c r="S19" s="36">
        <v>2.21714285714285</v>
      </c>
      <c r="T19" s="29">
        <v>434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0.9946469907407407</v>
      </c>
      <c r="AD19" s="40">
        <f t="shared" si="12"/>
        <v>-4.7743055555555554</v>
      </c>
      <c r="AE19" s="40">
        <v>-12.82</v>
      </c>
      <c r="AF19" s="40">
        <v>-12.584783999999999</v>
      </c>
      <c r="AG19" s="40">
        <v>0</v>
      </c>
    </row>
    <row r="20" spans="1:33" ht="15.75" customHeight="1" x14ac:dyDescent="0.2">
      <c r="A20" s="29" t="s">
        <v>74</v>
      </c>
      <c r="B20" s="29" t="s">
        <v>172</v>
      </c>
      <c r="C20" s="16">
        <f t="shared" si="4"/>
        <v>52.49</v>
      </c>
      <c r="D20" s="30">
        <v>8</v>
      </c>
      <c r="E20" s="30">
        <v>0</v>
      </c>
      <c r="F20" s="33">
        <v>419.92</v>
      </c>
      <c r="G20" s="31">
        <v>0</v>
      </c>
      <c r="H20" s="32">
        <f t="shared" si="1"/>
        <v>0</v>
      </c>
      <c r="I20" s="32">
        <f t="shared" si="2"/>
        <v>0.34781586757265937</v>
      </c>
      <c r="J20" s="33">
        <f t="shared" si="5"/>
        <v>146.05483911111114</v>
      </c>
      <c r="K20" s="33">
        <f t="shared" si="3"/>
        <v>18.256854888888892</v>
      </c>
      <c r="L20" s="30">
        <v>61</v>
      </c>
      <c r="M20" s="34">
        <f t="shared" si="6"/>
        <v>0.13114754098360656</v>
      </c>
      <c r="N20" s="30">
        <v>9</v>
      </c>
      <c r="O20" s="35">
        <f t="shared" ref="O20:P20" si="28">D20/7</f>
        <v>1.1428571428571428</v>
      </c>
      <c r="P20" s="35">
        <f t="shared" si="28"/>
        <v>0</v>
      </c>
      <c r="Q20" s="30">
        <f t="shared" si="8"/>
        <v>7</v>
      </c>
      <c r="R20" s="30"/>
      <c r="S20" s="36">
        <v>2.83211678832116</v>
      </c>
      <c r="T20" s="29">
        <v>434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0.9946469907407407</v>
      </c>
      <c r="AD20" s="40">
        <f t="shared" si="12"/>
        <v>-7.6388888888888884</v>
      </c>
      <c r="AE20" s="40">
        <v>-12.82</v>
      </c>
      <c r="AF20" s="40">
        <v>-12.584783999999999</v>
      </c>
      <c r="AG20" s="40">
        <v>0</v>
      </c>
    </row>
    <row r="21" spans="1:33" ht="15.75" customHeight="1" x14ac:dyDescent="0.2">
      <c r="A21" s="29" t="s">
        <v>75</v>
      </c>
      <c r="B21" s="29" t="s">
        <v>172</v>
      </c>
      <c r="C21" s="16">
        <f t="shared" si="4"/>
        <v>52.99</v>
      </c>
      <c r="D21" s="30">
        <v>3</v>
      </c>
      <c r="E21" s="30">
        <v>0</v>
      </c>
      <c r="F21" s="33">
        <v>158.97</v>
      </c>
      <c r="G21" s="31">
        <v>0</v>
      </c>
      <c r="H21" s="32">
        <f t="shared" si="1"/>
        <v>0</v>
      </c>
      <c r="I21" s="32">
        <f t="shared" si="2"/>
        <v>0.35255434778050354</v>
      </c>
      <c r="J21" s="33">
        <f t="shared" si="5"/>
        <v>56.04556466666665</v>
      </c>
      <c r="K21" s="33">
        <f t="shared" si="3"/>
        <v>18.681854888888882</v>
      </c>
      <c r="L21" s="30">
        <v>58</v>
      </c>
      <c r="M21" s="34">
        <f t="shared" si="6"/>
        <v>5.1724137931034482E-2</v>
      </c>
      <c r="N21" s="30">
        <v>1</v>
      </c>
      <c r="O21" s="35">
        <f t="shared" ref="O21:P21" si="29">D21/7</f>
        <v>0.42857142857142855</v>
      </c>
      <c r="P21" s="35">
        <f t="shared" si="29"/>
        <v>0</v>
      </c>
      <c r="Q21" s="30">
        <f t="shared" si="8"/>
        <v>2</v>
      </c>
      <c r="R21" s="30"/>
      <c r="S21" s="36" t="e">
        <v>#N/A</v>
      </c>
      <c r="T21" s="29">
        <v>434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0.9946469907407407</v>
      </c>
      <c r="AD21" s="40">
        <f t="shared" si="12"/>
        <v>-2.864583333333333</v>
      </c>
      <c r="AE21" s="40">
        <v>-12.82</v>
      </c>
      <c r="AF21" s="40">
        <v>-12.584783999999999</v>
      </c>
      <c r="AG21" s="40">
        <v>0</v>
      </c>
    </row>
    <row r="22" spans="1:33" ht="15.75" customHeight="1" x14ac:dyDescent="0.2">
      <c r="A22" s="29" t="s">
        <v>76</v>
      </c>
      <c r="B22" s="29" t="s">
        <v>172</v>
      </c>
      <c r="C22" s="16">
        <f t="shared" si="4"/>
        <v>52.989999999999995</v>
      </c>
      <c r="D22" s="30">
        <v>5</v>
      </c>
      <c r="E22" s="30">
        <v>0</v>
      </c>
      <c r="F22" s="31">
        <v>264.95</v>
      </c>
      <c r="G22" s="31">
        <v>0</v>
      </c>
      <c r="H22" s="32">
        <f t="shared" si="1"/>
        <v>0</v>
      </c>
      <c r="I22" s="32">
        <f t="shared" si="2"/>
        <v>0.3525543477805036</v>
      </c>
      <c r="J22" s="33">
        <f t="shared" si="5"/>
        <v>93.409274444444421</v>
      </c>
      <c r="K22" s="33">
        <f t="shared" si="3"/>
        <v>18.681854888888886</v>
      </c>
      <c r="L22" s="30">
        <v>60</v>
      </c>
      <c r="M22" s="34">
        <f t="shared" si="6"/>
        <v>8.3333333333333329E-2</v>
      </c>
      <c r="N22" s="30">
        <v>1</v>
      </c>
      <c r="O22" s="35">
        <f t="shared" ref="O22:P22" si="30">D22/7</f>
        <v>0.7142857142857143</v>
      </c>
      <c r="P22" s="35">
        <f t="shared" si="30"/>
        <v>0</v>
      </c>
      <c r="Q22" s="30">
        <f t="shared" si="8"/>
        <v>1</v>
      </c>
      <c r="R22" s="30"/>
      <c r="S22" s="36">
        <v>4.7466666666666599</v>
      </c>
      <c r="T22" s="29">
        <v>434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0.9946469907407407</v>
      </c>
      <c r="AD22" s="40">
        <f t="shared" si="12"/>
        <v>-4.7743055555555554</v>
      </c>
      <c r="AE22" s="40">
        <v>-12.82</v>
      </c>
      <c r="AF22" s="40">
        <v>-12.584783999999999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1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>
        <v>2.5882352941176401</v>
      </c>
      <c r="T23" s="29">
        <v>434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 t="e">
        <v>#N/A</v>
      </c>
      <c r="AD23" s="40">
        <f t="shared" si="12"/>
        <v>0</v>
      </c>
      <c r="AE23" s="40">
        <v>-12.82</v>
      </c>
      <c r="AF23" s="40">
        <v>-12.584783999999999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Summary!A1:AD5000""),9,FALSE),"""")"),434)</f>
        <v>434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 t="e">
        <v>#N/A</v>
      </c>
      <c r="AD24" s="40">
        <f t="shared" si="12"/>
        <v>0</v>
      </c>
      <c r="AE24" s="40">
        <v>-12.82</v>
      </c>
      <c r="AF24" s="40">
        <v>-12.584783999999999</v>
      </c>
      <c r="AG24" s="40">
        <v>0</v>
      </c>
    </row>
    <row r="25" spans="1:33" ht="15.75" customHeight="1" x14ac:dyDescent="0.2">
      <c r="A25" s="15" t="s">
        <v>81</v>
      </c>
      <c r="B25" s="15"/>
      <c r="C25" s="16">
        <f t="shared" si="4"/>
        <v>52.99</v>
      </c>
      <c r="D25" s="17">
        <v>2</v>
      </c>
      <c r="E25" s="17">
        <v>0</v>
      </c>
      <c r="F25" s="18">
        <v>105.98</v>
      </c>
      <c r="G25" s="18">
        <v>0</v>
      </c>
      <c r="H25" s="32">
        <f t="shared" si="1"/>
        <v>0</v>
      </c>
      <c r="I25" s="32">
        <f t="shared" si="2"/>
        <v>0.37066427627854309</v>
      </c>
      <c r="J25" s="33">
        <f t="shared" si="5"/>
        <v>39.283000000000001</v>
      </c>
      <c r="K25" s="33">
        <f t="shared" si="3"/>
        <v>19.641500000000001</v>
      </c>
      <c r="L25" s="17">
        <v>14</v>
      </c>
      <c r="M25" s="34">
        <f t="shared" si="6"/>
        <v>0.14285714285714285</v>
      </c>
      <c r="N25" s="17">
        <v>1</v>
      </c>
      <c r="O25" s="35">
        <f t="shared" ref="O25:P25" si="33">D25/7</f>
        <v>0.2857142857142857</v>
      </c>
      <c r="P25" s="35">
        <f t="shared" si="33"/>
        <v>0</v>
      </c>
      <c r="Q25" s="30">
        <f t="shared" si="8"/>
        <v>3</v>
      </c>
      <c r="R25" s="30"/>
      <c r="S25" s="36" t="e">
        <v>#N/A</v>
      </c>
      <c r="T25" s="29">
        <v>434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 t="e">
        <v>#N/A</v>
      </c>
      <c r="AD25" s="40">
        <f t="shared" si="12"/>
        <v>0</v>
      </c>
      <c r="AE25" s="26">
        <v>-12.82</v>
      </c>
      <c r="AF25" s="26">
        <v>-12.58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1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0.14285714285714285</v>
      </c>
      <c r="Q26" s="30">
        <f t="shared" si="8"/>
        <v>0</v>
      </c>
      <c r="R26" s="30"/>
      <c r="S26" s="22">
        <v>4.3809523809523814</v>
      </c>
      <c r="T26" s="29">
        <v>434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 t="e">
        <v>#N/A</v>
      </c>
      <c r="AD26" s="40">
        <f t="shared" si="12"/>
        <v>0</v>
      </c>
      <c r="AE26" s="26">
        <v>-12.82</v>
      </c>
      <c r="AF26" s="26">
        <v>-12.5847839999999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2.95</v>
      </c>
      <c r="T27" s="29">
        <v>434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 t="e">
        <v>#N/A</v>
      </c>
      <c r="AD27" s="40">
        <f t="shared" si="12"/>
        <v>0</v>
      </c>
      <c r="AE27" s="26">
        <v>-12.82</v>
      </c>
      <c r="AF27" s="26">
        <v>-12.5847839999999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3.2</v>
      </c>
      <c r="T28" s="15" t="s">
        <v>34</v>
      </c>
      <c r="U28" s="23">
        <v>120</v>
      </c>
      <c r="V28" s="1" t="s">
        <v>382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 t="e">
        <v>#N/A</v>
      </c>
      <c r="AD28" s="40">
        <f t="shared" si="12"/>
        <v>0</v>
      </c>
      <c r="AE28" s="26">
        <v>-12.82</v>
      </c>
      <c r="AF28" s="26">
        <v>-12.5847839999999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120</v>
      </c>
      <c r="V29" s="1" t="s">
        <v>383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 t="e">
        <v>#N/A</v>
      </c>
      <c r="AD29" s="40">
        <f t="shared" si="12"/>
        <v>0</v>
      </c>
      <c r="AE29" s="26">
        <v>-12.82</v>
      </c>
      <c r="AF29" s="26">
        <v>-12.5847839999999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120</v>
      </c>
      <c r="V30" s="1" t="s">
        <v>384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 t="e">
        <v>#N/A</v>
      </c>
      <c r="AD30" s="40">
        <f t="shared" si="12"/>
        <v>0</v>
      </c>
      <c r="AE30" s="26">
        <v>-12.82</v>
      </c>
      <c r="AF30" s="26">
        <v>-14.254780151999899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314</v>
      </c>
      <c r="U31" s="23">
        <v>120</v>
      </c>
      <c r="V31" s="1" t="s">
        <v>385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 t="e">
        <v>#N/A</v>
      </c>
      <c r="AD31" s="40">
        <f t="shared" si="12"/>
        <v>0</v>
      </c>
      <c r="AE31" s="26">
        <v>-12.82</v>
      </c>
      <c r="AF31" s="43">
        <v>-14.254780151999999</v>
      </c>
      <c r="AG31" s="26">
        <v>0</v>
      </c>
    </row>
    <row r="32" spans="1:33" ht="15.75" customHeight="1" x14ac:dyDescent="0.2">
      <c r="A32" s="15" t="s">
        <v>96</v>
      </c>
      <c r="B32" s="44" t="s">
        <v>172</v>
      </c>
      <c r="C32" s="16">
        <f t="shared" si="4"/>
        <v>52.99</v>
      </c>
      <c r="D32" s="17">
        <v>1</v>
      </c>
      <c r="E32" s="17">
        <v>0</v>
      </c>
      <c r="F32" s="18">
        <v>52.99</v>
      </c>
      <c r="G32" s="18">
        <v>0</v>
      </c>
      <c r="H32" s="32">
        <f t="shared" si="1"/>
        <v>0</v>
      </c>
      <c r="I32" s="32">
        <f t="shared" si="2"/>
        <v>0.33905868745046425</v>
      </c>
      <c r="J32" s="33">
        <f t="shared" si="5"/>
        <v>17.9667198480001</v>
      </c>
      <c r="K32" s="33">
        <f t="shared" si="3"/>
        <v>17.9667198480001</v>
      </c>
      <c r="L32" s="17">
        <v>9</v>
      </c>
      <c r="M32" s="34">
        <f t="shared" si="6"/>
        <v>0.1111111111111111</v>
      </c>
      <c r="N32" s="17">
        <v>0</v>
      </c>
      <c r="O32" s="35">
        <f t="shared" ref="O32:P32" si="40">D32/7</f>
        <v>0.14285714285714285</v>
      </c>
      <c r="P32" s="35">
        <f t="shared" si="40"/>
        <v>0</v>
      </c>
      <c r="Q32" s="30">
        <f t="shared" si="8"/>
        <v>0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IFERROR(__xludf.DUMMYFUNCTION("IFERROR(VLOOKUP($B$2,IMPORTRANGE(""https://docs.google.com/spreadsheets/d/1KiWZV1ko8G7lnRucBRBd29jj3Be6ltMfljMDqzOkQmI/edit#gid=1381463014"",""Lookup!A:D""),4,FALSE),"""")"),314)</f>
        <v>314</v>
      </c>
      <c r="U32" s="23">
        <f ca="1">IFERROR(__xludf.DUMMYFUNCTION("IFERROR(VLOOKUP($B$2,IMPORTRANGE(""https://docs.google.com/spreadsheets/d/1KiWZV1ko8G7lnRucBRBd29jj3Be6ltMfljMDqzOkQmI/edit#gid=1381463014"",""Lookup!A:D""),3,FALSE),"""")"),0)</f>
        <v>0</v>
      </c>
      <c r="V32" s="1" t="str">
        <f ca="1">IFERROR(__xludf.DUMMYFUNCTION("IFERROR(VLOOKUP($B$2,IMPORTRANGE(""https://docs.google.com/spreadsheets/d/1KiWZV1ko8G7lnRucBRBd29jj3Be6ltMfljMDqzOkQmI/edit#gid=1381463014"",""Lookup!A:D""),2,FALSE),"""")"),"| AGL256  - 120 units 09/17")</f>
        <v>| AGL256  - 120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 t="e">
        <v>#N/A</v>
      </c>
      <c r="AD32" s="40">
        <f t="shared" si="12"/>
        <v>0</v>
      </c>
      <c r="AE32" s="26">
        <v>-12.82</v>
      </c>
      <c r="AF32" s="26">
        <v>-14.254780151999899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5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Info!B1:BJ5000""),3,FALSE),"""")"),"Sandwich Board - Black Sidewalk Chalkboard Sign with Chalk &amp; Eraser for Menu")</f>
        <v>Sandwich Board - Black Sidewalk Chalkboard Sign with Chalk &amp; Eraser for Menu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Info!B1:BJ5000""),2,FALSE),"""")"),"B073WM1SYY")</f>
        <v>B073WM1SYY</v>
      </c>
      <c r="B2" s="3" t="s">
        <v>386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17.75" customHeight="1" x14ac:dyDescent="0.2">
      <c r="A3" s="57" t="s">
        <v>31</v>
      </c>
      <c r="B3" s="58"/>
      <c r="C3" s="4">
        <f>((AE32+AF32)/0.85)*-1</f>
        <v>40.303965617647066</v>
      </c>
      <c r="D3" s="5">
        <f>SUM(D4:D99519)</f>
        <v>1539</v>
      </c>
      <c r="E3" s="5"/>
      <c r="F3" s="6">
        <f t="shared" ref="F3:G3" si="0">SUM(F4:F99519)</f>
        <v>83673.009999999951</v>
      </c>
      <c r="G3" s="6">
        <f t="shared" si="0"/>
        <v>-4.74</v>
      </c>
      <c r="H3" s="7">
        <f t="shared" ref="H3:H32" si="1">G3/F3*-1</f>
        <v>5.664909150513413E-5</v>
      </c>
      <c r="I3" s="8">
        <f t="shared" ref="I3:I32" si="2">J3/F3</f>
        <v>0.25927698883502909</v>
      </c>
      <c r="J3" s="6">
        <f>SUM(J4:J99519)</f>
        <v>21694.486079563263</v>
      </c>
      <c r="K3" s="6">
        <f t="shared" ref="K3:K32" si="3">J3/D3</f>
        <v>14.096482182952087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Sheet!a1:g5000""),2,FALSE),"""")"),"8 - March
10 - April
12 - May
15 - June
15 - July
10 - Aug
9 - Sept
7 - Oct
5 - Nov
5 - Dec
7 - Jan
7 - Feb")</f>
        <v>8 - March
10 - April
12 - May
15 - June
15 - July
10 - Aug
9 - Sept
7 - Oct
5 - Nov
5 - Dec
7 - Jan
7 -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1</v>
      </c>
      <c r="X3" s="7">
        <f>W3/D3</f>
        <v>6.4977257959714096E-4</v>
      </c>
      <c r="Y3" s="6"/>
      <c r="Z3" s="5"/>
      <c r="AA3" s="5"/>
      <c r="AB3" s="5"/>
      <c r="AC3" s="5"/>
      <c r="AD3" s="6">
        <f>SUM(AD4:AD99519)</f>
        <v>-1573.2639629200464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Info!B2:BZ3000""),37,FALSE)),"""")*-1"),-20.658370775)</f>
        <v>-20.658370775000002</v>
      </c>
      <c r="AG3" s="6">
        <f>SUM(AG4:AG99519)</f>
        <v>0</v>
      </c>
    </row>
    <row r="4" spans="1:33" x14ac:dyDescent="0.2">
      <c r="A4" s="15" t="s">
        <v>32</v>
      </c>
      <c r="B4" s="15" t="s">
        <v>387</v>
      </c>
      <c r="C4" s="16">
        <f t="shared" ref="C4:C32" si="4">IFERROR(F4/D4," - ")</f>
        <v>47.196896551724137</v>
      </c>
      <c r="D4" s="17">
        <v>29</v>
      </c>
      <c r="E4" s="17">
        <v>0</v>
      </c>
      <c r="F4" s="18">
        <v>1368.71</v>
      </c>
      <c r="G4" s="18">
        <v>-0.1</v>
      </c>
      <c r="H4" s="19">
        <f t="shared" si="1"/>
        <v>7.3061495861066262E-5</v>
      </c>
      <c r="I4" s="19">
        <f t="shared" si="2"/>
        <v>0.19544378080252361</v>
      </c>
      <c r="J4" s="18">
        <f t="shared" ref="J4:J32" si="5">F4*0.85+G4+AF4*D4+D4*AE4+AG4+AD4</f>
        <v>267.50585722222212</v>
      </c>
      <c r="K4" s="18">
        <f t="shared" si="3"/>
        <v>9.2243399042145562</v>
      </c>
      <c r="L4" s="17">
        <v>55</v>
      </c>
      <c r="M4" s="20">
        <f t="shared" ref="M4:M32" si="6">IFERROR(D4/L4,"-")</f>
        <v>0.52727272727272723</v>
      </c>
      <c r="N4" s="17">
        <v>376</v>
      </c>
      <c r="O4" s="21">
        <f t="shared" ref="O4:P4" si="7">D4/7</f>
        <v>4.1428571428571432</v>
      </c>
      <c r="P4" s="21">
        <f t="shared" si="7"/>
        <v>0</v>
      </c>
      <c r="Q4" s="17">
        <f t="shared" ref="Q4:Q32" si="8">ROUNDDOWN(N4/(O4+P4),0)</f>
        <v>90</v>
      </c>
      <c r="R4" s="17"/>
      <c r="S4" s="22">
        <v>0.74845105328376704</v>
      </c>
      <c r="T4" s="15">
        <v>715</v>
      </c>
      <c r="U4" s="23">
        <v>200</v>
      </c>
      <c r="V4" s="24" t="s">
        <v>388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1.0648148148148149</v>
      </c>
      <c r="AD4" s="26">
        <f t="shared" ref="AD4:AD32" si="12">IFERROR(AB4*AC4*D4*2,0)</f>
        <v>-29.644444444444442</v>
      </c>
      <c r="AE4" s="26">
        <v>-13.2</v>
      </c>
      <c r="AF4" s="26">
        <v>-16.667351666666669</v>
      </c>
      <c r="AG4" s="26">
        <v>0</v>
      </c>
    </row>
    <row r="5" spans="1:33" x14ac:dyDescent="0.2">
      <c r="A5" s="29" t="s">
        <v>36</v>
      </c>
      <c r="B5" s="29" t="s">
        <v>54</v>
      </c>
      <c r="C5" s="16">
        <f t="shared" si="4"/>
        <v>45.350555555555538</v>
      </c>
      <c r="D5" s="30">
        <v>54</v>
      </c>
      <c r="E5" s="30">
        <v>0</v>
      </c>
      <c r="F5" s="31">
        <v>2448.9299999999989</v>
      </c>
      <c r="G5" s="31">
        <v>-0.24</v>
      </c>
      <c r="H5" s="32">
        <f t="shared" si="1"/>
        <v>9.8001984540186979E-5</v>
      </c>
      <c r="I5" s="32">
        <f t="shared" si="2"/>
        <v>0.16874698218403669</v>
      </c>
      <c r="J5" s="33">
        <f t="shared" si="5"/>
        <v>413.24954707995278</v>
      </c>
      <c r="K5" s="33">
        <f t="shared" si="3"/>
        <v>7.652769390369496</v>
      </c>
      <c r="L5" s="30">
        <v>139</v>
      </c>
      <c r="M5" s="34">
        <f t="shared" si="6"/>
        <v>0.38848920863309355</v>
      </c>
      <c r="N5" s="30">
        <v>436</v>
      </c>
      <c r="O5" s="35">
        <f t="shared" ref="O5:P5" si="13">D5/7</f>
        <v>7.7142857142857144</v>
      </c>
      <c r="P5" s="35">
        <f t="shared" si="13"/>
        <v>0</v>
      </c>
      <c r="Q5" s="30">
        <f t="shared" si="8"/>
        <v>56</v>
      </c>
      <c r="R5" s="30"/>
      <c r="S5" s="36">
        <v>0.49506726457399097</v>
      </c>
      <c r="T5" s="29">
        <v>715</v>
      </c>
      <c r="U5" s="37">
        <v>200</v>
      </c>
      <c r="V5" s="38" t="s">
        <v>388</v>
      </c>
      <c r="W5" s="29">
        <v>0</v>
      </c>
      <c r="X5" s="39">
        <f t="shared" si="9"/>
        <v>0</v>
      </c>
      <c r="Y5" s="40">
        <f t="shared" si="10"/>
        <v>0.24</v>
      </c>
      <c r="Z5" s="29">
        <v>1</v>
      </c>
      <c r="AA5" s="29" t="s">
        <v>163</v>
      </c>
      <c r="AB5" s="41">
        <f t="shared" si="11"/>
        <v>-0.48</v>
      </c>
      <c r="AC5" s="42">
        <v>1.0660486674391656</v>
      </c>
      <c r="AD5" s="40">
        <f t="shared" si="12"/>
        <v>-55.263962920046339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54</v>
      </c>
      <c r="C6" s="16">
        <f t="shared" si="4"/>
        <v>46.568787878787852</v>
      </c>
      <c r="D6" s="30">
        <v>66</v>
      </c>
      <c r="E6" s="30">
        <v>0</v>
      </c>
      <c r="F6" s="31">
        <v>3073.5399999999981</v>
      </c>
      <c r="G6" s="31">
        <v>-0.19</v>
      </c>
      <c r="H6" s="32">
        <f t="shared" si="1"/>
        <v>6.181796885675804E-5</v>
      </c>
      <c r="I6" s="32">
        <f t="shared" si="2"/>
        <v>0.18662751203281286</v>
      </c>
      <c r="J6" s="33">
        <f t="shared" si="5"/>
        <v>573.60712333333129</v>
      </c>
      <c r="K6" s="33">
        <f t="shared" si="3"/>
        <v>8.6910170202019899</v>
      </c>
      <c r="L6" s="30">
        <v>172</v>
      </c>
      <c r="M6" s="34">
        <f t="shared" si="6"/>
        <v>0.38372093023255816</v>
      </c>
      <c r="N6" s="30">
        <v>375</v>
      </c>
      <c r="O6" s="35">
        <f t="shared" ref="O6:P6" si="14">D6/7</f>
        <v>9.4285714285714288</v>
      </c>
      <c r="P6" s="35">
        <f t="shared" si="14"/>
        <v>0</v>
      </c>
      <c r="Q6" s="30">
        <f t="shared" si="8"/>
        <v>39</v>
      </c>
      <c r="R6" s="30"/>
      <c r="S6" s="36">
        <v>0.57243195785777001</v>
      </c>
      <c r="T6" s="29">
        <v>715</v>
      </c>
      <c r="U6" s="37">
        <v>200</v>
      </c>
      <c r="V6" s="38" t="s">
        <v>389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1.0648148148148149</v>
      </c>
      <c r="AD6" s="40">
        <f t="shared" si="12"/>
        <v>-67.466666666666669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390</v>
      </c>
      <c r="C7" s="16">
        <f t="shared" si="4"/>
        <v>46.078615384615375</v>
      </c>
      <c r="D7" s="30">
        <v>65</v>
      </c>
      <c r="E7" s="30">
        <v>0</v>
      </c>
      <c r="F7" s="31">
        <v>2995.1099999999992</v>
      </c>
      <c r="G7" s="31">
        <v>-0.15</v>
      </c>
      <c r="H7" s="32">
        <f t="shared" si="1"/>
        <v>5.008163306189089E-5</v>
      </c>
      <c r="I7" s="32">
        <f t="shared" si="2"/>
        <v>0.17958311955895495</v>
      </c>
      <c r="J7" s="33">
        <f t="shared" si="5"/>
        <v>537.87119722222144</v>
      </c>
      <c r="K7" s="33">
        <f t="shared" si="3"/>
        <v>8.274941495726484</v>
      </c>
      <c r="L7" s="30">
        <v>195</v>
      </c>
      <c r="M7" s="34">
        <f t="shared" si="6"/>
        <v>0.33333333333333331</v>
      </c>
      <c r="N7" s="30">
        <v>319</v>
      </c>
      <c r="O7" s="35">
        <f t="shared" ref="O7:P7" si="15">D7/7</f>
        <v>9.2857142857142865</v>
      </c>
      <c r="P7" s="35">
        <f t="shared" si="15"/>
        <v>0</v>
      </c>
      <c r="Q7" s="30">
        <f t="shared" si="8"/>
        <v>34</v>
      </c>
      <c r="R7" s="30"/>
      <c r="S7" s="36">
        <v>1.1673151750972699</v>
      </c>
      <c r="T7" s="29">
        <v>1114</v>
      </c>
      <c r="U7" s="37">
        <v>200</v>
      </c>
      <c r="V7" s="38" t="s">
        <v>391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1.0648148148148149</v>
      </c>
      <c r="AD7" s="40">
        <f t="shared" si="12"/>
        <v>-66.444444444444443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338</v>
      </c>
      <c r="C8" s="16">
        <f t="shared" si="4"/>
        <v>47.692653061224497</v>
      </c>
      <c r="D8" s="30">
        <v>49</v>
      </c>
      <c r="E8" s="30">
        <v>0</v>
      </c>
      <c r="F8" s="31">
        <v>2336.9400000000005</v>
      </c>
      <c r="G8" s="31">
        <v>-0.18</v>
      </c>
      <c r="H8" s="32">
        <f t="shared" si="1"/>
        <v>7.7023800354309463E-5</v>
      </c>
      <c r="I8" s="32">
        <f t="shared" si="2"/>
        <v>0.20218752347561819</v>
      </c>
      <c r="J8" s="33">
        <f t="shared" si="5"/>
        <v>472.50011111111127</v>
      </c>
      <c r="K8" s="33">
        <f t="shared" si="3"/>
        <v>9.6428594104308427</v>
      </c>
      <c r="L8" s="30">
        <v>160</v>
      </c>
      <c r="M8" s="34">
        <f t="shared" si="6"/>
        <v>0.30625000000000002</v>
      </c>
      <c r="N8" s="30">
        <v>266</v>
      </c>
      <c r="O8" s="35">
        <f t="shared" ref="O8:P8" si="16">D8/7</f>
        <v>7</v>
      </c>
      <c r="P8" s="35">
        <f t="shared" si="16"/>
        <v>0</v>
      </c>
      <c r="Q8" s="30">
        <f t="shared" si="8"/>
        <v>38</v>
      </c>
      <c r="R8" s="30"/>
      <c r="S8" s="36">
        <v>1.72465960665658</v>
      </c>
      <c r="T8" s="29">
        <v>1004</v>
      </c>
      <c r="U8" s="37">
        <v>200</v>
      </c>
      <c r="V8" s="38" t="s">
        <v>392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1.0648148148148149</v>
      </c>
      <c r="AD8" s="40">
        <f t="shared" si="12"/>
        <v>-50.088888888888889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393</v>
      </c>
      <c r="C9" s="16">
        <f t="shared" si="4"/>
        <v>48.463090909090909</v>
      </c>
      <c r="D9" s="30">
        <v>55</v>
      </c>
      <c r="E9" s="30">
        <v>0</v>
      </c>
      <c r="F9" s="31">
        <v>2665.47</v>
      </c>
      <c r="G9" s="31">
        <v>-0.23000000000000004</v>
      </c>
      <c r="H9" s="32">
        <f t="shared" si="1"/>
        <v>8.6288722064026258E-5</v>
      </c>
      <c r="I9" s="32">
        <f t="shared" si="2"/>
        <v>0.19267611132162293</v>
      </c>
      <c r="J9" s="33">
        <f t="shared" si="5"/>
        <v>513.57239444444622</v>
      </c>
      <c r="K9" s="33">
        <f t="shared" si="3"/>
        <v>9.337679898989931</v>
      </c>
      <c r="L9" s="30">
        <v>172</v>
      </c>
      <c r="M9" s="34">
        <f t="shared" si="6"/>
        <v>0.31976744186046513</v>
      </c>
      <c r="N9" s="30">
        <v>207</v>
      </c>
      <c r="O9" s="35">
        <f t="shared" ref="O9:P9" si="17">D9/7</f>
        <v>7.8571428571428568</v>
      </c>
      <c r="P9" s="35">
        <f t="shared" si="17"/>
        <v>0</v>
      </c>
      <c r="Q9" s="30">
        <f t="shared" si="8"/>
        <v>26</v>
      </c>
      <c r="R9" s="30"/>
      <c r="S9" s="36">
        <v>1.2983479105928</v>
      </c>
      <c r="T9" s="29">
        <v>1004</v>
      </c>
      <c r="U9" s="37">
        <v>200</v>
      </c>
      <c r="V9" s="38" t="s">
        <v>394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1.0648148148148149</v>
      </c>
      <c r="AD9" s="40">
        <f t="shared" si="12"/>
        <v>-56.222222222222214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54</v>
      </c>
      <c r="C10" s="16">
        <f t="shared" si="4"/>
        <v>49.058510638297854</v>
      </c>
      <c r="D10" s="30">
        <v>47</v>
      </c>
      <c r="E10" s="30">
        <v>0</v>
      </c>
      <c r="F10" s="31">
        <v>2305.7499999999991</v>
      </c>
      <c r="G10" s="31">
        <v>0</v>
      </c>
      <c r="H10" s="32">
        <f t="shared" si="1"/>
        <v>0</v>
      </c>
      <c r="I10" s="32">
        <f t="shared" si="2"/>
        <v>0.20073924705145391</v>
      </c>
      <c r="J10" s="33">
        <f t="shared" si="5"/>
        <v>462.85451888888969</v>
      </c>
      <c r="K10" s="33">
        <f t="shared" si="3"/>
        <v>9.8479684869976527</v>
      </c>
      <c r="L10" s="30">
        <v>173</v>
      </c>
      <c r="M10" s="34">
        <f t="shared" si="6"/>
        <v>0.27167630057803466</v>
      </c>
      <c r="N10" s="30">
        <v>362</v>
      </c>
      <c r="O10" s="35">
        <f t="shared" ref="O10:P10" si="18">D10/7</f>
        <v>6.7142857142857144</v>
      </c>
      <c r="P10" s="35">
        <f t="shared" si="18"/>
        <v>0</v>
      </c>
      <c r="Q10" s="30">
        <f t="shared" si="8"/>
        <v>53</v>
      </c>
      <c r="R10" s="30"/>
      <c r="S10" s="36">
        <v>1.23701298701298</v>
      </c>
      <c r="T10" s="29">
        <v>399</v>
      </c>
      <c r="U10" s="37">
        <v>399</v>
      </c>
      <c r="V10" s="38" t="s">
        <v>395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1.0648148148148149</v>
      </c>
      <c r="AD10" s="40">
        <f t="shared" si="12"/>
        <v>-48.044444444444437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378</v>
      </c>
      <c r="C11" s="16">
        <f t="shared" si="4"/>
        <v>48.592499999999987</v>
      </c>
      <c r="D11" s="30">
        <v>56</v>
      </c>
      <c r="E11" s="30">
        <v>0</v>
      </c>
      <c r="F11" s="31">
        <v>2721.1799999999994</v>
      </c>
      <c r="G11" s="31">
        <v>-0.28999999999999998</v>
      </c>
      <c r="H11" s="32">
        <f t="shared" si="1"/>
        <v>1.0657141387192323E-4</v>
      </c>
      <c r="I11" s="32">
        <f t="shared" si="2"/>
        <v>0.19440615059969957</v>
      </c>
      <c r="J11" s="33">
        <f t="shared" si="5"/>
        <v>529.01412888889035</v>
      </c>
      <c r="K11" s="33">
        <f t="shared" si="3"/>
        <v>9.4466808730158984</v>
      </c>
      <c r="L11" s="30">
        <v>145</v>
      </c>
      <c r="M11" s="34">
        <f t="shared" si="6"/>
        <v>0.38620689655172413</v>
      </c>
      <c r="N11" s="30">
        <v>315</v>
      </c>
      <c r="O11" s="35">
        <f t="shared" ref="O11:P11" si="19">D11/7</f>
        <v>8</v>
      </c>
      <c r="P11" s="35">
        <f t="shared" si="19"/>
        <v>0</v>
      </c>
      <c r="Q11" s="30">
        <f t="shared" si="8"/>
        <v>39</v>
      </c>
      <c r="R11" s="30"/>
      <c r="S11" s="36">
        <v>1.53439153439153</v>
      </c>
      <c r="T11" s="29">
        <v>399</v>
      </c>
      <c r="U11" s="37">
        <v>399</v>
      </c>
      <c r="V11" s="38" t="s">
        <v>396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1.0648148148148149</v>
      </c>
      <c r="AD11" s="40">
        <f t="shared" si="12"/>
        <v>-57.24444444444444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397</v>
      </c>
      <c r="C12" s="16">
        <f t="shared" si="4"/>
        <v>50.977472527472464</v>
      </c>
      <c r="D12" s="30">
        <v>91</v>
      </c>
      <c r="E12" s="30">
        <v>0</v>
      </c>
      <c r="F12" s="31">
        <v>4638.9499999999944</v>
      </c>
      <c r="G12" s="31">
        <v>-0.06</v>
      </c>
      <c r="H12" s="32">
        <f t="shared" si="1"/>
        <v>1.2933961349012184E-5</v>
      </c>
      <c r="I12" s="32">
        <f t="shared" si="2"/>
        <v>0.22516665073873271</v>
      </c>
      <c r="J12" s="33">
        <f t="shared" si="5"/>
        <v>1044.5368344444428</v>
      </c>
      <c r="K12" s="33">
        <f t="shared" si="3"/>
        <v>11.478426752136734</v>
      </c>
      <c r="L12" s="30">
        <v>186</v>
      </c>
      <c r="M12" s="34">
        <f t="shared" si="6"/>
        <v>0.489247311827957</v>
      </c>
      <c r="N12" s="30">
        <v>204</v>
      </c>
      <c r="O12" s="35">
        <f t="shared" ref="O12:P12" si="20">D12/7</f>
        <v>13</v>
      </c>
      <c r="P12" s="35">
        <f t="shared" si="20"/>
        <v>0</v>
      </c>
      <c r="Q12" s="30">
        <f t="shared" si="8"/>
        <v>15</v>
      </c>
      <c r="R12" s="30"/>
      <c r="S12" s="36">
        <v>2.3388704318936799</v>
      </c>
      <c r="T12" s="29">
        <v>955</v>
      </c>
      <c r="U12" s="37">
        <v>399</v>
      </c>
      <c r="V12" s="38" t="s">
        <v>395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1.0648148148148149</v>
      </c>
      <c r="AD12" s="40">
        <f t="shared" si="12"/>
        <v>-93.022222222222211</v>
      </c>
      <c r="AE12" s="40">
        <v>-13.2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398</v>
      </c>
      <c r="C13" s="16">
        <f t="shared" si="4"/>
        <v>51.668055555555547</v>
      </c>
      <c r="D13" s="30">
        <v>72</v>
      </c>
      <c r="E13" s="30">
        <v>0</v>
      </c>
      <c r="F13" s="33">
        <v>3720.0999999999995</v>
      </c>
      <c r="G13" s="31">
        <v>-0.08</v>
      </c>
      <c r="H13" s="32">
        <f t="shared" si="1"/>
        <v>2.1504798258111345E-5</v>
      </c>
      <c r="I13" s="32">
        <f t="shared" si="2"/>
        <v>0.22370793258245736</v>
      </c>
      <c r="J13" s="33">
        <f t="shared" si="5"/>
        <v>832.21587999999952</v>
      </c>
      <c r="K13" s="33">
        <f t="shared" si="3"/>
        <v>11.558553888888882</v>
      </c>
      <c r="L13" s="30">
        <v>127</v>
      </c>
      <c r="M13" s="34">
        <f t="shared" si="6"/>
        <v>0.56692913385826771</v>
      </c>
      <c r="N13" s="30">
        <v>135</v>
      </c>
      <c r="O13" s="35">
        <f t="shared" ref="O13:P13" si="21">D13/7</f>
        <v>10.285714285714286</v>
      </c>
      <c r="P13" s="35">
        <f t="shared" si="21"/>
        <v>0</v>
      </c>
      <c r="Q13" s="30">
        <f t="shared" si="8"/>
        <v>13</v>
      </c>
      <c r="R13" s="30"/>
      <c r="S13" s="36">
        <v>2.6334519572953701</v>
      </c>
      <c r="T13" s="29">
        <v>1281</v>
      </c>
      <c r="U13" s="37">
        <v>399</v>
      </c>
      <c r="V13" s="38" t="s">
        <v>399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1.0648148148148149</v>
      </c>
      <c r="AD13" s="40">
        <f t="shared" si="12"/>
        <v>-73.599999999999994</v>
      </c>
      <c r="AE13" s="40">
        <v>-13.2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400</v>
      </c>
      <c r="C14" s="16">
        <f t="shared" si="4"/>
        <v>53.154927536231824</v>
      </c>
      <c r="D14" s="30">
        <v>69</v>
      </c>
      <c r="E14" s="30">
        <v>0</v>
      </c>
      <c r="F14" s="33">
        <v>3667.689999999996</v>
      </c>
      <c r="G14" s="31">
        <v>-0.06</v>
      </c>
      <c r="H14" s="32">
        <f t="shared" si="1"/>
        <v>1.6359070695724028E-5</v>
      </c>
      <c r="I14" s="32">
        <f t="shared" si="2"/>
        <v>0.24123138178708237</v>
      </c>
      <c r="J14" s="33">
        <f t="shared" si="5"/>
        <v>884.76192666666316</v>
      </c>
      <c r="K14" s="33">
        <f t="shared" si="3"/>
        <v>12.822636618357437</v>
      </c>
      <c r="L14" s="30">
        <v>183</v>
      </c>
      <c r="M14" s="34">
        <f t="shared" si="6"/>
        <v>0.37704918032786883</v>
      </c>
      <c r="N14" s="30">
        <v>68</v>
      </c>
      <c r="O14" s="35">
        <f t="shared" ref="O14:P14" si="22">D14/7</f>
        <v>9.8571428571428577</v>
      </c>
      <c r="P14" s="35">
        <f t="shared" si="22"/>
        <v>0</v>
      </c>
      <c r="Q14" s="30">
        <f t="shared" si="8"/>
        <v>6</v>
      </c>
      <c r="R14" s="30"/>
      <c r="S14" s="36">
        <v>2.1305057096247899</v>
      </c>
      <c r="T14" s="29">
        <v>1112</v>
      </c>
      <c r="U14" s="37">
        <v>326</v>
      </c>
      <c r="V14" s="38" t="s">
        <v>401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1.0648148148148149</v>
      </c>
      <c r="AD14" s="40">
        <f t="shared" si="12"/>
        <v>-70.533333333333331</v>
      </c>
      <c r="AE14" s="40">
        <v>-13.2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54</v>
      </c>
      <c r="C15" s="16">
        <f t="shared" si="4"/>
        <v>56.240769230769168</v>
      </c>
      <c r="D15" s="30">
        <v>65</v>
      </c>
      <c r="E15" s="30">
        <v>0</v>
      </c>
      <c r="F15" s="33">
        <v>3655.649999999996</v>
      </c>
      <c r="G15" s="31">
        <v>-0.11</v>
      </c>
      <c r="H15" s="32">
        <f t="shared" si="1"/>
        <v>3.0090407998577579E-5</v>
      </c>
      <c r="I15" s="32">
        <f t="shared" si="2"/>
        <v>0.27461892017987305</v>
      </c>
      <c r="J15" s="33">
        <f t="shared" si="5"/>
        <v>1003.9106555555519</v>
      </c>
      <c r="K15" s="33">
        <f t="shared" si="3"/>
        <v>15.444779316239259</v>
      </c>
      <c r="L15" s="30">
        <v>183</v>
      </c>
      <c r="M15" s="34">
        <f t="shared" si="6"/>
        <v>0.3551912568306011</v>
      </c>
      <c r="N15" s="30">
        <v>407</v>
      </c>
      <c r="O15" s="35">
        <f t="shared" ref="O15:P15" si="23">D15/7</f>
        <v>9.2857142857142865</v>
      </c>
      <c r="P15" s="35">
        <f t="shared" si="23"/>
        <v>0</v>
      </c>
      <c r="Q15" s="30">
        <f t="shared" si="8"/>
        <v>43</v>
      </c>
      <c r="R15" s="30"/>
      <c r="S15" s="36">
        <v>1.79127134724857</v>
      </c>
      <c r="T15" s="29">
        <v>560</v>
      </c>
      <c r="U15" s="37">
        <v>230</v>
      </c>
      <c r="V15" s="38" t="s">
        <v>402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1.0648148148148149</v>
      </c>
      <c r="AD15" s="40">
        <f t="shared" si="12"/>
        <v>-66.444444444444443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56.645238095238042</v>
      </c>
      <c r="D16" s="30">
        <v>63</v>
      </c>
      <c r="E16" s="30">
        <v>0</v>
      </c>
      <c r="F16" s="33">
        <v>3568.6499999999965</v>
      </c>
      <c r="G16" s="31">
        <v>-0.08</v>
      </c>
      <c r="H16" s="32">
        <f t="shared" si="1"/>
        <v>2.241744076891824E-5</v>
      </c>
      <c r="I16" s="32">
        <f t="shared" si="2"/>
        <v>0.27873482129096383</v>
      </c>
      <c r="J16" s="33">
        <f t="shared" si="5"/>
        <v>994.70701999999699</v>
      </c>
      <c r="K16" s="33">
        <f t="shared" si="3"/>
        <v>15.789000317460269</v>
      </c>
      <c r="L16" s="30">
        <v>198</v>
      </c>
      <c r="M16" s="34">
        <f t="shared" si="6"/>
        <v>0.31818181818181818</v>
      </c>
      <c r="N16" s="30">
        <v>341</v>
      </c>
      <c r="O16" s="35">
        <f t="shared" ref="O16:P16" si="24">D16/7</f>
        <v>9</v>
      </c>
      <c r="P16" s="35">
        <f t="shared" si="24"/>
        <v>0</v>
      </c>
      <c r="Q16" s="30">
        <f t="shared" si="8"/>
        <v>37</v>
      </c>
      <c r="R16" s="30"/>
      <c r="S16" s="36">
        <v>2.3767660910517998</v>
      </c>
      <c r="T16" s="29">
        <v>560</v>
      </c>
      <c r="U16" s="37">
        <v>230</v>
      </c>
      <c r="V16" s="38" t="s">
        <v>403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1.0648148148148149</v>
      </c>
      <c r="AD16" s="40">
        <f t="shared" si="12"/>
        <v>-64.399999999999991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56.296499999999952</v>
      </c>
      <c r="D17" s="30">
        <v>60</v>
      </c>
      <c r="E17" s="30">
        <v>0</v>
      </c>
      <c r="F17" s="33">
        <v>3377.7899999999972</v>
      </c>
      <c r="G17" s="31">
        <v>-0.1</v>
      </c>
      <c r="H17" s="32">
        <f t="shared" si="1"/>
        <v>2.9605156033974904E-5</v>
      </c>
      <c r="I17" s="32">
        <f t="shared" si="2"/>
        <v>0.27518897464515701</v>
      </c>
      <c r="J17" s="33">
        <f t="shared" si="5"/>
        <v>929.53056666666419</v>
      </c>
      <c r="K17" s="33">
        <f t="shared" si="3"/>
        <v>15.492176111111069</v>
      </c>
      <c r="L17" s="30">
        <v>154</v>
      </c>
      <c r="M17" s="34">
        <f t="shared" si="6"/>
        <v>0.38961038961038963</v>
      </c>
      <c r="N17" s="30">
        <v>249</v>
      </c>
      <c r="O17" s="35">
        <f t="shared" ref="O17:P17" si="25">D17/7</f>
        <v>8.5714285714285712</v>
      </c>
      <c r="P17" s="35">
        <f t="shared" si="25"/>
        <v>0</v>
      </c>
      <c r="Q17" s="30">
        <f t="shared" si="8"/>
        <v>29</v>
      </c>
      <c r="R17" s="30"/>
      <c r="S17" s="36">
        <v>2.8811700182815301</v>
      </c>
      <c r="T17" s="29">
        <v>560</v>
      </c>
      <c r="U17" s="37">
        <v>230</v>
      </c>
      <c r="V17" s="38" t="s">
        <v>403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1.0648148148148149</v>
      </c>
      <c r="AD17" s="40">
        <f t="shared" si="12"/>
        <v>-61.333333333333329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404</v>
      </c>
      <c r="C18" s="16">
        <f t="shared" si="4"/>
        <v>56.76797979797972</v>
      </c>
      <c r="D18" s="30">
        <v>99</v>
      </c>
      <c r="E18" s="30">
        <v>1</v>
      </c>
      <c r="F18" s="33">
        <v>5620.0299999999925</v>
      </c>
      <c r="G18" s="31">
        <v>-0.32</v>
      </c>
      <c r="H18" s="32">
        <f t="shared" si="1"/>
        <v>5.6939197833463598E-5</v>
      </c>
      <c r="I18" s="32">
        <f t="shared" si="2"/>
        <v>0.2799354202735565</v>
      </c>
      <c r="J18" s="33">
        <f t="shared" si="5"/>
        <v>1573.2454599999937</v>
      </c>
      <c r="K18" s="33">
        <f t="shared" si="3"/>
        <v>15.891368282828219</v>
      </c>
      <c r="L18" s="30">
        <v>227</v>
      </c>
      <c r="M18" s="34">
        <f t="shared" si="6"/>
        <v>0.43612334801762115</v>
      </c>
      <c r="N18" s="30">
        <v>151</v>
      </c>
      <c r="O18" s="35">
        <f t="shared" ref="O18:P18" si="26">D18/7</f>
        <v>14.142857142857142</v>
      </c>
      <c r="P18" s="35">
        <f t="shared" si="26"/>
        <v>0.14285714285714285</v>
      </c>
      <c r="Q18" s="30">
        <f t="shared" si="8"/>
        <v>10</v>
      </c>
      <c r="R18" s="30"/>
      <c r="S18" s="36">
        <v>2.9837251356238599</v>
      </c>
      <c r="T18" s="29">
        <v>560</v>
      </c>
      <c r="U18" s="37">
        <v>326</v>
      </c>
      <c r="V18" s="38" t="s">
        <v>405</v>
      </c>
      <c r="W18" s="29">
        <v>1</v>
      </c>
      <c r="X18" s="39">
        <f t="shared" si="9"/>
        <v>1.0101010101010102E-2</v>
      </c>
      <c r="Y18" s="40">
        <f t="shared" si="10"/>
        <v>0.32</v>
      </c>
      <c r="Z18" s="29">
        <v>0</v>
      </c>
      <c r="AA18" s="29" t="s">
        <v>163</v>
      </c>
      <c r="AB18" s="41">
        <f t="shared" si="11"/>
        <v>-0.48</v>
      </c>
      <c r="AC18" s="42">
        <v>1.0648148148148149</v>
      </c>
      <c r="AD18" s="40">
        <f t="shared" si="12"/>
        <v>-101.19999999999999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406</v>
      </c>
      <c r="C19" s="16">
        <f t="shared" si="4"/>
        <v>57.281666666666638</v>
      </c>
      <c r="D19" s="30">
        <v>72</v>
      </c>
      <c r="E19" s="30">
        <v>1</v>
      </c>
      <c r="F19" s="33">
        <v>4124.2799999999979</v>
      </c>
      <c r="G19" s="31">
        <v>-0.1</v>
      </c>
      <c r="H19" s="32">
        <f t="shared" si="1"/>
        <v>2.4246656386084372E-5</v>
      </c>
      <c r="I19" s="32">
        <f t="shared" si="2"/>
        <v>0.28507979089683505</v>
      </c>
      <c r="J19" s="33">
        <f t="shared" si="5"/>
        <v>1175.7488799999983</v>
      </c>
      <c r="K19" s="33">
        <f t="shared" si="3"/>
        <v>16.329845555555533</v>
      </c>
      <c r="L19" s="30">
        <v>192</v>
      </c>
      <c r="M19" s="34">
        <f t="shared" si="6"/>
        <v>0.375</v>
      </c>
      <c r="N19" s="30">
        <v>305</v>
      </c>
      <c r="O19" s="35">
        <f t="shared" ref="O19:P19" si="27">D19/7</f>
        <v>10.285714285714286</v>
      </c>
      <c r="P19" s="35">
        <f t="shared" si="27"/>
        <v>0.14285714285714285</v>
      </c>
      <c r="Q19" s="30">
        <f t="shared" si="8"/>
        <v>29</v>
      </c>
      <c r="R19" s="30"/>
      <c r="S19" s="36">
        <v>2.1314432989690699</v>
      </c>
      <c r="T19" s="29">
        <v>1450</v>
      </c>
      <c r="U19" s="37">
        <v>326</v>
      </c>
      <c r="V19" s="38" t="s">
        <v>407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1.0648148148148149</v>
      </c>
      <c r="AD19" s="40">
        <f t="shared" si="12"/>
        <v>-73.599999999999994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408</v>
      </c>
      <c r="C20" s="16">
        <f t="shared" si="4"/>
        <v>59.992151898734136</v>
      </c>
      <c r="D20" s="30">
        <v>79</v>
      </c>
      <c r="E20" s="30">
        <v>0</v>
      </c>
      <c r="F20" s="33">
        <v>4739.3799999999965</v>
      </c>
      <c r="G20" s="31">
        <v>-0.08</v>
      </c>
      <c r="H20" s="32">
        <f t="shared" si="1"/>
        <v>1.6879845043022518E-5</v>
      </c>
      <c r="I20" s="32">
        <f t="shared" si="2"/>
        <v>0.31060953214227233</v>
      </c>
      <c r="J20" s="33">
        <f t="shared" si="5"/>
        <v>1472.0966044444415</v>
      </c>
      <c r="K20" s="33">
        <f t="shared" si="3"/>
        <v>18.634134233473944</v>
      </c>
      <c r="L20" s="30">
        <v>259</v>
      </c>
      <c r="M20" s="34">
        <f t="shared" si="6"/>
        <v>0.30501930501930502</v>
      </c>
      <c r="N20" s="30">
        <v>231</v>
      </c>
      <c r="O20" s="35">
        <f t="shared" ref="O20:P20" si="28">D20/7</f>
        <v>11.285714285714286</v>
      </c>
      <c r="P20" s="35">
        <f t="shared" si="28"/>
        <v>0</v>
      </c>
      <c r="Q20" s="30">
        <f t="shared" si="8"/>
        <v>20</v>
      </c>
      <c r="R20" s="30"/>
      <c r="S20" s="36">
        <v>2.7403846153846101</v>
      </c>
      <c r="T20" s="29">
        <v>1446</v>
      </c>
      <c r="U20" s="37">
        <v>326</v>
      </c>
      <c r="V20" s="38" t="s">
        <v>409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1.0648148148148149</v>
      </c>
      <c r="AD20" s="40">
        <f t="shared" si="12"/>
        <v>-80.755555555555546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410</v>
      </c>
      <c r="C21" s="16">
        <f t="shared" si="4"/>
        <v>62.49931372549019</v>
      </c>
      <c r="D21" s="30">
        <v>102</v>
      </c>
      <c r="E21" s="30">
        <v>0</v>
      </c>
      <c r="F21" s="33">
        <v>6374.9299999999994</v>
      </c>
      <c r="G21" s="31">
        <v>-0.34</v>
      </c>
      <c r="H21" s="32">
        <f t="shared" si="1"/>
        <v>5.3333918960678792E-5</v>
      </c>
      <c r="I21" s="32">
        <f t="shared" si="2"/>
        <v>0.33221006557457622</v>
      </c>
      <c r="J21" s="33">
        <f t="shared" si="5"/>
        <v>2117.8159133333329</v>
      </c>
      <c r="K21" s="33">
        <f t="shared" si="3"/>
        <v>20.762901111111105</v>
      </c>
      <c r="L21" s="30">
        <v>148</v>
      </c>
      <c r="M21" s="34">
        <f t="shared" si="6"/>
        <v>0.68918918918918914</v>
      </c>
      <c r="N21" s="30">
        <v>36</v>
      </c>
      <c r="O21" s="35">
        <f t="shared" ref="O21:P21" si="29">D21/7</f>
        <v>14.571428571428571</v>
      </c>
      <c r="P21" s="35">
        <f t="shared" si="29"/>
        <v>0</v>
      </c>
      <c r="Q21" s="30">
        <f t="shared" si="8"/>
        <v>2</v>
      </c>
      <c r="R21" s="30"/>
      <c r="S21" s="36">
        <v>4.6217616580310796</v>
      </c>
      <c r="T21" s="29">
        <v>1446</v>
      </c>
      <c r="U21" s="37">
        <v>326</v>
      </c>
      <c r="V21" s="38" t="s">
        <v>411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1.0648148148148149</v>
      </c>
      <c r="AD21" s="40">
        <f t="shared" si="12"/>
        <v>-104.26666666666665</v>
      </c>
      <c r="AE21" s="40">
        <v>-13.2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412</v>
      </c>
      <c r="C22" s="16">
        <f t="shared" si="4"/>
        <v>65.250434782608622</v>
      </c>
      <c r="D22" s="30">
        <v>46</v>
      </c>
      <c r="E22" s="30">
        <v>2</v>
      </c>
      <c r="F22" s="31">
        <v>3001.5199999999968</v>
      </c>
      <c r="G22" s="31">
        <v>-0.24</v>
      </c>
      <c r="H22" s="32">
        <f t="shared" si="1"/>
        <v>7.9959487193155554E-5</v>
      </c>
      <c r="I22" s="32">
        <f t="shared" si="2"/>
        <v>0.35401250625608915</v>
      </c>
      <c r="J22" s="33">
        <f t="shared" si="5"/>
        <v>1062.5756177777755</v>
      </c>
      <c r="K22" s="33">
        <f t="shared" si="3"/>
        <v>23.099469951690772</v>
      </c>
      <c r="L22" s="30">
        <v>211</v>
      </c>
      <c r="M22" s="34">
        <f t="shared" si="6"/>
        <v>0.21800947867298578</v>
      </c>
      <c r="N22" s="30">
        <v>86</v>
      </c>
      <c r="O22" s="35">
        <f t="shared" ref="O22:P22" si="30">D22/7</f>
        <v>6.5714285714285712</v>
      </c>
      <c r="P22" s="35">
        <f t="shared" si="30"/>
        <v>0.2857142857142857</v>
      </c>
      <c r="Q22" s="30">
        <f t="shared" si="8"/>
        <v>12</v>
      </c>
      <c r="R22" s="30"/>
      <c r="S22" s="36">
        <v>5.6338028169014001</v>
      </c>
      <c r="T22" s="29">
        <v>1450</v>
      </c>
      <c r="U22" s="37">
        <v>326</v>
      </c>
      <c r="V22" s="38" t="s">
        <v>413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1.0648148148148149</v>
      </c>
      <c r="AD22" s="40">
        <f t="shared" si="12"/>
        <v>-47.022222222222219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64.041219512195084</v>
      </c>
      <c r="D23" s="30">
        <v>41</v>
      </c>
      <c r="E23" s="30">
        <v>2</v>
      </c>
      <c r="F23" s="33">
        <v>2625.6899999999987</v>
      </c>
      <c r="G23" s="31">
        <v>-0.24</v>
      </c>
      <c r="H23" s="32">
        <f t="shared" si="1"/>
        <v>9.140454509100469E-5</v>
      </c>
      <c r="I23" s="32">
        <f t="shared" si="2"/>
        <v>0.34463742059759089</v>
      </c>
      <c r="J23" s="33">
        <f t="shared" si="5"/>
        <v>904.91102888888804</v>
      </c>
      <c r="K23" s="33">
        <f t="shared" si="3"/>
        <v>22.071000704607027</v>
      </c>
      <c r="L23" s="30">
        <v>152</v>
      </c>
      <c r="M23" s="34">
        <f t="shared" si="6"/>
        <v>0.26973684210526316</v>
      </c>
      <c r="N23" s="30">
        <v>43</v>
      </c>
      <c r="O23" s="35">
        <f t="shared" ref="O23:P23" si="31">D23/7</f>
        <v>5.8571428571428568</v>
      </c>
      <c r="P23" s="35">
        <f t="shared" si="31"/>
        <v>0.2857142857142857</v>
      </c>
      <c r="Q23" s="30">
        <f t="shared" si="8"/>
        <v>7</v>
      </c>
      <c r="R23" s="30"/>
      <c r="S23" s="36">
        <v>3.46589817483189</v>
      </c>
      <c r="T23" s="29">
        <v>1124</v>
      </c>
      <c r="U23" s="37" t="s">
        <v>34</v>
      </c>
      <c r="V23" s="38" t="s">
        <v>414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1.0648148148148149</v>
      </c>
      <c r="AD23" s="40">
        <f t="shared" si="12"/>
        <v>-41.911111111111111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415</v>
      </c>
      <c r="C24" s="16">
        <f t="shared" si="4"/>
        <v>67.989999999999995</v>
      </c>
      <c r="D24" s="30">
        <v>2</v>
      </c>
      <c r="E24" s="30">
        <v>0</v>
      </c>
      <c r="F24" s="33">
        <v>135.97999999999999</v>
      </c>
      <c r="G24" s="33">
        <v>-0.08</v>
      </c>
      <c r="H24" s="32">
        <f t="shared" si="1"/>
        <v>5.8832181203118106E-4</v>
      </c>
      <c r="I24" s="32">
        <f t="shared" si="2"/>
        <v>0.37348606821264563</v>
      </c>
      <c r="J24" s="33">
        <f t="shared" si="5"/>
        <v>50.786635555555549</v>
      </c>
      <c r="K24" s="33">
        <f t="shared" si="3"/>
        <v>25.393317777777774</v>
      </c>
      <c r="L24" s="30">
        <v>41</v>
      </c>
      <c r="M24" s="34">
        <f t="shared" si="6"/>
        <v>4.878048780487805E-2</v>
      </c>
      <c r="N24" s="30">
        <v>331</v>
      </c>
      <c r="O24" s="35">
        <f t="shared" ref="O24:P24" si="32">D24/7</f>
        <v>0.2857142857142857</v>
      </c>
      <c r="P24" s="35">
        <f t="shared" si="32"/>
        <v>0</v>
      </c>
      <c r="Q24" s="30">
        <f t="shared" si="8"/>
        <v>1158</v>
      </c>
      <c r="R24" s="30"/>
      <c r="S24" s="36">
        <v>2.4672897196261601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Summary!A1:AD5000""),9,FALSE),"""")"),1769)</f>
        <v>1769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Summary!A1:AD5000""),28,FALSE),"""")"),4)</f>
        <v>4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4 - 07/01/21 | AGL271: 345 - 08/15/21 | AGL229: 300 - 08/22/21")</f>
        <v xml:space="preserve"> | AGL195: 4 - 07/01/21 | AGL271: 345 - 08/15/21 | AGL229: 300 - 08/22/21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1.0648148148148149</v>
      </c>
      <c r="AD24" s="40">
        <f t="shared" si="12"/>
        <v>-2.0444444444444443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416</v>
      </c>
      <c r="C25" s="16">
        <f t="shared" si="4"/>
        <v>59.384999999999998</v>
      </c>
      <c r="D25" s="17">
        <v>6</v>
      </c>
      <c r="E25" s="17">
        <v>0</v>
      </c>
      <c r="F25" s="18">
        <v>356.31</v>
      </c>
      <c r="G25" s="18">
        <v>-0.14000000000000001</v>
      </c>
      <c r="H25" s="32">
        <f t="shared" si="1"/>
        <v>3.9291628076674811E-4</v>
      </c>
      <c r="I25" s="32">
        <f t="shared" si="2"/>
        <v>0.3046509125948379</v>
      </c>
      <c r="J25" s="33">
        <f t="shared" si="5"/>
        <v>108.55016666666668</v>
      </c>
      <c r="K25" s="33">
        <f t="shared" si="3"/>
        <v>18.091694444444446</v>
      </c>
      <c r="L25" s="17">
        <v>142</v>
      </c>
      <c r="M25" s="34">
        <f t="shared" si="6"/>
        <v>4.2253521126760563E-2</v>
      </c>
      <c r="N25" s="17">
        <v>330</v>
      </c>
      <c r="O25" s="35">
        <f t="shared" ref="O25:P25" si="33">D25/7</f>
        <v>0.8571428571428571</v>
      </c>
      <c r="P25" s="35">
        <f t="shared" si="33"/>
        <v>0</v>
      </c>
      <c r="Q25" s="30">
        <f t="shared" si="8"/>
        <v>385</v>
      </c>
      <c r="R25" s="30"/>
      <c r="S25" s="36">
        <v>2.4672897196261601</v>
      </c>
      <c r="T25" s="29">
        <v>1124</v>
      </c>
      <c r="U25" s="37">
        <v>4</v>
      </c>
      <c r="V25" s="38" t="s">
        <v>417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1.0648148148148149</v>
      </c>
      <c r="AD25" s="40">
        <f t="shared" si="12"/>
        <v>-6.1333333333333329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418</v>
      </c>
      <c r="C26" s="16">
        <f t="shared" si="4"/>
        <v>56.79</v>
      </c>
      <c r="D26" s="17">
        <v>10</v>
      </c>
      <c r="E26" s="17">
        <v>0</v>
      </c>
      <c r="F26" s="18">
        <v>567.9</v>
      </c>
      <c r="G26" s="18">
        <v>-0.38</v>
      </c>
      <c r="H26" s="32">
        <f t="shared" si="1"/>
        <v>6.6913188941715093E-4</v>
      </c>
      <c r="I26" s="32">
        <f t="shared" si="2"/>
        <v>0.27250075326250706</v>
      </c>
      <c r="J26" s="33">
        <f t="shared" si="5"/>
        <v>154.75317777777775</v>
      </c>
      <c r="K26" s="33">
        <f t="shared" si="3"/>
        <v>15.475317777777775</v>
      </c>
      <c r="L26" s="17">
        <v>162</v>
      </c>
      <c r="M26" s="34">
        <f t="shared" si="6"/>
        <v>6.1728395061728392E-2</v>
      </c>
      <c r="N26" s="17">
        <v>319</v>
      </c>
      <c r="O26" s="35">
        <f t="shared" ref="O26:P26" si="34">D26/7</f>
        <v>1.4285714285714286</v>
      </c>
      <c r="P26" s="35">
        <f t="shared" si="34"/>
        <v>0</v>
      </c>
      <c r="Q26" s="30">
        <f t="shared" si="8"/>
        <v>223</v>
      </c>
      <c r="R26" s="30"/>
      <c r="S26" s="22">
        <v>3.4643734643734638</v>
      </c>
      <c r="T26" s="29">
        <v>1424</v>
      </c>
      <c r="U26" s="37">
        <v>4</v>
      </c>
      <c r="V26" s="38" t="s">
        <v>419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1.0648148148148149</v>
      </c>
      <c r="AD26" s="40">
        <f t="shared" si="12"/>
        <v>-10.222222222222221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420</v>
      </c>
      <c r="C27" s="16">
        <f t="shared" si="4"/>
        <v>55.282222222222224</v>
      </c>
      <c r="D27" s="17">
        <v>18</v>
      </c>
      <c r="E27" s="17">
        <v>0</v>
      </c>
      <c r="F27" s="18">
        <v>995.08</v>
      </c>
      <c r="G27" s="18">
        <v>-0.48</v>
      </c>
      <c r="H27" s="32">
        <f t="shared" si="1"/>
        <v>4.8237327652048075E-4</v>
      </c>
      <c r="I27" s="32">
        <f t="shared" si="2"/>
        <v>0.2569549382964183</v>
      </c>
      <c r="J27" s="33">
        <f t="shared" si="5"/>
        <v>255.69071999999991</v>
      </c>
      <c r="K27" s="33">
        <f t="shared" si="3"/>
        <v>14.205039999999995</v>
      </c>
      <c r="L27" s="17">
        <v>192</v>
      </c>
      <c r="M27" s="34">
        <f t="shared" si="6"/>
        <v>9.375E-2</v>
      </c>
      <c r="N27" s="17">
        <v>31</v>
      </c>
      <c r="O27" s="35">
        <f t="shared" ref="O27:P27" si="35">D27/7</f>
        <v>2.5714285714285716</v>
      </c>
      <c r="P27" s="35">
        <f t="shared" si="35"/>
        <v>0</v>
      </c>
      <c r="Q27" s="30">
        <f t="shared" si="8"/>
        <v>12</v>
      </c>
      <c r="R27" s="30"/>
      <c r="S27" s="22">
        <v>3.5574229691876749</v>
      </c>
      <c r="T27" s="29">
        <v>1424</v>
      </c>
      <c r="U27" s="37">
        <v>4</v>
      </c>
      <c r="V27" s="38" t="s">
        <v>419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1.0648148148148149</v>
      </c>
      <c r="AD27" s="40">
        <f t="shared" si="12"/>
        <v>-18.399999999999999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421</v>
      </c>
      <c r="C28" s="16">
        <f t="shared" si="4"/>
        <v>53.943666666666665</v>
      </c>
      <c r="D28" s="17">
        <v>120</v>
      </c>
      <c r="E28" s="17">
        <v>0</v>
      </c>
      <c r="F28" s="18">
        <v>6473.24</v>
      </c>
      <c r="G28" s="18">
        <v>-0.35</v>
      </c>
      <c r="H28" s="32">
        <f t="shared" si="1"/>
        <v>5.4068750733790188E-5</v>
      </c>
      <c r="I28" s="32">
        <f t="shared" si="2"/>
        <v>0.24267942071255397</v>
      </c>
      <c r="J28" s="33">
        <f t="shared" si="5"/>
        <v>1570.9221333333328</v>
      </c>
      <c r="K28" s="33">
        <f t="shared" si="3"/>
        <v>13.091017777777774</v>
      </c>
      <c r="L28" s="17">
        <v>356</v>
      </c>
      <c r="M28" s="34">
        <f t="shared" si="6"/>
        <v>0.33707865168539325</v>
      </c>
      <c r="N28" s="17">
        <v>219</v>
      </c>
      <c r="O28" s="35">
        <f t="shared" ref="O28:P28" si="36">D28/7</f>
        <v>17.142857142857142</v>
      </c>
      <c r="P28" s="35">
        <f t="shared" si="36"/>
        <v>0</v>
      </c>
      <c r="Q28" s="30">
        <f t="shared" si="8"/>
        <v>12</v>
      </c>
      <c r="R28" s="30"/>
      <c r="S28" s="22">
        <v>2.58869395711501</v>
      </c>
      <c r="T28" s="15" t="s">
        <v>34</v>
      </c>
      <c r="U28" s="23">
        <v>649</v>
      </c>
      <c r="V28" s="1" t="s">
        <v>422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1.0648148148148149</v>
      </c>
      <c r="AD28" s="40">
        <f t="shared" si="12"/>
        <v>-122.66666666666666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423</v>
      </c>
      <c r="C29" s="16">
        <f t="shared" si="4"/>
        <v>58.352247191011237</v>
      </c>
      <c r="D29" s="17">
        <v>89</v>
      </c>
      <c r="E29" s="17">
        <v>0</v>
      </c>
      <c r="F29" s="18">
        <v>5193.3500000000004</v>
      </c>
      <c r="G29" s="18">
        <v>-0.12</v>
      </c>
      <c r="H29" s="32">
        <f t="shared" si="1"/>
        <v>2.3106472700665271E-5</v>
      </c>
      <c r="I29" s="32">
        <f t="shared" si="2"/>
        <v>0.28859007812341203</v>
      </c>
      <c r="J29" s="33">
        <f t="shared" si="5"/>
        <v>1498.7492822222221</v>
      </c>
      <c r="K29" s="33">
        <f t="shared" si="3"/>
        <v>16.839879575530585</v>
      </c>
      <c r="L29" s="17">
        <v>374</v>
      </c>
      <c r="M29" s="34">
        <f t="shared" si="6"/>
        <v>0.23796791443850268</v>
      </c>
      <c r="N29" s="17">
        <v>87</v>
      </c>
      <c r="O29" s="35">
        <f t="shared" ref="O29:P29" si="37">D29/7</f>
        <v>12.714285714285714</v>
      </c>
      <c r="P29" s="35">
        <f t="shared" si="37"/>
        <v>0</v>
      </c>
      <c r="Q29" s="30">
        <f t="shared" si="8"/>
        <v>6</v>
      </c>
      <c r="R29" s="30"/>
      <c r="S29" s="22">
        <v>2.7431906614785988</v>
      </c>
      <c r="T29" s="15" t="s">
        <v>34</v>
      </c>
      <c r="U29" s="23">
        <v>649</v>
      </c>
      <c r="V29" s="1" t="s">
        <v>424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1.0648148148148149</v>
      </c>
      <c r="AD29" s="40">
        <f t="shared" si="12"/>
        <v>-90.977777777777774</v>
      </c>
      <c r="AE29" s="26">
        <v>-13.6</v>
      </c>
      <c r="AF29" s="26">
        <v>-18.135960000000001</v>
      </c>
      <c r="AG29" s="26">
        <v>0</v>
      </c>
    </row>
    <row r="30" spans="1:33" ht="15.75" customHeight="1" x14ac:dyDescent="0.2">
      <c r="A30" s="15" t="s">
        <v>90</v>
      </c>
      <c r="B30" s="15" t="s">
        <v>172</v>
      </c>
      <c r="C30" s="16">
        <f t="shared" si="4"/>
        <v>65.775714285714287</v>
      </c>
      <c r="D30" s="17">
        <v>14</v>
      </c>
      <c r="E30" s="17">
        <v>0</v>
      </c>
      <c r="F30" s="18">
        <v>920.86</v>
      </c>
      <c r="G30" s="18">
        <v>0</v>
      </c>
      <c r="H30" s="32">
        <f t="shared" si="1"/>
        <v>0</v>
      </c>
      <c r="I30" s="32">
        <f t="shared" si="2"/>
        <v>0.31362280698356843</v>
      </c>
      <c r="J30" s="33">
        <f t="shared" si="5"/>
        <v>288.80269803888882</v>
      </c>
      <c r="K30" s="33">
        <f t="shared" si="3"/>
        <v>20.628764145634914</v>
      </c>
      <c r="L30" s="17">
        <v>156</v>
      </c>
      <c r="M30" s="34">
        <f t="shared" si="6"/>
        <v>8.9743589743589744E-2</v>
      </c>
      <c r="N30" s="17">
        <v>40</v>
      </c>
      <c r="O30" s="35">
        <f t="shared" ref="O30:P30" si="38">D30/7</f>
        <v>2</v>
      </c>
      <c r="P30" s="35">
        <f t="shared" si="38"/>
        <v>0</v>
      </c>
      <c r="Q30" s="30">
        <f t="shared" si="8"/>
        <v>20</v>
      </c>
      <c r="R30" s="30"/>
      <c r="S30" s="22">
        <v>3.863387978142077</v>
      </c>
      <c r="T30" s="15" t="s">
        <v>34</v>
      </c>
      <c r="U30" s="23">
        <v>649</v>
      </c>
      <c r="V30" s="1" t="s">
        <v>425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1.0648148148148149</v>
      </c>
      <c r="AD30" s="40">
        <f t="shared" si="12"/>
        <v>-14.31111111111111</v>
      </c>
      <c r="AE30" s="26">
        <v>-13.6</v>
      </c>
      <c r="AF30" s="26">
        <v>-20.658370775000002</v>
      </c>
      <c r="AG30" s="26">
        <v>0</v>
      </c>
    </row>
    <row r="31" spans="1:33" ht="15.75" customHeight="1" x14ac:dyDescent="0.2">
      <c r="A31" s="29" t="s">
        <v>93</v>
      </c>
      <c r="B31" s="15" t="s">
        <v>172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31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>
        <v>3.7184750733137801</v>
      </c>
      <c r="T31" s="15">
        <v>475</v>
      </c>
      <c r="U31" s="23">
        <v>645</v>
      </c>
      <c r="V31" s="1" t="s">
        <v>426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1.0648148148148149</v>
      </c>
      <c r="AD31" s="40">
        <f t="shared" si="12"/>
        <v>0</v>
      </c>
      <c r="AE31" s="26">
        <v>-13.6</v>
      </c>
      <c r="AF31" s="43">
        <v>-20.658370775000002</v>
      </c>
      <c r="AG31" s="26">
        <v>0</v>
      </c>
    </row>
    <row r="32" spans="1:33" ht="15.75" customHeight="1" x14ac:dyDescent="0.2">
      <c r="A32" s="15" t="s">
        <v>96</v>
      </c>
      <c r="B32" s="15" t="s">
        <v>172</v>
      </c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31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3.1603498542274049</v>
      </c>
      <c r="T32" s="15">
        <f ca="1">IFERROR(__xludf.DUMMYFUNCTION("IFERROR(VLOOKUP($B$2,IMPORTRANGE(""https://docs.google.com/spreadsheets/d/1KiWZV1ko8G7lnRucBRBd29jj3Be6ltMfljMDqzOkQmI/edit#gid=1381463014"",""Lookup!A:D""),4,FALSE),"""")"),475)</f>
        <v>475</v>
      </c>
      <c r="U32" s="23">
        <f ca="1">IFERROR(__xludf.DUMMYFUNCTION("IFERROR(VLOOKUP($B$2,IMPORTRANGE(""https://docs.google.com/spreadsheets/d/1KiWZV1ko8G7lnRucBRBd29jj3Be6ltMfljMDqzOkQmI/edit#gid=1381463014"",""Lookup!A:D""),3,FALSE),"""")"),645)</f>
        <v>645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- 300 units 08/22| AGL271  - 345 units 08/23")</f>
        <v>| AGL229  - 300 units 08/22| AGL271  - 345 units 08/23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1.0648148148148149</v>
      </c>
      <c r="AD32" s="40">
        <f t="shared" si="12"/>
        <v>0</v>
      </c>
      <c r="AE32" s="26">
        <v>-13.6</v>
      </c>
      <c r="AF32" s="26">
        <v>-20.658370775000002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0.6640625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4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Info!B1:BJ5000""),3,FALSE),"""")"),"Sandwich Board - Sidewalk Chalkboard Sign with Chalk &amp; Eraser for Menu")</f>
        <v>Sandwich Board - Sidewalk Chalkboard Sign with Chalk &amp; Eraser for Menu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Info!B1:BJ5000""),2,FALSE),"""")"),"B073WLD7ZZ")</f>
        <v>B073WLD7ZZ</v>
      </c>
      <c r="B2" s="3" t="s">
        <v>427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25.25" customHeight="1" x14ac:dyDescent="0.2">
      <c r="A3" s="57" t="s">
        <v>31</v>
      </c>
      <c r="B3" s="58"/>
      <c r="C3" s="4">
        <f>((AE32+AF32)/0.85)*-1</f>
        <v>41.977783264705884</v>
      </c>
      <c r="D3" s="5">
        <f>SUM(D4:D99519)</f>
        <v>2998</v>
      </c>
      <c r="E3" s="5"/>
      <c r="F3" s="6">
        <f t="shared" ref="F3:G3" si="0">SUM(F4:F99519)</f>
        <v>175327.70999999967</v>
      </c>
      <c r="G3" s="6">
        <f t="shared" si="0"/>
        <v>-1355.7399999999996</v>
      </c>
      <c r="H3" s="7">
        <f t="shared" ref="H3:H32" si="1">G3/F3*-1</f>
        <v>7.7326054164512962E-3</v>
      </c>
      <c r="I3" s="8">
        <f t="shared" ref="I3:I32" si="2">J3/F3</f>
        <v>0.28933641358433104</v>
      </c>
      <c r="J3" s="6">
        <f>SUM(J4:J99519)</f>
        <v>50728.690813353554</v>
      </c>
      <c r="K3" s="6">
        <f t="shared" ref="K3:K32" si="3">J3/D3</f>
        <v>16.920844167229337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Sheet!a1:g5000""),2,FALSE),"""")"),"16 - March
20 - April
22 - May
25 - June
25 - July
25 - Aug
20 - Sept
18 - Oct
10 - Nov
10 - Dec
12 - Jan
12 - Feb")</f>
        <v>16 - March
20 - April
22 - May
25 - June
25 - July
25 - Aug
20 - Sept
18 - Oct
10 - Nov
10 - Dec
12 - Jan
12 -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89</v>
      </c>
      <c r="X3" s="7">
        <f>W3/D3</f>
        <v>2.9686457638425617E-2</v>
      </c>
      <c r="Y3" s="6"/>
      <c r="Z3" s="5"/>
      <c r="AA3" s="5"/>
      <c r="AB3" s="5"/>
      <c r="AC3" s="5"/>
      <c r="AD3" s="6">
        <f>SUM(AD4:AD99519)</f>
        <v>-3102.6554545770573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x14ac:dyDescent="0.2">
      <c r="A4" s="15" t="s">
        <v>32</v>
      </c>
      <c r="B4" s="15" t="s">
        <v>428</v>
      </c>
      <c r="C4" s="16">
        <f t="shared" ref="C4:C32" si="4">IFERROR(F4/D4," - ")</f>
        <v>54.989999999999966</v>
      </c>
      <c r="D4" s="17">
        <v>50</v>
      </c>
      <c r="E4" s="17">
        <v>0</v>
      </c>
      <c r="F4" s="18">
        <v>2749.4999999999982</v>
      </c>
      <c r="G4" s="18">
        <v>-94.410000000000011</v>
      </c>
      <c r="H4" s="19">
        <f t="shared" si="1"/>
        <v>3.4337152209492662E-2</v>
      </c>
      <c r="I4" s="19">
        <f t="shared" si="2"/>
        <v>0.25302724737831084</v>
      </c>
      <c r="J4" s="18">
        <f t="shared" ref="J4:J32" si="5">F4*0.85+G4+AF4*D4+D4*AE4+AG4+AD4</f>
        <v>695.69841666666514</v>
      </c>
      <c r="K4" s="18">
        <f t="shared" si="3"/>
        <v>13.913968333333303</v>
      </c>
      <c r="L4" s="17">
        <v>147</v>
      </c>
      <c r="M4" s="20">
        <f t="shared" ref="M4:M32" si="6">IFERROR(D4/L4,"-")</f>
        <v>0.3401360544217687</v>
      </c>
      <c r="N4" s="17">
        <v>160</v>
      </c>
      <c r="O4" s="21">
        <f t="shared" ref="O4:P4" si="7">D4/7</f>
        <v>7.1428571428571432</v>
      </c>
      <c r="P4" s="21">
        <f t="shared" si="7"/>
        <v>0</v>
      </c>
      <c r="Q4" s="17">
        <f t="shared" ref="Q4:Q32" si="8">ROUNDDOWN(N4/(O4+P4),0)</f>
        <v>22</v>
      </c>
      <c r="R4" s="17"/>
      <c r="S4" s="22">
        <v>2.73871983210912</v>
      </c>
      <c r="T4" s="15" t="s">
        <v>34</v>
      </c>
      <c r="U4" s="23" t="s">
        <v>34</v>
      </c>
      <c r="V4" s="24" t="s">
        <v>34</v>
      </c>
      <c r="W4" s="15">
        <v>4</v>
      </c>
      <c r="X4" s="25">
        <f t="shared" ref="X4:X32" si="9">IFERROR(W4/D4,0)</f>
        <v>0.08</v>
      </c>
      <c r="Y4" s="26">
        <f t="shared" ref="Y4:Y32" si="10">IFERROR(G4/(W4+Z4)*-1,0)</f>
        <v>6.7435714285714292</v>
      </c>
      <c r="Z4" s="15">
        <v>10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1.1166458333333333</v>
      </c>
      <c r="AD4" s="26">
        <f t="shared" ref="AD4:AD32" si="12">IFERROR(AB4*AC4*D4*2,0)</f>
        <v>-53.598999999999997</v>
      </c>
      <c r="AE4" s="26">
        <v>-13.2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29" t="s">
        <v>54</v>
      </c>
      <c r="C5" s="16">
        <f t="shared" si="4"/>
        <v>55.804814814814712</v>
      </c>
      <c r="D5" s="30">
        <v>81</v>
      </c>
      <c r="E5" s="30">
        <v>0</v>
      </c>
      <c r="F5" s="31">
        <v>4520.1899999999914</v>
      </c>
      <c r="G5" s="31">
        <v>-105.03999999999999</v>
      </c>
      <c r="H5" s="32">
        <f t="shared" si="1"/>
        <v>2.323796123614277E-2</v>
      </c>
      <c r="I5" s="32">
        <f t="shared" si="2"/>
        <v>0.27231930968011031</v>
      </c>
      <c r="J5" s="33">
        <f t="shared" si="5"/>
        <v>1230.9350204229354</v>
      </c>
      <c r="K5" s="33">
        <f t="shared" si="3"/>
        <v>15.196728647196734</v>
      </c>
      <c r="L5" s="30">
        <v>315</v>
      </c>
      <c r="M5" s="34">
        <f t="shared" si="6"/>
        <v>0.25714285714285712</v>
      </c>
      <c r="N5" s="30">
        <v>710</v>
      </c>
      <c r="O5" s="35">
        <f t="shared" ref="O5:P5" si="13">D5/7</f>
        <v>11.571428571428571</v>
      </c>
      <c r="P5" s="35">
        <f t="shared" si="13"/>
        <v>0</v>
      </c>
      <c r="Q5" s="30">
        <f t="shared" si="8"/>
        <v>61</v>
      </c>
      <c r="R5" s="30"/>
      <c r="S5" s="36">
        <v>1.99447295696802</v>
      </c>
      <c r="T5" s="29" t="s">
        <v>34</v>
      </c>
      <c r="U5" s="37" t="s">
        <v>34</v>
      </c>
      <c r="V5" s="38" t="s">
        <v>34</v>
      </c>
      <c r="W5" s="29">
        <v>11</v>
      </c>
      <c r="X5" s="39">
        <f t="shared" si="9"/>
        <v>0.13580246913580246</v>
      </c>
      <c r="Y5" s="40">
        <f t="shared" si="10"/>
        <v>5.8355555555555547</v>
      </c>
      <c r="Z5" s="29">
        <v>7</v>
      </c>
      <c r="AA5" s="29" t="s">
        <v>163</v>
      </c>
      <c r="AB5" s="41">
        <f t="shared" si="11"/>
        <v>-0.48</v>
      </c>
      <c r="AC5" s="42">
        <v>1.1179397450753186</v>
      </c>
      <c r="AD5" s="40">
        <f t="shared" si="12"/>
        <v>-86.930994577056765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429</v>
      </c>
      <c r="C6" s="16">
        <f t="shared" si="4"/>
        <v>54.293333333333266</v>
      </c>
      <c r="D6" s="30">
        <v>66</v>
      </c>
      <c r="E6" s="30">
        <v>0</v>
      </c>
      <c r="F6" s="31">
        <v>3583.3599999999956</v>
      </c>
      <c r="G6" s="31">
        <v>-109.52999999999997</v>
      </c>
      <c r="H6" s="32">
        <f t="shared" si="1"/>
        <v>3.0566284157885367E-2</v>
      </c>
      <c r="I6" s="32">
        <f t="shared" si="2"/>
        <v>0.24957863848455006</v>
      </c>
      <c r="J6" s="33">
        <f t="shared" si="5"/>
        <v>894.33010999999624</v>
      </c>
      <c r="K6" s="33">
        <f t="shared" si="3"/>
        <v>13.550456212121155</v>
      </c>
      <c r="L6" s="30">
        <v>301</v>
      </c>
      <c r="M6" s="34">
        <f t="shared" si="6"/>
        <v>0.21926910299003322</v>
      </c>
      <c r="N6" s="30">
        <v>636</v>
      </c>
      <c r="O6" s="35">
        <f t="shared" ref="O6:P6" si="14">D6/7</f>
        <v>9.4285714285714288</v>
      </c>
      <c r="P6" s="35">
        <f t="shared" si="14"/>
        <v>0</v>
      </c>
      <c r="Q6" s="30">
        <f t="shared" si="8"/>
        <v>67</v>
      </c>
      <c r="R6" s="30"/>
      <c r="S6" s="36">
        <v>2.1838979322481298</v>
      </c>
      <c r="T6" s="29">
        <v>2022</v>
      </c>
      <c r="U6" s="37">
        <v>600</v>
      </c>
      <c r="V6" s="38" t="s">
        <v>430</v>
      </c>
      <c r="W6" s="29">
        <v>6</v>
      </c>
      <c r="X6" s="39">
        <f t="shared" si="9"/>
        <v>9.0909090909090912E-2</v>
      </c>
      <c r="Y6" s="40">
        <f t="shared" si="10"/>
        <v>9.9572727272727253</v>
      </c>
      <c r="Z6" s="29">
        <v>5</v>
      </c>
      <c r="AA6" s="29" t="s">
        <v>163</v>
      </c>
      <c r="AB6" s="41">
        <f t="shared" si="11"/>
        <v>-0.48</v>
      </c>
      <c r="AC6" s="42">
        <v>1.1166458333333333</v>
      </c>
      <c r="AD6" s="40">
        <f t="shared" si="12"/>
        <v>-70.750679999999988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431</v>
      </c>
      <c r="C7" s="16">
        <f t="shared" si="4"/>
        <v>55.989999999999931</v>
      </c>
      <c r="D7" s="30">
        <v>58</v>
      </c>
      <c r="E7" s="30">
        <v>0</v>
      </c>
      <c r="F7" s="31">
        <v>3247.419999999996</v>
      </c>
      <c r="G7" s="31">
        <v>-138.4</v>
      </c>
      <c r="H7" s="32">
        <f t="shared" si="1"/>
        <v>4.2618447875544335E-2</v>
      </c>
      <c r="I7" s="32">
        <f t="shared" si="2"/>
        <v>0.25479481044439301</v>
      </c>
      <c r="J7" s="33">
        <f t="shared" si="5"/>
        <v>827.42576333332966</v>
      </c>
      <c r="K7" s="33">
        <f t="shared" si="3"/>
        <v>14.265961436781545</v>
      </c>
      <c r="L7" s="30">
        <v>363</v>
      </c>
      <c r="M7" s="34">
        <f t="shared" si="6"/>
        <v>0.15977961432506887</v>
      </c>
      <c r="N7" s="30">
        <v>596</v>
      </c>
      <c r="O7" s="35">
        <f t="shared" ref="O7:P7" si="15">D7/7</f>
        <v>8.2857142857142865</v>
      </c>
      <c r="P7" s="35">
        <f t="shared" si="15"/>
        <v>0</v>
      </c>
      <c r="Q7" s="30">
        <f t="shared" si="8"/>
        <v>71</v>
      </c>
      <c r="R7" s="30"/>
      <c r="S7" s="36">
        <v>2.46995708154506</v>
      </c>
      <c r="T7" s="29">
        <v>2022</v>
      </c>
      <c r="U7" s="37">
        <v>600</v>
      </c>
      <c r="V7" s="38" t="s">
        <v>432</v>
      </c>
      <c r="W7" s="29">
        <v>3</v>
      </c>
      <c r="X7" s="39">
        <f t="shared" si="9"/>
        <v>5.1724137931034482E-2</v>
      </c>
      <c r="Y7" s="40">
        <f t="shared" si="10"/>
        <v>10.646153846153847</v>
      </c>
      <c r="Z7" s="29">
        <v>10</v>
      </c>
      <c r="AA7" s="29" t="s">
        <v>163</v>
      </c>
      <c r="AB7" s="41">
        <f t="shared" si="11"/>
        <v>-0.48</v>
      </c>
      <c r="AC7" s="42">
        <v>1.1166458333333333</v>
      </c>
      <c r="AD7" s="40">
        <f t="shared" si="12"/>
        <v>-62.174839999999996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54.746046511627839</v>
      </c>
      <c r="D8" s="30">
        <v>86</v>
      </c>
      <c r="E8" s="30">
        <v>0</v>
      </c>
      <c r="F8" s="31">
        <v>4708.1599999999944</v>
      </c>
      <c r="G8" s="31">
        <v>-128.68</v>
      </c>
      <c r="H8" s="32">
        <f t="shared" si="1"/>
        <v>2.733127166451441E-2</v>
      </c>
      <c r="I8" s="32">
        <f t="shared" si="2"/>
        <v>0.25747759634336903</v>
      </c>
      <c r="J8" s="33">
        <f t="shared" si="5"/>
        <v>1212.2457199999949</v>
      </c>
      <c r="K8" s="33">
        <f t="shared" si="3"/>
        <v>14.09588046511622</v>
      </c>
      <c r="L8" s="30">
        <v>306</v>
      </c>
      <c r="M8" s="34">
        <f t="shared" si="6"/>
        <v>0.28104575163398693</v>
      </c>
      <c r="N8" s="30">
        <v>518</v>
      </c>
      <c r="O8" s="35">
        <f t="shared" ref="O8:P8" si="16">D8/7</f>
        <v>12.285714285714286</v>
      </c>
      <c r="P8" s="35">
        <f t="shared" si="16"/>
        <v>0</v>
      </c>
      <c r="Q8" s="30">
        <f t="shared" si="8"/>
        <v>42</v>
      </c>
      <c r="R8" s="30"/>
      <c r="S8" s="36">
        <v>2.7611837577426002</v>
      </c>
      <c r="T8" s="29">
        <v>2019</v>
      </c>
      <c r="U8" s="37">
        <v>600</v>
      </c>
      <c r="V8" s="38" t="s">
        <v>433</v>
      </c>
      <c r="W8" s="29">
        <v>7</v>
      </c>
      <c r="X8" s="39">
        <f t="shared" si="9"/>
        <v>8.1395348837209308E-2</v>
      </c>
      <c r="Y8" s="40">
        <f t="shared" si="10"/>
        <v>8.0425000000000004</v>
      </c>
      <c r="Z8" s="29">
        <v>9</v>
      </c>
      <c r="AA8" s="29" t="s">
        <v>163</v>
      </c>
      <c r="AB8" s="41">
        <f t="shared" si="11"/>
        <v>-0.48</v>
      </c>
      <c r="AC8" s="42">
        <v>1.1166458333333333</v>
      </c>
      <c r="AD8" s="40">
        <f t="shared" si="12"/>
        <v>-92.190280000000001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183</v>
      </c>
      <c r="C9" s="16">
        <f t="shared" si="4"/>
        <v>53.403152173912929</v>
      </c>
      <c r="D9" s="30">
        <v>92</v>
      </c>
      <c r="E9" s="30">
        <v>2</v>
      </c>
      <c r="F9" s="31">
        <v>4913.0899999999892</v>
      </c>
      <c r="G9" s="31">
        <v>-144.57999999999998</v>
      </c>
      <c r="H9" s="32">
        <f t="shared" si="1"/>
        <v>2.9427508960755921E-2</v>
      </c>
      <c r="I9" s="32">
        <f t="shared" si="2"/>
        <v>0.2232009495721286</v>
      </c>
      <c r="J9" s="33">
        <f t="shared" si="5"/>
        <v>1096.606353333327</v>
      </c>
      <c r="K9" s="33">
        <f t="shared" si="3"/>
        <v>11.919634275362251</v>
      </c>
      <c r="L9" s="30">
        <v>329</v>
      </c>
      <c r="M9" s="34">
        <f t="shared" si="6"/>
        <v>0.2796352583586626</v>
      </c>
      <c r="N9" s="30">
        <v>422</v>
      </c>
      <c r="O9" s="35">
        <f t="shared" ref="O9:P9" si="17">D9/7</f>
        <v>13.142857142857142</v>
      </c>
      <c r="P9" s="35">
        <f t="shared" si="17"/>
        <v>0.2857142857142857</v>
      </c>
      <c r="Q9" s="30">
        <f t="shared" si="8"/>
        <v>31</v>
      </c>
      <c r="R9" s="30"/>
      <c r="S9" s="36">
        <v>1.8727097396335499</v>
      </c>
      <c r="T9" s="29">
        <v>2019</v>
      </c>
      <c r="U9" s="37">
        <v>600</v>
      </c>
      <c r="V9" s="38" t="s">
        <v>434</v>
      </c>
      <c r="W9" s="29">
        <v>12</v>
      </c>
      <c r="X9" s="39">
        <f t="shared" si="9"/>
        <v>0.13043478260869565</v>
      </c>
      <c r="Y9" s="40">
        <f t="shared" si="10"/>
        <v>7.6094736842105251</v>
      </c>
      <c r="Z9" s="29">
        <v>7</v>
      </c>
      <c r="AA9" s="29" t="s">
        <v>163</v>
      </c>
      <c r="AB9" s="41">
        <f t="shared" si="11"/>
        <v>-0.48</v>
      </c>
      <c r="AC9" s="42">
        <v>1.1166458333333333</v>
      </c>
      <c r="AD9" s="40">
        <f t="shared" si="12"/>
        <v>-98.622159999999994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54</v>
      </c>
      <c r="C10" s="16">
        <f t="shared" si="4"/>
        <v>52.748850574712563</v>
      </c>
      <c r="D10" s="30">
        <v>87</v>
      </c>
      <c r="E10" s="30">
        <v>0</v>
      </c>
      <c r="F10" s="31">
        <v>4589.1499999999933</v>
      </c>
      <c r="G10" s="31">
        <v>-143.44999999999999</v>
      </c>
      <c r="H10" s="32">
        <f t="shared" si="1"/>
        <v>3.1258511924866304E-2</v>
      </c>
      <c r="I10" s="32">
        <f t="shared" si="2"/>
        <v>0.2147822719530485</v>
      </c>
      <c r="J10" s="33">
        <f t="shared" si="5"/>
        <v>985.66806333333102</v>
      </c>
      <c r="K10" s="33">
        <f t="shared" si="3"/>
        <v>11.329517969348633</v>
      </c>
      <c r="L10" s="30">
        <v>367</v>
      </c>
      <c r="M10" s="34">
        <f t="shared" si="6"/>
        <v>0.23705722070844687</v>
      </c>
      <c r="N10" s="30">
        <v>948</v>
      </c>
      <c r="O10" s="35">
        <f t="shared" ref="O10:P10" si="18">D10/7</f>
        <v>12.428571428571429</v>
      </c>
      <c r="P10" s="35">
        <f t="shared" si="18"/>
        <v>0</v>
      </c>
      <c r="Q10" s="30">
        <f t="shared" si="8"/>
        <v>76</v>
      </c>
      <c r="R10" s="30"/>
      <c r="S10" s="36">
        <v>1.53674258702191</v>
      </c>
      <c r="T10" s="29">
        <v>400</v>
      </c>
      <c r="U10" s="37">
        <v>400</v>
      </c>
      <c r="V10" s="38" t="s">
        <v>435</v>
      </c>
      <c r="W10" s="29">
        <v>13</v>
      </c>
      <c r="X10" s="39">
        <f t="shared" si="9"/>
        <v>0.14942528735632185</v>
      </c>
      <c r="Y10" s="40">
        <f t="shared" si="10"/>
        <v>7.1724999999999994</v>
      </c>
      <c r="Z10" s="29">
        <v>7</v>
      </c>
      <c r="AA10" s="29" t="s">
        <v>163</v>
      </c>
      <c r="AB10" s="41">
        <f t="shared" si="11"/>
        <v>-0.48</v>
      </c>
      <c r="AC10" s="42">
        <v>1.0714699074074074</v>
      </c>
      <c r="AD10" s="40">
        <f t="shared" si="12"/>
        <v>-89.489166666666677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53.989999999999917</v>
      </c>
      <c r="D11" s="30">
        <v>82</v>
      </c>
      <c r="E11" s="30">
        <v>0</v>
      </c>
      <c r="F11" s="31">
        <v>4427.179999999993</v>
      </c>
      <c r="G11" s="31">
        <v>-137.04000000000002</v>
      </c>
      <c r="H11" s="32">
        <f t="shared" si="1"/>
        <v>3.0954241752086033E-2</v>
      </c>
      <c r="I11" s="32">
        <f t="shared" si="2"/>
        <v>0.22897066203668123</v>
      </c>
      <c r="J11" s="33">
        <f t="shared" si="5"/>
        <v>1013.6943355555528</v>
      </c>
      <c r="K11" s="33">
        <f t="shared" si="3"/>
        <v>12.3621260433604</v>
      </c>
      <c r="L11" s="30">
        <v>318</v>
      </c>
      <c r="M11" s="34">
        <f t="shared" si="6"/>
        <v>0.25786163522012578</v>
      </c>
      <c r="N11" s="30">
        <v>865</v>
      </c>
      <c r="O11" s="35">
        <f t="shared" ref="O11:P11" si="19">D11/7</f>
        <v>11.714285714285714</v>
      </c>
      <c r="P11" s="35">
        <f t="shared" si="19"/>
        <v>0</v>
      </c>
      <c r="Q11" s="30">
        <f t="shared" si="8"/>
        <v>73</v>
      </c>
      <c r="R11" s="30"/>
      <c r="S11" s="36">
        <v>1.7090909090908999</v>
      </c>
      <c r="T11" s="29">
        <v>400</v>
      </c>
      <c r="U11" s="37">
        <v>400</v>
      </c>
      <c r="V11" s="38" t="s">
        <v>435</v>
      </c>
      <c r="W11" s="29">
        <v>8</v>
      </c>
      <c r="X11" s="39">
        <f t="shared" si="9"/>
        <v>9.7560975609756101E-2</v>
      </c>
      <c r="Y11" s="40">
        <f t="shared" si="10"/>
        <v>6.5257142857142867</v>
      </c>
      <c r="Z11" s="29">
        <v>13</v>
      </c>
      <c r="AA11" s="29" t="s">
        <v>163</v>
      </c>
      <c r="AB11" s="41">
        <f t="shared" si="11"/>
        <v>-0.48</v>
      </c>
      <c r="AC11" s="42">
        <v>1.0714699074074074</v>
      </c>
      <c r="AD11" s="40">
        <f t="shared" si="12"/>
        <v>-84.346111111111114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428</v>
      </c>
      <c r="C12" s="16">
        <f t="shared" si="4"/>
        <v>53.989999999999874</v>
      </c>
      <c r="D12" s="30">
        <v>128</v>
      </c>
      <c r="E12" s="30">
        <v>0</v>
      </c>
      <c r="F12" s="31">
        <v>6910.7199999999839</v>
      </c>
      <c r="G12" s="31">
        <v>-145.04999999999998</v>
      </c>
      <c r="H12" s="32">
        <f t="shared" si="1"/>
        <v>2.0989129931468838E-2</v>
      </c>
      <c r="I12" s="32">
        <f t="shared" si="2"/>
        <v>0.23893577385729789</v>
      </c>
      <c r="J12" s="33">
        <f t="shared" si="5"/>
        <v>1651.2182311111019</v>
      </c>
      <c r="K12" s="33">
        <f t="shared" si="3"/>
        <v>12.900142430555483</v>
      </c>
      <c r="L12" s="30">
        <v>435</v>
      </c>
      <c r="M12" s="34">
        <f t="shared" si="6"/>
        <v>0.29425287356321839</v>
      </c>
      <c r="N12" s="30">
        <v>637</v>
      </c>
      <c r="O12" s="35">
        <f t="shared" ref="O12:P12" si="20">D12/7</f>
        <v>18.285714285714285</v>
      </c>
      <c r="P12" s="35">
        <f t="shared" si="20"/>
        <v>0</v>
      </c>
      <c r="Q12" s="30">
        <f t="shared" si="8"/>
        <v>34</v>
      </c>
      <c r="R12" s="30"/>
      <c r="S12" s="36">
        <v>2.0334293948126798</v>
      </c>
      <c r="T12" s="29">
        <v>1362</v>
      </c>
      <c r="U12" s="37">
        <v>400</v>
      </c>
      <c r="V12" s="38" t="s">
        <v>436</v>
      </c>
      <c r="W12" s="29">
        <v>9</v>
      </c>
      <c r="X12" s="39">
        <f t="shared" si="9"/>
        <v>7.03125E-2</v>
      </c>
      <c r="Y12" s="40">
        <f t="shared" si="10"/>
        <v>7.6342105263157887</v>
      </c>
      <c r="Z12" s="29">
        <v>10</v>
      </c>
      <c r="AA12" s="29" t="s">
        <v>163</v>
      </c>
      <c r="AB12" s="41">
        <f t="shared" si="11"/>
        <v>-0.48</v>
      </c>
      <c r="AC12" s="42">
        <v>1.0714699074074074</v>
      </c>
      <c r="AD12" s="40">
        <f t="shared" si="12"/>
        <v>-131.66222222222223</v>
      </c>
      <c r="AE12" s="40">
        <v>-13.2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437</v>
      </c>
      <c r="C13" s="16">
        <f t="shared" si="4"/>
        <v>55.657110091743064</v>
      </c>
      <c r="D13" s="30">
        <v>218</v>
      </c>
      <c r="E13" s="30">
        <v>0</v>
      </c>
      <c r="F13" s="33">
        <v>12133.249999999987</v>
      </c>
      <c r="G13" s="31">
        <v>-163.01</v>
      </c>
      <c r="H13" s="32">
        <f t="shared" si="1"/>
        <v>1.3434982383120776E-2</v>
      </c>
      <c r="I13" s="32">
        <f t="shared" si="2"/>
        <v>0.25506570768572068</v>
      </c>
      <c r="J13" s="33">
        <f t="shared" si="5"/>
        <v>3094.7759977777673</v>
      </c>
      <c r="K13" s="33">
        <f t="shared" si="3"/>
        <v>14.196220173292511</v>
      </c>
      <c r="L13" s="30">
        <v>342</v>
      </c>
      <c r="M13" s="34">
        <f t="shared" si="6"/>
        <v>0.63742690058479534</v>
      </c>
      <c r="N13" s="30">
        <v>473</v>
      </c>
      <c r="O13" s="35">
        <f t="shared" ref="O13:P13" si="21">D13/7</f>
        <v>31.142857142857142</v>
      </c>
      <c r="P13" s="35">
        <f t="shared" si="21"/>
        <v>0</v>
      </c>
      <c r="Q13" s="30">
        <f t="shared" si="8"/>
        <v>15</v>
      </c>
      <c r="R13" s="30"/>
      <c r="S13" s="36">
        <v>2.45628415300546</v>
      </c>
      <c r="T13" s="29">
        <v>1704</v>
      </c>
      <c r="U13" s="37">
        <v>400</v>
      </c>
      <c r="V13" s="38" t="s">
        <v>438</v>
      </c>
      <c r="W13" s="29">
        <v>12</v>
      </c>
      <c r="X13" s="39">
        <f t="shared" si="9"/>
        <v>5.5045871559633031E-2</v>
      </c>
      <c r="Y13" s="40">
        <f t="shared" si="10"/>
        <v>8.1504999999999992</v>
      </c>
      <c r="Z13" s="29">
        <v>8</v>
      </c>
      <c r="AA13" s="29" t="s">
        <v>163</v>
      </c>
      <c r="AB13" s="41">
        <f t="shared" si="11"/>
        <v>-0.48</v>
      </c>
      <c r="AC13" s="42">
        <v>1.0714699074074074</v>
      </c>
      <c r="AD13" s="40">
        <f t="shared" si="12"/>
        <v>-224.23722222222221</v>
      </c>
      <c r="AE13" s="40">
        <v>-13.2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54</v>
      </c>
      <c r="C14" s="16">
        <f t="shared" si="4"/>
        <v>57.758595041322188</v>
      </c>
      <c r="D14" s="30">
        <v>121</v>
      </c>
      <c r="E14" s="30">
        <v>0</v>
      </c>
      <c r="F14" s="33">
        <v>6988.7899999999845</v>
      </c>
      <c r="G14" s="31">
        <v>-22.279999999999998</v>
      </c>
      <c r="H14" s="32">
        <f t="shared" si="1"/>
        <v>3.1879624369883838E-3</v>
      </c>
      <c r="I14" s="32">
        <f t="shared" si="2"/>
        <v>0.28646996054475055</v>
      </c>
      <c r="J14" s="33">
        <f t="shared" si="5"/>
        <v>2002.0783955555428</v>
      </c>
      <c r="K14" s="33">
        <f t="shared" si="3"/>
        <v>16.54610244260779</v>
      </c>
      <c r="L14" s="30">
        <v>383</v>
      </c>
      <c r="M14" s="34">
        <f t="shared" si="6"/>
        <v>0.31592689295039167</v>
      </c>
      <c r="N14" s="30">
        <v>774</v>
      </c>
      <c r="O14" s="35">
        <f t="shared" ref="O14:P14" si="22">D14/7</f>
        <v>17.285714285714285</v>
      </c>
      <c r="P14" s="35">
        <f t="shared" si="22"/>
        <v>0</v>
      </c>
      <c r="Q14" s="30">
        <f t="shared" si="8"/>
        <v>44</v>
      </c>
      <c r="R14" s="30"/>
      <c r="S14" s="36">
        <v>1.5707317073170699</v>
      </c>
      <c r="T14" s="29">
        <v>1924</v>
      </c>
      <c r="U14" s="37">
        <v>342</v>
      </c>
      <c r="V14" s="38" t="s">
        <v>439</v>
      </c>
      <c r="W14" s="29">
        <v>3</v>
      </c>
      <c r="X14" s="39">
        <f t="shared" si="9"/>
        <v>2.4793388429752067E-2</v>
      </c>
      <c r="Y14" s="40">
        <f t="shared" si="10"/>
        <v>7.4266666666666659</v>
      </c>
      <c r="Z14" s="29">
        <v>0</v>
      </c>
      <c r="AA14" s="29" t="s">
        <v>163</v>
      </c>
      <c r="AB14" s="41">
        <f t="shared" si="11"/>
        <v>-0.48</v>
      </c>
      <c r="AC14" s="42">
        <v>1.0714699074074074</v>
      </c>
      <c r="AD14" s="40">
        <f t="shared" si="12"/>
        <v>-124.46194444444444</v>
      </c>
      <c r="AE14" s="40">
        <v>-13.2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54</v>
      </c>
      <c r="C15" s="16">
        <f t="shared" si="4"/>
        <v>57.476814159291891</v>
      </c>
      <c r="D15" s="30">
        <v>113</v>
      </c>
      <c r="E15" s="30">
        <v>0</v>
      </c>
      <c r="F15" s="33">
        <v>6494.8799999999837</v>
      </c>
      <c r="G15" s="31">
        <v>0</v>
      </c>
      <c r="H15" s="32">
        <f t="shared" si="1"/>
        <v>0</v>
      </c>
      <c r="I15" s="32">
        <f t="shared" si="2"/>
        <v>0.28691083814395879</v>
      </c>
      <c r="J15" s="33">
        <f t="shared" si="5"/>
        <v>1863.4514644444303</v>
      </c>
      <c r="K15" s="33">
        <f t="shared" si="3"/>
        <v>16.490720924286993</v>
      </c>
      <c r="L15" s="30">
        <v>364</v>
      </c>
      <c r="M15" s="34">
        <f t="shared" si="6"/>
        <v>0.31043956043956045</v>
      </c>
      <c r="N15" s="30">
        <v>672</v>
      </c>
      <c r="O15" s="35">
        <f t="shared" ref="O15:P15" si="23">D15/7</f>
        <v>16.142857142857142</v>
      </c>
      <c r="P15" s="35">
        <f t="shared" si="23"/>
        <v>0</v>
      </c>
      <c r="Q15" s="30">
        <f t="shared" si="8"/>
        <v>41</v>
      </c>
      <c r="R15" s="30"/>
      <c r="S15" s="36">
        <v>1.8748505380629701</v>
      </c>
      <c r="T15" s="29">
        <v>1205</v>
      </c>
      <c r="U15" s="37">
        <v>620</v>
      </c>
      <c r="V15" s="38" t="s">
        <v>440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1.0714699074074074</v>
      </c>
      <c r="AD15" s="40">
        <f t="shared" si="12"/>
        <v>-116.23305555555555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57.989999999999874</v>
      </c>
      <c r="D16" s="30">
        <v>115</v>
      </c>
      <c r="E16" s="30">
        <v>0</v>
      </c>
      <c r="F16" s="33">
        <v>6668.8499999999858</v>
      </c>
      <c r="G16" s="31">
        <v>-0.1</v>
      </c>
      <c r="H16" s="32">
        <f t="shared" si="1"/>
        <v>1.4995089108317059E-5</v>
      </c>
      <c r="I16" s="32">
        <f t="shared" si="2"/>
        <v>0.29187893298278023</v>
      </c>
      <c r="J16" s="33">
        <f t="shared" si="5"/>
        <v>1946.4968222222099</v>
      </c>
      <c r="K16" s="33">
        <f t="shared" si="3"/>
        <v>16.926059323671389</v>
      </c>
      <c r="L16" s="30">
        <v>380</v>
      </c>
      <c r="M16" s="34">
        <f t="shared" si="6"/>
        <v>0.30263157894736842</v>
      </c>
      <c r="N16" s="30">
        <v>575</v>
      </c>
      <c r="O16" s="35">
        <f t="shared" ref="O16:P16" si="24">D16/7</f>
        <v>16.428571428571427</v>
      </c>
      <c r="P16" s="35">
        <f t="shared" si="24"/>
        <v>0</v>
      </c>
      <c r="Q16" s="30">
        <f t="shared" si="8"/>
        <v>35</v>
      </c>
      <c r="R16" s="30"/>
      <c r="S16" s="36">
        <v>2.2599277978339298</v>
      </c>
      <c r="T16" s="29">
        <v>1205</v>
      </c>
      <c r="U16" s="37">
        <v>620</v>
      </c>
      <c r="V16" s="38" t="s">
        <v>441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1.0714699074074074</v>
      </c>
      <c r="AD16" s="40">
        <f t="shared" si="12"/>
        <v>-118.29027777777779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57.989999999999874</v>
      </c>
      <c r="D17" s="30">
        <v>105</v>
      </c>
      <c r="E17" s="30">
        <v>0</v>
      </c>
      <c r="F17" s="33">
        <v>6088.9499999999871</v>
      </c>
      <c r="G17" s="31">
        <v>-0.1</v>
      </c>
      <c r="H17" s="32">
        <f t="shared" si="1"/>
        <v>1.6423192832918685E-5</v>
      </c>
      <c r="I17" s="32">
        <f t="shared" si="2"/>
        <v>0.29187750487905562</v>
      </c>
      <c r="J17" s="33">
        <f t="shared" si="5"/>
        <v>1777.2275333333218</v>
      </c>
      <c r="K17" s="33">
        <f t="shared" si="3"/>
        <v>16.925976507936397</v>
      </c>
      <c r="L17" s="30">
        <v>361</v>
      </c>
      <c r="M17" s="34">
        <f t="shared" si="6"/>
        <v>0.29085872576177285</v>
      </c>
      <c r="N17" s="30">
        <v>464</v>
      </c>
      <c r="O17" s="35">
        <f t="shared" ref="O17:P17" si="25">D17/7</f>
        <v>15</v>
      </c>
      <c r="P17" s="35">
        <f t="shared" si="25"/>
        <v>0</v>
      </c>
      <c r="Q17" s="30">
        <f t="shared" si="8"/>
        <v>30</v>
      </c>
      <c r="R17" s="30"/>
      <c r="S17" s="36">
        <v>2.8611713665943599</v>
      </c>
      <c r="T17" s="29">
        <v>1205</v>
      </c>
      <c r="U17" s="37">
        <v>620</v>
      </c>
      <c r="V17" s="38" t="s">
        <v>441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1.0714699074074074</v>
      </c>
      <c r="AD17" s="40">
        <f t="shared" si="12"/>
        <v>-108.00416666666666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404</v>
      </c>
      <c r="C18" s="16">
        <f t="shared" si="4"/>
        <v>58.020145631067798</v>
      </c>
      <c r="D18" s="30">
        <v>206</v>
      </c>
      <c r="E18" s="30">
        <v>0</v>
      </c>
      <c r="F18" s="33">
        <v>11952.149999999967</v>
      </c>
      <c r="G18" s="31">
        <v>-0.18</v>
      </c>
      <c r="H18" s="32">
        <f t="shared" si="1"/>
        <v>1.5060051957179293E-5</v>
      </c>
      <c r="I18" s="32">
        <f t="shared" si="2"/>
        <v>0.29216884419214051</v>
      </c>
      <c r="J18" s="33">
        <f t="shared" si="5"/>
        <v>3492.0458511110828</v>
      </c>
      <c r="K18" s="33">
        <f t="shared" si="3"/>
        <v>16.95167888888875</v>
      </c>
      <c r="L18" s="30">
        <v>495</v>
      </c>
      <c r="M18" s="34">
        <f t="shared" si="6"/>
        <v>0.41616161616161618</v>
      </c>
      <c r="N18" s="30">
        <v>296</v>
      </c>
      <c r="O18" s="35">
        <f t="shared" ref="O18:P18" si="26">D18/7</f>
        <v>29.428571428571427</v>
      </c>
      <c r="P18" s="35">
        <f t="shared" si="26"/>
        <v>0</v>
      </c>
      <c r="Q18" s="30">
        <f t="shared" si="8"/>
        <v>10</v>
      </c>
      <c r="R18" s="30"/>
      <c r="S18" s="36">
        <v>2.2099009900990101</v>
      </c>
      <c r="T18" s="29">
        <v>1205</v>
      </c>
      <c r="U18" s="37">
        <v>464</v>
      </c>
      <c r="V18" s="38" t="s">
        <v>442</v>
      </c>
      <c r="W18" s="29">
        <v>0</v>
      </c>
      <c r="X18" s="39">
        <f t="shared" si="9"/>
        <v>0</v>
      </c>
      <c r="Y18" s="40">
        <f t="shared" si="10"/>
        <v>0.18</v>
      </c>
      <c r="Z18" s="29">
        <v>1</v>
      </c>
      <c r="AA18" s="29" t="s">
        <v>163</v>
      </c>
      <c r="AB18" s="41">
        <f t="shared" si="11"/>
        <v>-0.48</v>
      </c>
      <c r="AC18" s="42">
        <v>1.0714699074074074</v>
      </c>
      <c r="AD18" s="40">
        <f t="shared" si="12"/>
        <v>-211.89388888888891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406</v>
      </c>
      <c r="C19" s="16">
        <f t="shared" si="4"/>
        <v>58.826601307189392</v>
      </c>
      <c r="D19" s="30">
        <v>153</v>
      </c>
      <c r="E19" s="30">
        <v>0</v>
      </c>
      <c r="F19" s="33">
        <v>9000.4699999999775</v>
      </c>
      <c r="G19" s="31">
        <v>-0.16</v>
      </c>
      <c r="H19" s="32">
        <f t="shared" si="1"/>
        <v>1.7776849431196416E-5</v>
      </c>
      <c r="I19" s="32">
        <f t="shared" si="2"/>
        <v>0.29981324530829917</v>
      </c>
      <c r="J19" s="33">
        <f t="shared" si="5"/>
        <v>2698.4601199999806</v>
      </c>
      <c r="K19" s="33">
        <f t="shared" si="3"/>
        <v>17.636994248365887</v>
      </c>
      <c r="L19" s="30">
        <v>505</v>
      </c>
      <c r="M19" s="34">
        <f t="shared" si="6"/>
        <v>0.30297029702970296</v>
      </c>
      <c r="N19" s="30">
        <v>746</v>
      </c>
      <c r="O19" s="35">
        <f t="shared" ref="O19:P19" si="27">D19/7</f>
        <v>21.857142857142858</v>
      </c>
      <c r="P19" s="35">
        <f t="shared" si="27"/>
        <v>0</v>
      </c>
      <c r="Q19" s="30">
        <f t="shared" si="8"/>
        <v>34</v>
      </c>
      <c r="R19" s="30"/>
      <c r="S19" s="36">
        <v>1.82778986633509</v>
      </c>
      <c r="T19" s="29">
        <v>2685</v>
      </c>
      <c r="U19" s="37">
        <v>464</v>
      </c>
      <c r="V19" s="38" t="s">
        <v>443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1.0714699074074074</v>
      </c>
      <c r="AD19" s="40">
        <f t="shared" si="12"/>
        <v>-157.3775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408</v>
      </c>
      <c r="C20" s="16">
        <f t="shared" si="4"/>
        <v>60.267162790697483</v>
      </c>
      <c r="D20" s="30">
        <v>215</v>
      </c>
      <c r="E20" s="30">
        <v>0</v>
      </c>
      <c r="F20" s="33">
        <v>12957.439999999959</v>
      </c>
      <c r="G20" s="31">
        <v>-0.08</v>
      </c>
      <c r="H20" s="32">
        <f t="shared" si="1"/>
        <v>6.1740590733972339E-6</v>
      </c>
      <c r="I20" s="32">
        <f t="shared" si="2"/>
        <v>0.31297549601704405</v>
      </c>
      <c r="J20" s="33">
        <f t="shared" si="5"/>
        <v>4055.3612111110747</v>
      </c>
      <c r="K20" s="33">
        <f t="shared" si="3"/>
        <v>18.862145167958488</v>
      </c>
      <c r="L20" s="30">
        <v>551</v>
      </c>
      <c r="M20" s="34">
        <f t="shared" si="6"/>
        <v>0.39019963702359345</v>
      </c>
      <c r="N20" s="30">
        <v>544</v>
      </c>
      <c r="O20" s="35">
        <f t="shared" ref="O20:P20" si="28">D20/7</f>
        <v>30.714285714285715</v>
      </c>
      <c r="P20" s="35">
        <f t="shared" si="28"/>
        <v>0</v>
      </c>
      <c r="Q20" s="30">
        <f t="shared" si="8"/>
        <v>17</v>
      </c>
      <c r="R20" s="30"/>
      <c r="S20" s="36">
        <v>2.3816125501641698</v>
      </c>
      <c r="T20" s="29">
        <v>2564</v>
      </c>
      <c r="U20" s="37">
        <v>464</v>
      </c>
      <c r="V20" s="38" t="s">
        <v>444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1.0714699074074074</v>
      </c>
      <c r="AD20" s="40">
        <f t="shared" si="12"/>
        <v>-221.1513888888889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410</v>
      </c>
      <c r="C21" s="16">
        <f t="shared" si="4"/>
        <v>62.416731517509653</v>
      </c>
      <c r="D21" s="30">
        <v>257</v>
      </c>
      <c r="E21" s="30">
        <v>0</v>
      </c>
      <c r="F21" s="33">
        <v>16041.09999999998</v>
      </c>
      <c r="G21" s="31">
        <v>-0.28000000000000003</v>
      </c>
      <c r="H21" s="32">
        <f t="shared" si="1"/>
        <v>1.7455162052477721E-5</v>
      </c>
      <c r="I21" s="32">
        <f t="shared" si="2"/>
        <v>0.33145857980091348</v>
      </c>
      <c r="J21" s="33">
        <f t="shared" si="5"/>
        <v>5316.9602244444268</v>
      </c>
      <c r="K21" s="33">
        <f t="shared" si="3"/>
        <v>20.688561184608666</v>
      </c>
      <c r="L21" s="30">
        <v>342</v>
      </c>
      <c r="M21" s="34">
        <f t="shared" si="6"/>
        <v>0.75146198830409361</v>
      </c>
      <c r="N21" s="30">
        <v>73</v>
      </c>
      <c r="O21" s="35">
        <f t="shared" ref="O21:P21" si="29">D21/7</f>
        <v>36.714285714285715</v>
      </c>
      <c r="P21" s="35">
        <f t="shared" si="29"/>
        <v>0</v>
      </c>
      <c r="Q21" s="30">
        <f t="shared" si="8"/>
        <v>1</v>
      </c>
      <c r="R21" s="30"/>
      <c r="S21" s="36">
        <v>3.9105291871249301</v>
      </c>
      <c r="T21" s="29">
        <v>2564</v>
      </c>
      <c r="U21" s="37">
        <v>464</v>
      </c>
      <c r="V21" s="38" t="s">
        <v>445</v>
      </c>
      <c r="W21" s="29">
        <v>1</v>
      </c>
      <c r="X21" s="39">
        <f t="shared" si="9"/>
        <v>3.8910505836575876E-3</v>
      </c>
      <c r="Y21" s="40">
        <f t="shared" si="10"/>
        <v>0.28000000000000003</v>
      </c>
      <c r="Z21" s="29">
        <v>0</v>
      </c>
      <c r="AA21" s="29" t="s">
        <v>163</v>
      </c>
      <c r="AB21" s="41">
        <f t="shared" si="11"/>
        <v>-0.48</v>
      </c>
      <c r="AC21" s="42">
        <v>1.0714699074074074</v>
      </c>
      <c r="AD21" s="40">
        <f t="shared" si="12"/>
        <v>-264.35305555555556</v>
      </c>
      <c r="AE21" s="40">
        <v>-13.2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412</v>
      </c>
      <c r="C22" s="16">
        <f t="shared" si="4"/>
        <v>64.521304347825946</v>
      </c>
      <c r="D22" s="30">
        <v>115</v>
      </c>
      <c r="E22" s="30">
        <v>0</v>
      </c>
      <c r="F22" s="31">
        <v>7419.9499999999834</v>
      </c>
      <c r="G22" s="31">
        <v>-0.08</v>
      </c>
      <c r="H22" s="32">
        <f t="shared" si="1"/>
        <v>1.0781743812289865E-5</v>
      </c>
      <c r="I22" s="32">
        <f t="shared" si="2"/>
        <v>0.3483786039288963</v>
      </c>
      <c r="J22" s="33">
        <f t="shared" si="5"/>
        <v>2584.9518222222082</v>
      </c>
      <c r="K22" s="33">
        <f t="shared" si="3"/>
        <v>22.477841932367028</v>
      </c>
      <c r="L22" s="30">
        <v>456</v>
      </c>
      <c r="M22" s="34">
        <f t="shared" si="6"/>
        <v>0.25219298245614036</v>
      </c>
      <c r="N22" s="30">
        <v>139</v>
      </c>
      <c r="O22" s="35">
        <f t="shared" ref="O22:P22" si="30">D22/7</f>
        <v>16.428571428571427</v>
      </c>
      <c r="P22" s="35">
        <f t="shared" si="30"/>
        <v>0</v>
      </c>
      <c r="Q22" s="30">
        <f t="shared" si="8"/>
        <v>8</v>
      </c>
      <c r="R22" s="30"/>
      <c r="S22" s="36">
        <v>5.0807875084860799</v>
      </c>
      <c r="T22" s="29">
        <v>2625</v>
      </c>
      <c r="U22" s="37">
        <v>464</v>
      </c>
      <c r="V22" s="38" t="s">
        <v>446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1.0714699074074074</v>
      </c>
      <c r="AD22" s="40">
        <f t="shared" si="12"/>
        <v>-118.29027777777779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66.786213592232912</v>
      </c>
      <c r="D23" s="30">
        <v>103</v>
      </c>
      <c r="E23" s="30">
        <v>0</v>
      </c>
      <c r="F23" s="33">
        <v>6878.9799999999896</v>
      </c>
      <c r="G23" s="31">
        <v>-0.25</v>
      </c>
      <c r="H23" s="32">
        <f t="shared" si="1"/>
        <v>3.6342597303670078E-5</v>
      </c>
      <c r="I23" s="32">
        <f t="shared" si="2"/>
        <v>0.36536407658628894</v>
      </c>
      <c r="J23" s="33">
        <f t="shared" si="5"/>
        <v>2513.3321755555462</v>
      </c>
      <c r="K23" s="33">
        <f t="shared" si="3"/>
        <v>24.401283257820836</v>
      </c>
      <c r="L23" s="30">
        <v>408</v>
      </c>
      <c r="M23" s="34">
        <f t="shared" si="6"/>
        <v>0.25245098039215685</v>
      </c>
      <c r="N23" s="30">
        <v>52</v>
      </c>
      <c r="O23" s="35">
        <f t="shared" ref="O23:P23" si="31">D23/7</f>
        <v>14.714285714285714</v>
      </c>
      <c r="P23" s="35">
        <f t="shared" si="31"/>
        <v>0</v>
      </c>
      <c r="Q23" s="30">
        <f t="shared" si="8"/>
        <v>3</v>
      </c>
      <c r="R23" s="30"/>
      <c r="S23" s="36">
        <v>2.7428155692979201</v>
      </c>
      <c r="T23" s="29">
        <v>2161</v>
      </c>
      <c r="U23" s="37" t="s">
        <v>34</v>
      </c>
      <c r="V23" s="38" t="s">
        <v>447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1.0714699074074074</v>
      </c>
      <c r="AD23" s="40">
        <f t="shared" si="12"/>
        <v>-105.94694444444445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415</v>
      </c>
      <c r="C24" s="16">
        <f t="shared" si="4"/>
        <v>67.989999999999981</v>
      </c>
      <c r="D24" s="30">
        <v>37</v>
      </c>
      <c r="E24" s="30">
        <v>2</v>
      </c>
      <c r="F24" s="33">
        <v>2515.6299999999992</v>
      </c>
      <c r="G24" s="33">
        <v>-0.04</v>
      </c>
      <c r="H24" s="32">
        <f t="shared" si="1"/>
        <v>1.5900589514356249E-5</v>
      </c>
      <c r="I24" s="32">
        <f t="shared" si="2"/>
        <v>0.37396452136796282</v>
      </c>
      <c r="J24" s="33">
        <f t="shared" si="5"/>
        <v>940.75636888888801</v>
      </c>
      <c r="K24" s="33">
        <f t="shared" si="3"/>
        <v>25.425847807807784</v>
      </c>
      <c r="L24" s="30">
        <v>289</v>
      </c>
      <c r="M24" s="34">
        <f t="shared" si="6"/>
        <v>0.12802768166089964</v>
      </c>
      <c r="N24" s="30">
        <v>429</v>
      </c>
      <c r="O24" s="35">
        <f t="shared" ref="O24:P24" si="32">D24/7</f>
        <v>5.2857142857142856</v>
      </c>
      <c r="P24" s="35">
        <f t="shared" si="32"/>
        <v>0.2857142857142857</v>
      </c>
      <c r="Q24" s="30">
        <f t="shared" si="8"/>
        <v>77</v>
      </c>
      <c r="R24" s="30"/>
      <c r="S24" s="36">
        <v>2.6719028918243399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Summary!A1:AD5000""),9,FALSE),"""")"),3361)</f>
        <v>3361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Summary!A1:AD5000""),28,FALSE),"""")"),61)</f>
        <v>61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61 - 07/01/21 | AGL271: 500 - 08/15/21 | AGL229: 700 - 08/22/21")</f>
        <v xml:space="preserve"> | AGL195: 61 - 07/01/21 | AGL271: 500 - 08/15/21 | AGL229: 700 - 08/22/21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1.0714699074074074</v>
      </c>
      <c r="AD24" s="40">
        <f t="shared" si="12"/>
        <v>-38.058611111111112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448</v>
      </c>
      <c r="C25" s="16">
        <f t="shared" si="4"/>
        <v>62.354000000000006</v>
      </c>
      <c r="D25" s="17">
        <v>15</v>
      </c>
      <c r="E25" s="17">
        <v>0</v>
      </c>
      <c r="F25" s="18">
        <v>935.31000000000006</v>
      </c>
      <c r="G25" s="18">
        <v>-0.45</v>
      </c>
      <c r="H25" s="32">
        <f t="shared" si="1"/>
        <v>4.8112390544311509E-4</v>
      </c>
      <c r="I25" s="32">
        <f t="shared" si="2"/>
        <v>0.33040845637631722</v>
      </c>
      <c r="J25" s="33">
        <f t="shared" si="5"/>
        <v>309.03433333333328</v>
      </c>
      <c r="K25" s="33">
        <f t="shared" si="3"/>
        <v>20.602288888888886</v>
      </c>
      <c r="L25" s="17">
        <v>393</v>
      </c>
      <c r="M25" s="34">
        <f t="shared" si="6"/>
        <v>3.8167938931297711E-2</v>
      </c>
      <c r="N25" s="17">
        <v>417</v>
      </c>
      <c r="O25" s="35">
        <f t="shared" ref="O25:P25" si="33">D25/7</f>
        <v>2.1428571428571428</v>
      </c>
      <c r="P25" s="35">
        <f t="shared" si="33"/>
        <v>0</v>
      </c>
      <c r="Q25" s="30">
        <f t="shared" si="8"/>
        <v>194</v>
      </c>
      <c r="R25" s="30"/>
      <c r="S25" s="36">
        <v>2.6719028918243399</v>
      </c>
      <c r="T25" s="29">
        <v>2161</v>
      </c>
      <c r="U25" s="37">
        <v>61</v>
      </c>
      <c r="V25" s="38" t="s">
        <v>449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1.0714699074074074</v>
      </c>
      <c r="AD25" s="40">
        <f t="shared" si="12"/>
        <v>-15.429166666666667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450</v>
      </c>
      <c r="C26" s="16">
        <f t="shared" si="4"/>
        <v>56.229318181818186</v>
      </c>
      <c r="D26" s="17">
        <v>44</v>
      </c>
      <c r="E26" s="17">
        <v>0</v>
      </c>
      <c r="F26" s="18">
        <v>2474.09</v>
      </c>
      <c r="G26" s="18">
        <v>-6.54</v>
      </c>
      <c r="H26" s="32">
        <f t="shared" si="1"/>
        <v>2.6433961577792238E-3</v>
      </c>
      <c r="I26" s="32">
        <f t="shared" si="2"/>
        <v>0.26466109604384291</v>
      </c>
      <c r="J26" s="33">
        <f t="shared" si="5"/>
        <v>654.79537111111131</v>
      </c>
      <c r="K26" s="33">
        <f t="shared" si="3"/>
        <v>14.881712979797983</v>
      </c>
      <c r="L26" s="17">
        <v>371</v>
      </c>
      <c r="M26" s="34">
        <f t="shared" si="6"/>
        <v>0.11859838274932614</v>
      </c>
      <c r="N26" s="17">
        <v>381</v>
      </c>
      <c r="O26" s="35">
        <f t="shared" ref="O26:P26" si="34">D26/7</f>
        <v>6.2857142857142856</v>
      </c>
      <c r="P26" s="35">
        <f t="shared" si="34"/>
        <v>0</v>
      </c>
      <c r="Q26" s="30">
        <f t="shared" si="8"/>
        <v>60</v>
      </c>
      <c r="R26" s="30"/>
      <c r="S26" s="22">
        <v>3.7558348294434469</v>
      </c>
      <c r="T26" s="29">
        <v>2861</v>
      </c>
      <c r="U26" s="37">
        <v>61</v>
      </c>
      <c r="V26" s="38" t="s">
        <v>451</v>
      </c>
      <c r="W26" s="15">
        <v>0</v>
      </c>
      <c r="X26" s="39">
        <f t="shared" si="9"/>
        <v>0</v>
      </c>
      <c r="Y26" s="40">
        <f t="shared" si="10"/>
        <v>3.27</v>
      </c>
      <c r="Z26" s="15">
        <v>2</v>
      </c>
      <c r="AA26" s="29" t="s">
        <v>163</v>
      </c>
      <c r="AB26" s="41">
        <f t="shared" si="11"/>
        <v>-0.48</v>
      </c>
      <c r="AC26" s="42">
        <v>1.0714699074074074</v>
      </c>
      <c r="AD26" s="40">
        <f t="shared" si="12"/>
        <v>-45.25888888888889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452</v>
      </c>
      <c r="C27" s="16">
        <f t="shared" si="4"/>
        <v>55.99</v>
      </c>
      <c r="D27" s="17">
        <v>70</v>
      </c>
      <c r="E27" s="17">
        <v>0</v>
      </c>
      <c r="F27" s="18">
        <v>3919.3</v>
      </c>
      <c r="G27" s="18">
        <v>-5.5</v>
      </c>
      <c r="H27" s="32">
        <f t="shared" si="1"/>
        <v>1.4033118158854898E-3</v>
      </c>
      <c r="I27" s="32">
        <f t="shared" si="2"/>
        <v>0.26341056367775434</v>
      </c>
      <c r="J27" s="33">
        <f t="shared" si="5"/>
        <v>1032.3850222222227</v>
      </c>
      <c r="K27" s="33">
        <f t="shared" si="3"/>
        <v>14.748357460317466</v>
      </c>
      <c r="L27" s="17">
        <v>469</v>
      </c>
      <c r="M27" s="34">
        <f t="shared" si="6"/>
        <v>0.14925373134328357</v>
      </c>
      <c r="N27" s="17">
        <v>312</v>
      </c>
      <c r="O27" s="35">
        <f t="shared" ref="O27:P27" si="35">D27/7</f>
        <v>10</v>
      </c>
      <c r="P27" s="35">
        <f t="shared" si="35"/>
        <v>0</v>
      </c>
      <c r="Q27" s="30">
        <f t="shared" si="8"/>
        <v>31</v>
      </c>
      <c r="R27" s="30"/>
      <c r="S27" s="22">
        <v>2.4740088105726872</v>
      </c>
      <c r="T27" s="29">
        <v>2861</v>
      </c>
      <c r="U27" s="37">
        <v>61</v>
      </c>
      <c r="V27" s="38" t="s">
        <v>451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1.0714699074074074</v>
      </c>
      <c r="AD27" s="40">
        <f t="shared" si="12"/>
        <v>-72.00277777777778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>
        <f t="shared" si="4"/>
        <v>58.461239999999997</v>
      </c>
      <c r="D28" s="17">
        <v>250</v>
      </c>
      <c r="E28" s="17">
        <v>0</v>
      </c>
      <c r="F28" s="18">
        <v>14615.31</v>
      </c>
      <c r="G28" s="18">
        <v>-9.23</v>
      </c>
      <c r="H28" s="32">
        <f t="shared" si="1"/>
        <v>6.3152953991396697E-4</v>
      </c>
      <c r="I28" s="32">
        <f t="shared" si="2"/>
        <v>0.28891899810693189</v>
      </c>
      <c r="J28" s="33">
        <f t="shared" si="5"/>
        <v>4222.6407222222224</v>
      </c>
      <c r="K28" s="33">
        <f t="shared" si="3"/>
        <v>16.890562888888891</v>
      </c>
      <c r="L28" s="17">
        <v>723</v>
      </c>
      <c r="M28" s="34">
        <f t="shared" si="6"/>
        <v>0.34578146611341631</v>
      </c>
      <c r="N28" s="17">
        <v>120</v>
      </c>
      <c r="O28" s="35">
        <f t="shared" ref="O28:P28" si="36">D28/7</f>
        <v>35.714285714285715</v>
      </c>
      <c r="P28" s="35">
        <f t="shared" si="36"/>
        <v>0</v>
      </c>
      <c r="Q28" s="30">
        <f t="shared" si="8"/>
        <v>3</v>
      </c>
      <c r="R28" s="30"/>
      <c r="S28" s="22">
        <v>3.5431182181610512</v>
      </c>
      <c r="T28" s="15" t="s">
        <v>34</v>
      </c>
      <c r="U28" s="23">
        <v>1261</v>
      </c>
      <c r="V28" s="1" t="s">
        <v>453</v>
      </c>
      <c r="W28" s="15">
        <v>0</v>
      </c>
      <c r="X28" s="39">
        <f t="shared" si="9"/>
        <v>0</v>
      </c>
      <c r="Y28" s="40">
        <f t="shared" si="10"/>
        <v>9.23</v>
      </c>
      <c r="Z28" s="15">
        <v>1</v>
      </c>
      <c r="AA28" s="29" t="s">
        <v>163</v>
      </c>
      <c r="AB28" s="41">
        <f t="shared" si="11"/>
        <v>-0.48</v>
      </c>
      <c r="AC28" s="42">
        <v>1.0714699074074074</v>
      </c>
      <c r="AD28" s="40">
        <f t="shared" si="12"/>
        <v>-257.15277777777777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>
        <f t="shared" si="4"/>
        <v>61.066031746031747</v>
      </c>
      <c r="D29" s="17">
        <v>63</v>
      </c>
      <c r="E29" s="17">
        <v>0</v>
      </c>
      <c r="F29" s="18">
        <v>3847.16</v>
      </c>
      <c r="G29" s="18">
        <v>-0.98</v>
      </c>
      <c r="H29" s="32">
        <f t="shared" si="1"/>
        <v>2.5473336175256555E-4</v>
      </c>
      <c r="I29" s="32">
        <f t="shared" si="2"/>
        <v>0.2800627715763056</v>
      </c>
      <c r="J29" s="33">
        <f t="shared" si="5"/>
        <v>1077.4462922974999</v>
      </c>
      <c r="K29" s="33">
        <f t="shared" si="3"/>
        <v>17.102322099960315</v>
      </c>
      <c r="L29" s="17">
        <v>277</v>
      </c>
      <c r="M29" s="34">
        <f t="shared" si="6"/>
        <v>0.22743682310469315</v>
      </c>
      <c r="N29" s="17">
        <v>12</v>
      </c>
      <c r="O29" s="35">
        <f t="shared" ref="O29:P29" si="37">D29/7</f>
        <v>9</v>
      </c>
      <c r="P29" s="35">
        <f t="shared" si="37"/>
        <v>0</v>
      </c>
      <c r="Q29" s="30">
        <f t="shared" si="8"/>
        <v>1</v>
      </c>
      <c r="R29" s="30"/>
      <c r="S29" s="22">
        <v>3.7808219178082192</v>
      </c>
      <c r="T29" s="15" t="s">
        <v>34</v>
      </c>
      <c r="U29" s="23">
        <v>1261</v>
      </c>
      <c r="V29" s="1" t="s">
        <v>454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1.0714699074074074</v>
      </c>
      <c r="AD29" s="40">
        <f t="shared" si="12"/>
        <v>-64.802500000000009</v>
      </c>
      <c r="AE29" s="26">
        <v>-13.6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423</v>
      </c>
      <c r="C30" s="16">
        <f t="shared" si="4"/>
        <v>69.989999999999995</v>
      </c>
      <c r="D30" s="17">
        <v>14</v>
      </c>
      <c r="E30" s="17">
        <v>0</v>
      </c>
      <c r="F30" s="18">
        <v>979.86</v>
      </c>
      <c r="G30" s="18">
        <v>0</v>
      </c>
      <c r="H30" s="32">
        <f t="shared" si="1"/>
        <v>0</v>
      </c>
      <c r="I30" s="32">
        <f t="shared" si="2"/>
        <v>0.32550040168436756</v>
      </c>
      <c r="J30" s="33">
        <f t="shared" si="5"/>
        <v>318.94482359444441</v>
      </c>
      <c r="K30" s="33">
        <f t="shared" si="3"/>
        <v>22.781773113888885</v>
      </c>
      <c r="L30" s="17">
        <v>5</v>
      </c>
      <c r="M30" s="34">
        <f t="shared" si="6"/>
        <v>2.8</v>
      </c>
      <c r="N30" s="17">
        <v>65</v>
      </c>
      <c r="O30" s="35">
        <f t="shared" ref="O30:P30" si="38">D30/7</f>
        <v>2</v>
      </c>
      <c r="P30" s="35">
        <f t="shared" si="38"/>
        <v>0</v>
      </c>
      <c r="Q30" s="30">
        <f t="shared" si="8"/>
        <v>32</v>
      </c>
      <c r="R30" s="30"/>
      <c r="S30" s="22">
        <v>5.0915141430948418</v>
      </c>
      <c r="T30" s="15" t="s">
        <v>34</v>
      </c>
      <c r="U30" s="23">
        <v>1261</v>
      </c>
      <c r="V30" s="1" t="s">
        <v>455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1.0714699074074074</v>
      </c>
      <c r="AD30" s="40">
        <f t="shared" si="12"/>
        <v>-14.400555555555556</v>
      </c>
      <c r="AE30" s="26">
        <v>-13.6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15" t="s">
        <v>172</v>
      </c>
      <c r="C31" s="16">
        <f t="shared" si="4"/>
        <v>68.656944444444406</v>
      </c>
      <c r="D31" s="17">
        <v>36</v>
      </c>
      <c r="E31" s="17">
        <v>0</v>
      </c>
      <c r="F31" s="18">
        <v>2471.6499999999987</v>
      </c>
      <c r="G31" s="18">
        <v>-0.3</v>
      </c>
      <c r="H31" s="32">
        <f t="shared" si="1"/>
        <v>1.2137640847207337E-4</v>
      </c>
      <c r="I31" s="32">
        <f t="shared" si="2"/>
        <v>0.31519524694030265</v>
      </c>
      <c r="J31" s="33">
        <f t="shared" si="5"/>
        <v>779.05233209999869</v>
      </c>
      <c r="K31" s="33">
        <f t="shared" si="3"/>
        <v>21.640342558333298</v>
      </c>
      <c r="L31" s="17">
        <v>204</v>
      </c>
      <c r="M31" s="34">
        <f t="shared" si="6"/>
        <v>0.17647058823529413</v>
      </c>
      <c r="N31" s="17">
        <v>20</v>
      </c>
      <c r="O31" s="35">
        <f t="shared" ref="O31:P31" si="39">D31/7</f>
        <v>5.1428571428571432</v>
      </c>
      <c r="P31" s="35">
        <f t="shared" si="39"/>
        <v>0</v>
      </c>
      <c r="Q31" s="30">
        <f t="shared" si="8"/>
        <v>3</v>
      </c>
      <c r="R31" s="30"/>
      <c r="S31" s="22">
        <v>5.1589464123523996</v>
      </c>
      <c r="T31" s="15">
        <v>960</v>
      </c>
      <c r="U31" s="23">
        <v>1200</v>
      </c>
      <c r="V31" s="1" t="s">
        <v>456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1.0714699074074074</v>
      </c>
      <c r="AD31" s="40">
        <f t="shared" si="12"/>
        <v>-37.03</v>
      </c>
      <c r="AE31" s="26">
        <v>-13.6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15" t="s">
        <v>172</v>
      </c>
      <c r="C32" s="16">
        <f t="shared" si="4"/>
        <v>71.989999999999995</v>
      </c>
      <c r="D32" s="17">
        <v>18</v>
      </c>
      <c r="E32" s="17">
        <v>0</v>
      </c>
      <c r="F32" s="18">
        <v>1295.82</v>
      </c>
      <c r="G32" s="18">
        <v>0</v>
      </c>
      <c r="H32" s="32">
        <f t="shared" si="1"/>
        <v>0</v>
      </c>
      <c r="I32" s="32">
        <f t="shared" si="2"/>
        <v>0.34007185878439905</v>
      </c>
      <c r="J32" s="33">
        <f t="shared" si="5"/>
        <v>440.67191604999994</v>
      </c>
      <c r="K32" s="33">
        <f t="shared" si="3"/>
        <v>24.481773113888885</v>
      </c>
      <c r="L32" s="17">
        <v>96</v>
      </c>
      <c r="M32" s="34">
        <f t="shared" si="6"/>
        <v>0.1875</v>
      </c>
      <c r="N32" s="17">
        <v>16</v>
      </c>
      <c r="O32" s="35">
        <f t="shared" ref="O32:P32" si="40">D32/7</f>
        <v>2.5714285714285716</v>
      </c>
      <c r="P32" s="35">
        <f t="shared" si="40"/>
        <v>0</v>
      </c>
      <c r="Q32" s="30">
        <f t="shared" si="8"/>
        <v>6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4.1537176274018384</v>
      </c>
      <c r="T32" s="15">
        <f ca="1">IFERROR(__xludf.DUMMYFUNCTION("IFERROR(VLOOKUP($B$2,IMPORTRANGE(""https://docs.google.com/spreadsheets/d/1KiWZV1ko8G7lnRucBRBd29jj3Be6ltMfljMDqzOkQmI/edit#gid=1381463014"",""Lookup!A:D""),4,FALSE),"""")"),960)</f>
        <v>960</v>
      </c>
      <c r="U32" s="23">
        <f ca="1">IFERROR(__xludf.DUMMYFUNCTION("IFERROR(VLOOKUP($B$2,IMPORTRANGE(""https://docs.google.com/spreadsheets/d/1KiWZV1ko8G7lnRucBRBd29jj3Be6ltMfljMDqzOkQmI/edit#gid=1381463014"",""Lookup!A:D""),3,FALSE),"""")"),1200)</f>
        <v>1200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- 700 units 08/22| AGL271  - 500 units 08/23")</f>
        <v>| AGL229  - 700 units 08/22| AGL271  - 500 units 08/23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1.0714699074074074</v>
      </c>
      <c r="AD32" s="40">
        <f t="shared" si="12"/>
        <v>-18.515000000000001</v>
      </c>
      <c r="AE32" s="26">
        <v>-13.6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75.6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- 40"" x 20"" Magnetic Sidewalk Chalkboard – Sturdy Freestanding DIY Sandwich Board Menu Display for Restaurant, Business or Wedding")</f>
        <v>Wooden A-Frame Sign with Eraser &amp; Chalk - 40" x 20" Magnetic Sidewalk Chalkboard – Sturdy Freestanding DIY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Info!B1:BJ5000""),2,FALSE),"""")"),"B07CSY9W7T")</f>
        <v>B07CSY9W7T</v>
      </c>
      <c r="B2" s="3" t="s">
        <v>457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06.5" customHeight="1" x14ac:dyDescent="0.2">
      <c r="A3" s="57" t="s">
        <v>31</v>
      </c>
      <c r="B3" s="58"/>
      <c r="C3" s="4">
        <f>((AE32+AF32)/0.85)*-1</f>
        <v>41.171418558823525</v>
      </c>
      <c r="D3" s="5">
        <f>SUM(D4:D99519)</f>
        <v>214</v>
      </c>
      <c r="E3" s="5"/>
      <c r="F3" s="6">
        <f t="shared" ref="F3:G3" si="0">SUM(F4:F99519)</f>
        <v>11333.440000000002</v>
      </c>
      <c r="G3" s="6">
        <f t="shared" si="0"/>
        <v>-0.58000000000000007</v>
      </c>
      <c r="H3" s="7">
        <f t="shared" ref="H3:H32" si="1">G3/F3*-1</f>
        <v>5.1175988931868874E-5</v>
      </c>
      <c r="I3" s="8">
        <f t="shared" ref="I3:I32" si="2">J3/F3</f>
        <v>0.24479339767560479</v>
      </c>
      <c r="J3" s="6">
        <f>SUM(J4:J99519)</f>
        <v>2774.3512849526069</v>
      </c>
      <c r="K3" s="6">
        <f t="shared" ref="K3:K32" si="3">J3/D3</f>
        <v>12.964258340900033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Sheet!a1:g5000""),2,FALSE),"""")"),"1 - March
1 - April
2 - May
2 - June
3 - July
3 - Aug
1 - Sept
1 - Oct
1 - Nov
1 - Dec
1 - Jan
1 - Feb")</f>
        <v>1 - March
1 - April
2 - May
2 - June
3 - July
3 - Aug
1 - Sept
1 - Oct
1 - Nov
1 - Dec
1 - Jan
1 -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-217.96541805072746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Info!B2:BZ3000""),37,FALSE)),"""")*-1"),-21.395705775)</f>
        <v>-21.395705775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390</v>
      </c>
      <c r="C4" s="16">
        <f t="shared" ref="C4:C32" si="4">IFERROR(F4/D4," - ")</f>
        <v>46.595454545454551</v>
      </c>
      <c r="D4" s="17">
        <v>11</v>
      </c>
      <c r="E4" s="17">
        <v>0</v>
      </c>
      <c r="F4" s="18">
        <v>512.55000000000007</v>
      </c>
      <c r="G4" s="18">
        <v>0</v>
      </c>
      <c r="H4" s="19">
        <f t="shared" si="1"/>
        <v>0</v>
      </c>
      <c r="I4" s="19">
        <f t="shared" si="2"/>
        <v>0.20016726498227821</v>
      </c>
      <c r="J4" s="18">
        <f t="shared" ref="J4:J32" si="5">F4*0.85+G4+AF4*D4+D4*AE4+AG4+AD4</f>
        <v>102.59573166666671</v>
      </c>
      <c r="K4" s="18">
        <f t="shared" si="3"/>
        <v>9.3268846969697012</v>
      </c>
      <c r="L4" s="17">
        <v>28</v>
      </c>
      <c r="M4" s="20">
        <f t="shared" ref="M4:M32" si="6">IFERROR(D4/L4,"-")</f>
        <v>0.39285714285714285</v>
      </c>
      <c r="N4" s="17">
        <v>48</v>
      </c>
      <c r="O4" s="21">
        <f t="shared" ref="O4:P4" si="7">D4/7</f>
        <v>1.5714285714285714</v>
      </c>
      <c r="P4" s="21">
        <f t="shared" si="7"/>
        <v>0</v>
      </c>
      <c r="Q4" s="17">
        <f t="shared" ref="Q4:Q32" si="8">ROUNDDOWN(N4/(O4+P4),0)</f>
        <v>30</v>
      </c>
      <c r="R4" s="17"/>
      <c r="S4" s="22">
        <v>2.19653179190751</v>
      </c>
      <c r="T4" s="15">
        <v>147</v>
      </c>
      <c r="U4" s="23">
        <v>70</v>
      </c>
      <c r="V4" s="24" t="s">
        <v>458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1.078125</v>
      </c>
      <c r="AD4" s="26">
        <f t="shared" ref="AD4:AD32" si="12">IFERROR(AB4*AC4*D4*2,0)</f>
        <v>-11.385</v>
      </c>
      <c r="AE4" s="26">
        <v>-13.2</v>
      </c>
      <c r="AF4" s="26">
        <v>-16.044251666666668</v>
      </c>
      <c r="AG4" s="26">
        <v>0</v>
      </c>
    </row>
    <row r="5" spans="1:33" ht="15.75" customHeight="1" x14ac:dyDescent="0.2">
      <c r="A5" s="29" t="s">
        <v>36</v>
      </c>
      <c r="B5" s="29" t="s">
        <v>54</v>
      </c>
      <c r="C5" s="16">
        <f t="shared" si="4"/>
        <v>47.563333333333333</v>
      </c>
      <c r="D5" s="30">
        <v>6</v>
      </c>
      <c r="E5" s="30">
        <v>0</v>
      </c>
      <c r="F5" s="31">
        <v>285.38</v>
      </c>
      <c r="G5" s="31">
        <v>-0.02</v>
      </c>
      <c r="H5" s="32">
        <f t="shared" si="1"/>
        <v>7.0081995935244236E-5</v>
      </c>
      <c r="I5" s="32">
        <f t="shared" si="2"/>
        <v>0.21329558543519084</v>
      </c>
      <c r="J5" s="33">
        <f t="shared" si="5"/>
        <v>60.870294171494763</v>
      </c>
      <c r="K5" s="33">
        <f t="shared" si="3"/>
        <v>10.145049028582461</v>
      </c>
      <c r="L5" s="30">
        <v>58</v>
      </c>
      <c r="M5" s="34">
        <f t="shared" si="6"/>
        <v>0.10344827586206896</v>
      </c>
      <c r="N5" s="30">
        <v>41</v>
      </c>
      <c r="O5" s="35">
        <f t="shared" ref="O5:P5" si="13">D5/7</f>
        <v>0.8571428571428571</v>
      </c>
      <c r="P5" s="35">
        <f t="shared" si="13"/>
        <v>0</v>
      </c>
      <c r="Q5" s="30">
        <f t="shared" si="8"/>
        <v>47</v>
      </c>
      <c r="R5" s="30"/>
      <c r="S5" s="36">
        <v>2.2553191489361701</v>
      </c>
      <c r="T5" s="29">
        <v>147</v>
      </c>
      <c r="U5" s="37">
        <v>70</v>
      </c>
      <c r="V5" s="38" t="s">
        <v>459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1.0793742757821552</v>
      </c>
      <c r="AD5" s="40">
        <f t="shared" si="12"/>
        <v>-6.2171958285052131</v>
      </c>
      <c r="AE5" s="40">
        <v>-13.2</v>
      </c>
      <c r="AF5" s="40">
        <v>-16.044251666666668</v>
      </c>
      <c r="AG5" s="40">
        <v>0</v>
      </c>
    </row>
    <row r="6" spans="1:33" ht="15.75" customHeight="1" x14ac:dyDescent="0.2">
      <c r="A6" s="29" t="s">
        <v>38</v>
      </c>
      <c r="B6" s="29" t="s">
        <v>54</v>
      </c>
      <c r="C6" s="16">
        <f t="shared" si="4"/>
        <v>46.99</v>
      </c>
      <c r="D6" s="30">
        <v>7</v>
      </c>
      <c r="E6" s="30">
        <v>0</v>
      </c>
      <c r="F6" s="31">
        <v>328.93</v>
      </c>
      <c r="G6" s="31">
        <v>0</v>
      </c>
      <c r="H6" s="32">
        <f t="shared" si="1"/>
        <v>0</v>
      </c>
      <c r="I6" s="32">
        <f t="shared" si="2"/>
        <v>0.20562350145421016</v>
      </c>
      <c r="J6" s="33">
        <f t="shared" si="5"/>
        <v>67.63573833333335</v>
      </c>
      <c r="K6" s="33">
        <f t="shared" si="3"/>
        <v>9.662248333333336</v>
      </c>
      <c r="L6" s="30">
        <v>55</v>
      </c>
      <c r="M6" s="34">
        <f t="shared" si="6"/>
        <v>0.12727272727272726</v>
      </c>
      <c r="N6" s="30">
        <v>37</v>
      </c>
      <c r="O6" s="35">
        <f t="shared" ref="O6:P6" si="14">D6/7</f>
        <v>1</v>
      </c>
      <c r="P6" s="35">
        <f t="shared" si="14"/>
        <v>0</v>
      </c>
      <c r="Q6" s="30">
        <f t="shared" si="8"/>
        <v>37</v>
      </c>
      <c r="R6" s="30"/>
      <c r="S6" s="36">
        <v>1.6323529411764699</v>
      </c>
      <c r="T6" s="29">
        <v>147</v>
      </c>
      <c r="U6" s="37">
        <v>70</v>
      </c>
      <c r="V6" s="38" t="s">
        <v>460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1.078125</v>
      </c>
      <c r="AD6" s="40">
        <f t="shared" si="12"/>
        <v>-7.2449999999999992</v>
      </c>
      <c r="AE6" s="40">
        <v>-13.2</v>
      </c>
      <c r="AF6" s="40">
        <v>-16.044251666666668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47.052500000000002</v>
      </c>
      <c r="D7" s="30">
        <v>4</v>
      </c>
      <c r="E7" s="30">
        <v>0</v>
      </c>
      <c r="F7" s="31">
        <v>188.21</v>
      </c>
      <c r="G7" s="31">
        <v>0</v>
      </c>
      <c r="H7" s="32">
        <f t="shared" si="1"/>
        <v>0</v>
      </c>
      <c r="I7" s="32">
        <f t="shared" si="2"/>
        <v>0.20647942900660607</v>
      </c>
      <c r="J7" s="33">
        <f t="shared" si="5"/>
        <v>38.861493333333328</v>
      </c>
      <c r="K7" s="33">
        <f t="shared" si="3"/>
        <v>9.7153733333333321</v>
      </c>
      <c r="L7" s="30">
        <v>76</v>
      </c>
      <c r="M7" s="34">
        <f t="shared" si="6"/>
        <v>5.2631578947368418E-2</v>
      </c>
      <c r="N7" s="30">
        <v>40</v>
      </c>
      <c r="O7" s="35">
        <f t="shared" ref="O7:P7" si="15">D7/7</f>
        <v>0.5714285714285714</v>
      </c>
      <c r="P7" s="35">
        <f t="shared" si="15"/>
        <v>0</v>
      </c>
      <c r="Q7" s="30">
        <f t="shared" si="8"/>
        <v>70</v>
      </c>
      <c r="R7" s="30"/>
      <c r="S7" s="36">
        <v>1.9655172413793101</v>
      </c>
      <c r="T7" s="29">
        <v>147</v>
      </c>
      <c r="U7" s="37">
        <v>70</v>
      </c>
      <c r="V7" s="38" t="s">
        <v>461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1.078125</v>
      </c>
      <c r="AD7" s="40">
        <f t="shared" si="12"/>
        <v>-4.1399999999999997</v>
      </c>
      <c r="AE7" s="40">
        <v>-13.2</v>
      </c>
      <c r="AF7" s="40">
        <v>-16.044251666666668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46.99</v>
      </c>
      <c r="D8" s="30">
        <v>3</v>
      </c>
      <c r="E8" s="30">
        <v>0</v>
      </c>
      <c r="F8" s="31">
        <v>140.97</v>
      </c>
      <c r="G8" s="31">
        <v>0</v>
      </c>
      <c r="H8" s="32">
        <f t="shared" si="1"/>
        <v>0</v>
      </c>
      <c r="I8" s="32">
        <f t="shared" si="2"/>
        <v>0.20571398169823368</v>
      </c>
      <c r="J8" s="33">
        <f t="shared" si="5"/>
        <v>28.999500000000001</v>
      </c>
      <c r="K8" s="33">
        <f t="shared" si="3"/>
        <v>9.666500000000001</v>
      </c>
      <c r="L8" s="30">
        <v>68</v>
      </c>
      <c r="M8" s="34">
        <f t="shared" si="6"/>
        <v>4.4117647058823532E-2</v>
      </c>
      <c r="N8" s="30">
        <v>38</v>
      </c>
      <c r="O8" s="35">
        <f t="shared" ref="O8:P8" si="16">D8/7</f>
        <v>0.42857142857142855</v>
      </c>
      <c r="P8" s="35">
        <f t="shared" si="16"/>
        <v>0</v>
      </c>
      <c r="Q8" s="30">
        <f t="shared" si="8"/>
        <v>88</v>
      </c>
      <c r="R8" s="30"/>
      <c r="S8" s="36">
        <v>2.0284360189573398</v>
      </c>
      <c r="T8" s="29">
        <v>82</v>
      </c>
      <c r="U8" s="37">
        <v>70</v>
      </c>
      <c r="V8" s="38" t="s">
        <v>462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1.078125</v>
      </c>
      <c r="AD8" s="40">
        <f t="shared" si="12"/>
        <v>-3.1049999999999995</v>
      </c>
      <c r="AE8" s="40">
        <v>-13.2</v>
      </c>
      <c r="AF8" s="40">
        <v>-16.04</v>
      </c>
      <c r="AG8" s="40">
        <v>0</v>
      </c>
    </row>
    <row r="9" spans="1:33" ht="15.75" customHeight="1" x14ac:dyDescent="0.2">
      <c r="A9" s="29" t="s">
        <v>47</v>
      </c>
      <c r="B9" s="15" t="s">
        <v>338</v>
      </c>
      <c r="C9" s="16">
        <f t="shared" si="4"/>
        <v>46.99</v>
      </c>
      <c r="D9" s="30">
        <v>6</v>
      </c>
      <c r="E9" s="30">
        <v>0</v>
      </c>
      <c r="F9" s="31">
        <v>281.94</v>
      </c>
      <c r="G9" s="31">
        <v>0</v>
      </c>
      <c r="H9" s="32">
        <f t="shared" si="1"/>
        <v>0</v>
      </c>
      <c r="I9" s="32">
        <f t="shared" si="2"/>
        <v>0.18514698162729726</v>
      </c>
      <c r="J9" s="33">
        <f t="shared" si="5"/>
        <v>52.200340000000189</v>
      </c>
      <c r="K9" s="33">
        <f t="shared" si="3"/>
        <v>8.7000566666666987</v>
      </c>
      <c r="L9" s="30">
        <v>75</v>
      </c>
      <c r="M9" s="34">
        <f t="shared" si="6"/>
        <v>0.08</v>
      </c>
      <c r="N9" s="30">
        <v>31</v>
      </c>
      <c r="O9" s="35">
        <f t="shared" ref="O9:P9" si="17">D9/7</f>
        <v>0.8571428571428571</v>
      </c>
      <c r="P9" s="35">
        <f t="shared" si="17"/>
        <v>0</v>
      </c>
      <c r="Q9" s="30">
        <f t="shared" si="8"/>
        <v>36</v>
      </c>
      <c r="R9" s="30"/>
      <c r="S9" s="36">
        <v>1.7321428571428501</v>
      </c>
      <c r="T9" s="29">
        <v>82</v>
      </c>
      <c r="U9" s="37">
        <v>70</v>
      </c>
      <c r="V9" s="38" t="s">
        <v>463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1.078125</v>
      </c>
      <c r="AD9" s="40">
        <f t="shared" si="12"/>
        <v>-6.2099999999999991</v>
      </c>
      <c r="AE9" s="40">
        <v>-13.2</v>
      </c>
      <c r="AF9" s="40">
        <v>-17.006443333333301</v>
      </c>
      <c r="AG9" s="40">
        <v>0</v>
      </c>
    </row>
    <row r="10" spans="1:33" ht="15.75" customHeight="1" x14ac:dyDescent="0.2">
      <c r="A10" s="29" t="s">
        <v>50</v>
      </c>
      <c r="B10" s="15" t="s">
        <v>393</v>
      </c>
      <c r="C10" s="16">
        <f t="shared" si="4"/>
        <v>47.56272727272728</v>
      </c>
      <c r="D10" s="30">
        <v>11</v>
      </c>
      <c r="E10" s="30">
        <v>0</v>
      </c>
      <c r="F10" s="31">
        <v>523.19000000000005</v>
      </c>
      <c r="G10" s="31">
        <v>-0.08</v>
      </c>
      <c r="H10" s="32">
        <f t="shared" si="1"/>
        <v>1.5290812133259427E-4</v>
      </c>
      <c r="I10" s="32">
        <f t="shared" si="2"/>
        <v>0.19299991080359669</v>
      </c>
      <c r="J10" s="33">
        <f t="shared" si="5"/>
        <v>100.97562333333376</v>
      </c>
      <c r="K10" s="33">
        <f t="shared" si="3"/>
        <v>9.1796021212121595</v>
      </c>
      <c r="L10" s="30">
        <v>65</v>
      </c>
      <c r="M10" s="34">
        <f t="shared" si="6"/>
        <v>0.16923076923076924</v>
      </c>
      <c r="N10" s="30">
        <v>21</v>
      </c>
      <c r="O10" s="35">
        <f t="shared" ref="O10:P10" si="18">D10/7</f>
        <v>1.5714285714285714</v>
      </c>
      <c r="P10" s="35">
        <f t="shared" si="18"/>
        <v>0</v>
      </c>
      <c r="Q10" s="30">
        <f t="shared" si="8"/>
        <v>13</v>
      </c>
      <c r="R10" s="30"/>
      <c r="S10" s="36">
        <v>2</v>
      </c>
      <c r="T10" s="29">
        <v>82</v>
      </c>
      <c r="U10" s="37">
        <v>70</v>
      </c>
      <c r="V10" s="38" t="s">
        <v>464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1.078125</v>
      </c>
      <c r="AD10" s="40">
        <f t="shared" si="12"/>
        <v>-11.385</v>
      </c>
      <c r="AE10" s="40">
        <v>-13.2</v>
      </c>
      <c r="AF10" s="40">
        <v>-17.006443333333301</v>
      </c>
      <c r="AG10" s="40">
        <v>0</v>
      </c>
    </row>
    <row r="11" spans="1:33" ht="15.75" customHeight="1" x14ac:dyDescent="0.2">
      <c r="A11" s="29" t="s">
        <v>53</v>
      </c>
      <c r="B11" s="15" t="s">
        <v>378</v>
      </c>
      <c r="C11" s="16">
        <f t="shared" si="4"/>
        <v>48.865000000000002</v>
      </c>
      <c r="D11" s="30">
        <v>8</v>
      </c>
      <c r="E11" s="30">
        <v>0</v>
      </c>
      <c r="F11" s="31">
        <v>390.92</v>
      </c>
      <c r="G11" s="31">
        <v>-0.04</v>
      </c>
      <c r="H11" s="32">
        <f t="shared" si="1"/>
        <v>1.0232272587741738E-4</v>
      </c>
      <c r="I11" s="32">
        <f t="shared" si="2"/>
        <v>0.2105557488318161</v>
      </c>
      <c r="J11" s="33">
        <f t="shared" si="5"/>
        <v>82.310453333333555</v>
      </c>
      <c r="K11" s="33">
        <f t="shared" si="3"/>
        <v>10.288806666666694</v>
      </c>
      <c r="L11" s="30">
        <v>47</v>
      </c>
      <c r="M11" s="34">
        <f t="shared" si="6"/>
        <v>0.1702127659574468</v>
      </c>
      <c r="N11" s="30">
        <v>13</v>
      </c>
      <c r="O11" s="35">
        <f t="shared" ref="O11:P11" si="19">D11/7</f>
        <v>1.1428571428571428</v>
      </c>
      <c r="P11" s="35">
        <f t="shared" si="19"/>
        <v>0</v>
      </c>
      <c r="Q11" s="30">
        <f t="shared" si="8"/>
        <v>11</v>
      </c>
      <c r="R11" s="30"/>
      <c r="S11" s="36">
        <v>1.98857142857142</v>
      </c>
      <c r="T11" s="29">
        <v>94</v>
      </c>
      <c r="U11" s="37">
        <v>70</v>
      </c>
      <c r="V11" s="38" t="s">
        <v>465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1.078125</v>
      </c>
      <c r="AD11" s="40">
        <f t="shared" si="12"/>
        <v>-8.2799999999999994</v>
      </c>
      <c r="AE11" s="40">
        <v>-13.2</v>
      </c>
      <c r="AF11" s="40">
        <v>-17.006443333333301</v>
      </c>
      <c r="AG11" s="40">
        <v>0</v>
      </c>
    </row>
    <row r="12" spans="1:33" ht="15.75" customHeight="1" x14ac:dyDescent="0.2">
      <c r="A12" s="29" t="s">
        <v>56</v>
      </c>
      <c r="B12" s="29" t="s">
        <v>289</v>
      </c>
      <c r="C12" s="16">
        <f t="shared" si="4"/>
        <v>49.74</v>
      </c>
      <c r="D12" s="30">
        <v>8</v>
      </c>
      <c r="E12" s="30">
        <v>0</v>
      </c>
      <c r="F12" s="31">
        <v>397.92</v>
      </c>
      <c r="G12" s="31">
        <v>0</v>
      </c>
      <c r="H12" s="32">
        <f t="shared" si="1"/>
        <v>0</v>
      </c>
      <c r="I12" s="32">
        <f t="shared" si="2"/>
        <v>0.2219050395389365</v>
      </c>
      <c r="J12" s="33">
        <f t="shared" si="5"/>
        <v>88.300453333333621</v>
      </c>
      <c r="K12" s="33">
        <f t="shared" si="3"/>
        <v>11.037556666666703</v>
      </c>
      <c r="L12" s="30">
        <v>54</v>
      </c>
      <c r="M12" s="34">
        <f t="shared" si="6"/>
        <v>0.14814814814814814</v>
      </c>
      <c r="N12" s="30">
        <v>4</v>
      </c>
      <c r="O12" s="35">
        <f t="shared" ref="O12:P12" si="20">D12/7</f>
        <v>1.1428571428571428</v>
      </c>
      <c r="P12" s="35">
        <f t="shared" si="20"/>
        <v>0</v>
      </c>
      <c r="Q12" s="30">
        <f t="shared" si="8"/>
        <v>3</v>
      </c>
      <c r="R12" s="30"/>
      <c r="S12" s="36">
        <v>2.3943661971830901</v>
      </c>
      <c r="T12" s="29">
        <v>179</v>
      </c>
      <c r="U12" s="37">
        <v>70</v>
      </c>
      <c r="V12" s="38" t="s">
        <v>466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1.078125</v>
      </c>
      <c r="AD12" s="40">
        <f t="shared" si="12"/>
        <v>-8.2799999999999994</v>
      </c>
      <c r="AE12" s="40">
        <v>-13.2</v>
      </c>
      <c r="AF12" s="40">
        <v>-17.006443333333301</v>
      </c>
      <c r="AG12" s="40">
        <v>0</v>
      </c>
    </row>
    <row r="13" spans="1:33" ht="15.75" customHeight="1" x14ac:dyDescent="0.2">
      <c r="A13" s="29" t="s">
        <v>57</v>
      </c>
      <c r="B13" s="29" t="s">
        <v>289</v>
      </c>
      <c r="C13" s="16">
        <f t="shared" si="4"/>
        <v>50.23</v>
      </c>
      <c r="D13" s="30">
        <v>1</v>
      </c>
      <c r="E13" s="30">
        <v>0</v>
      </c>
      <c r="F13" s="33">
        <v>50.23</v>
      </c>
      <c r="G13" s="31">
        <v>0</v>
      </c>
      <c r="H13" s="32">
        <f t="shared" si="1"/>
        <v>0</v>
      </c>
      <c r="I13" s="32">
        <f t="shared" si="2"/>
        <v>0.21795022894684446</v>
      </c>
      <c r="J13" s="33">
        <f t="shared" si="5"/>
        <v>10.947639999999996</v>
      </c>
      <c r="K13" s="33">
        <f t="shared" si="3"/>
        <v>10.947639999999996</v>
      </c>
      <c r="L13" s="30">
        <v>0</v>
      </c>
      <c r="M13" s="34" t="str">
        <f t="shared" si="6"/>
        <v>-</v>
      </c>
      <c r="N13" s="30">
        <v>4</v>
      </c>
      <c r="O13" s="35">
        <f t="shared" ref="O13:P13" si="21">D13/7</f>
        <v>0.14285714285714285</v>
      </c>
      <c r="P13" s="35">
        <f t="shared" si="21"/>
        <v>0</v>
      </c>
      <c r="Q13" s="30">
        <f t="shared" si="8"/>
        <v>28</v>
      </c>
      <c r="R13" s="30"/>
      <c r="S13" s="36">
        <v>2.4251968503937</v>
      </c>
      <c r="T13" s="29">
        <v>264</v>
      </c>
      <c r="U13" s="37">
        <v>70</v>
      </c>
      <c r="V13" s="38" t="s">
        <v>467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1.078125</v>
      </c>
      <c r="AD13" s="40">
        <f t="shared" si="12"/>
        <v>-1.0349999999999999</v>
      </c>
      <c r="AE13" s="40">
        <v>-13.2</v>
      </c>
      <c r="AF13" s="40">
        <v>-17.51286</v>
      </c>
      <c r="AG13" s="40">
        <v>0</v>
      </c>
    </row>
    <row r="14" spans="1:33" ht="15.75" customHeight="1" x14ac:dyDescent="0.2">
      <c r="A14" s="29" t="s">
        <v>59</v>
      </c>
      <c r="B14" s="29" t="s">
        <v>468</v>
      </c>
      <c r="C14" s="16">
        <f t="shared" si="4"/>
        <v>50.23</v>
      </c>
      <c r="D14" s="30">
        <v>4</v>
      </c>
      <c r="E14" s="30">
        <v>0</v>
      </c>
      <c r="F14" s="33">
        <v>200.92</v>
      </c>
      <c r="G14" s="31">
        <v>0</v>
      </c>
      <c r="H14" s="32">
        <f t="shared" si="1"/>
        <v>0</v>
      </c>
      <c r="I14" s="32">
        <f t="shared" si="2"/>
        <v>0.21795022894684446</v>
      </c>
      <c r="J14" s="33">
        <f t="shared" si="5"/>
        <v>43.790559999999985</v>
      </c>
      <c r="K14" s="33">
        <f t="shared" si="3"/>
        <v>10.947639999999996</v>
      </c>
      <c r="L14" s="30">
        <v>19</v>
      </c>
      <c r="M14" s="34">
        <f t="shared" si="6"/>
        <v>0.21052631578947367</v>
      </c>
      <c r="N14" s="30">
        <v>76</v>
      </c>
      <c r="O14" s="35">
        <f t="shared" ref="O14:P14" si="22">D14/7</f>
        <v>0.5714285714285714</v>
      </c>
      <c r="P14" s="35">
        <f t="shared" si="22"/>
        <v>0</v>
      </c>
      <c r="Q14" s="30">
        <f t="shared" si="8"/>
        <v>133</v>
      </c>
      <c r="R14" s="30"/>
      <c r="S14" s="36">
        <v>1.17333333333333</v>
      </c>
      <c r="T14" s="29">
        <v>194</v>
      </c>
      <c r="U14" s="37">
        <v>85</v>
      </c>
      <c r="V14" s="38" t="s">
        <v>469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1.078125</v>
      </c>
      <c r="AD14" s="40">
        <f t="shared" si="12"/>
        <v>-4.1399999999999997</v>
      </c>
      <c r="AE14" s="40">
        <v>-13.2</v>
      </c>
      <c r="AF14" s="40">
        <v>-17.51286</v>
      </c>
      <c r="AG14" s="40">
        <v>0</v>
      </c>
    </row>
    <row r="15" spans="1:33" ht="15.75" customHeight="1" x14ac:dyDescent="0.2">
      <c r="A15" s="29" t="s">
        <v>61</v>
      </c>
      <c r="B15" s="29" t="s">
        <v>470</v>
      </c>
      <c r="C15" s="16">
        <f t="shared" si="4"/>
        <v>50.21153846153846</v>
      </c>
      <c r="D15" s="30">
        <v>13</v>
      </c>
      <c r="E15" s="30">
        <v>0</v>
      </c>
      <c r="F15" s="33">
        <v>652.75</v>
      </c>
      <c r="G15" s="31">
        <v>0</v>
      </c>
      <c r="H15" s="32">
        <f t="shared" si="1"/>
        <v>0</v>
      </c>
      <c r="I15" s="32">
        <f t="shared" si="2"/>
        <v>0.21792142303927817</v>
      </c>
      <c r="J15" s="33">
        <f t="shared" si="5"/>
        <v>142.24820888888883</v>
      </c>
      <c r="K15" s="33">
        <f t="shared" si="3"/>
        <v>10.942169914529909</v>
      </c>
      <c r="L15" s="30">
        <v>47</v>
      </c>
      <c r="M15" s="34">
        <f t="shared" si="6"/>
        <v>0.27659574468085107</v>
      </c>
      <c r="N15" s="30">
        <v>60</v>
      </c>
      <c r="O15" s="35">
        <f t="shared" ref="O15:P15" si="23">D15/7</f>
        <v>1.8571428571428572</v>
      </c>
      <c r="P15" s="35">
        <f t="shared" si="23"/>
        <v>0</v>
      </c>
      <c r="Q15" s="30">
        <f t="shared" si="8"/>
        <v>32</v>
      </c>
      <c r="R15" s="30"/>
      <c r="S15" s="36">
        <v>1.6963350785340301</v>
      </c>
      <c r="T15" s="29">
        <v>99</v>
      </c>
      <c r="U15" s="37">
        <v>12</v>
      </c>
      <c r="V15" s="38" t="s">
        <v>471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1.067476851851852</v>
      </c>
      <c r="AD15" s="40">
        <f t="shared" si="12"/>
        <v>-13.322111111111115</v>
      </c>
      <c r="AE15" s="40">
        <v>-13.2</v>
      </c>
      <c r="AF15" s="40">
        <v>-17.51286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51.704285714285717</v>
      </c>
      <c r="D16" s="30">
        <v>7</v>
      </c>
      <c r="E16" s="30">
        <v>0</v>
      </c>
      <c r="F16" s="33">
        <v>361.93</v>
      </c>
      <c r="G16" s="31">
        <v>0</v>
      </c>
      <c r="H16" s="32">
        <f t="shared" si="1"/>
        <v>0</v>
      </c>
      <c r="I16" s="32">
        <f t="shared" si="2"/>
        <v>0.23617007585874494</v>
      </c>
      <c r="J16" s="33">
        <f t="shared" si="5"/>
        <v>85.47703555555556</v>
      </c>
      <c r="K16" s="33">
        <f t="shared" si="3"/>
        <v>12.21100507936508</v>
      </c>
      <c r="L16" s="30">
        <v>54</v>
      </c>
      <c r="M16" s="34">
        <f t="shared" si="6"/>
        <v>0.12962962962962962</v>
      </c>
      <c r="N16" s="30">
        <v>55</v>
      </c>
      <c r="O16" s="35">
        <f t="shared" ref="O16:P16" si="24">D16/7</f>
        <v>1</v>
      </c>
      <c r="P16" s="35">
        <f t="shared" si="24"/>
        <v>0</v>
      </c>
      <c r="Q16" s="30">
        <f t="shared" si="8"/>
        <v>55</v>
      </c>
      <c r="R16" s="30"/>
      <c r="S16" s="36">
        <v>1.94285714285714</v>
      </c>
      <c r="T16" s="29">
        <v>99</v>
      </c>
      <c r="U16" s="37">
        <v>12</v>
      </c>
      <c r="V16" s="38" t="s">
        <v>472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1.067476851851852</v>
      </c>
      <c r="AD16" s="40">
        <f t="shared" si="12"/>
        <v>-7.1734444444444456</v>
      </c>
      <c r="AE16" s="40">
        <v>-13.2</v>
      </c>
      <c r="AF16" s="40">
        <v>-17.51286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52.28875</v>
      </c>
      <c r="D17" s="30">
        <v>8</v>
      </c>
      <c r="E17" s="30">
        <v>0</v>
      </c>
      <c r="F17" s="33">
        <v>418.31</v>
      </c>
      <c r="G17" s="31">
        <v>0</v>
      </c>
      <c r="H17" s="32">
        <f t="shared" si="1"/>
        <v>0</v>
      </c>
      <c r="I17" s="32">
        <f t="shared" si="2"/>
        <v>0.24303123945824329</v>
      </c>
      <c r="J17" s="33">
        <f t="shared" si="5"/>
        <v>101.66239777777776</v>
      </c>
      <c r="K17" s="33">
        <f t="shared" si="3"/>
        <v>12.707799722222219</v>
      </c>
      <c r="L17" s="30">
        <v>33</v>
      </c>
      <c r="M17" s="34">
        <f t="shared" si="6"/>
        <v>0.24242424242424243</v>
      </c>
      <c r="N17" s="30">
        <v>48</v>
      </c>
      <c r="O17" s="35">
        <f t="shared" ref="O17:P17" si="25">D17/7</f>
        <v>1.1428571428571428</v>
      </c>
      <c r="P17" s="35">
        <f t="shared" si="25"/>
        <v>0</v>
      </c>
      <c r="Q17" s="30">
        <f t="shared" si="8"/>
        <v>42</v>
      </c>
      <c r="R17" s="30"/>
      <c r="S17" s="36">
        <v>2.1656050955413999</v>
      </c>
      <c r="T17" s="29">
        <v>99</v>
      </c>
      <c r="U17" s="37">
        <v>12</v>
      </c>
      <c r="V17" s="38" t="s">
        <v>472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1.067476851851852</v>
      </c>
      <c r="AD17" s="40">
        <f t="shared" si="12"/>
        <v>-8.1982222222222241</v>
      </c>
      <c r="AE17" s="40">
        <v>-13.2</v>
      </c>
      <c r="AF17" s="40">
        <v>-17.51286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52.185000000000002</v>
      </c>
      <c r="D18" s="30">
        <v>4</v>
      </c>
      <c r="E18" s="30">
        <v>0</v>
      </c>
      <c r="F18" s="33">
        <v>208.74</v>
      </c>
      <c r="G18" s="31">
        <v>0</v>
      </c>
      <c r="H18" s="32">
        <f t="shared" si="1"/>
        <v>0</v>
      </c>
      <c r="I18" s="32">
        <f t="shared" si="2"/>
        <v>0.24182451321686735</v>
      </c>
      <c r="J18" s="33">
        <f t="shared" si="5"/>
        <v>50.478448888888892</v>
      </c>
      <c r="K18" s="33">
        <f t="shared" si="3"/>
        <v>12.619612222222223</v>
      </c>
      <c r="L18" s="30">
        <v>53</v>
      </c>
      <c r="M18" s="34">
        <f t="shared" si="6"/>
        <v>7.5471698113207544E-2</v>
      </c>
      <c r="N18" s="30">
        <v>45</v>
      </c>
      <c r="O18" s="35">
        <f t="shared" ref="O18:P18" si="26">D18/7</f>
        <v>0.5714285714285714</v>
      </c>
      <c r="P18" s="35">
        <f t="shared" si="26"/>
        <v>0</v>
      </c>
      <c r="Q18" s="30">
        <f t="shared" si="8"/>
        <v>78</v>
      </c>
      <c r="R18" s="30"/>
      <c r="S18" s="36">
        <v>2.48484848484848</v>
      </c>
      <c r="T18" s="29">
        <v>99</v>
      </c>
      <c r="U18" s="37">
        <v>87</v>
      </c>
      <c r="V18" s="38" t="s">
        <v>473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1.067476851851852</v>
      </c>
      <c r="AD18" s="40">
        <f t="shared" si="12"/>
        <v>-4.099111111111112</v>
      </c>
      <c r="AE18" s="40">
        <v>-13.2</v>
      </c>
      <c r="AF18" s="40">
        <v>-17.51286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51.99</v>
      </c>
      <c r="D19" s="30">
        <v>6</v>
      </c>
      <c r="E19" s="30">
        <v>0</v>
      </c>
      <c r="F19" s="33">
        <v>311.94</v>
      </c>
      <c r="G19" s="31">
        <v>-0.08</v>
      </c>
      <c r="H19" s="32">
        <f t="shared" si="1"/>
        <v>2.5645957555940244E-4</v>
      </c>
      <c r="I19" s="32">
        <f t="shared" si="2"/>
        <v>0.23928695689341978</v>
      </c>
      <c r="J19" s="33">
        <f t="shared" si="5"/>
        <v>74.643173333333365</v>
      </c>
      <c r="K19" s="33">
        <f t="shared" si="3"/>
        <v>12.440528888888894</v>
      </c>
      <c r="L19" s="30">
        <v>65</v>
      </c>
      <c r="M19" s="34">
        <f t="shared" si="6"/>
        <v>9.2307692307692313E-2</v>
      </c>
      <c r="N19" s="30">
        <v>50</v>
      </c>
      <c r="O19" s="35">
        <f t="shared" ref="O19:P19" si="27">D19/7</f>
        <v>0.8571428571428571</v>
      </c>
      <c r="P19" s="35">
        <f t="shared" si="27"/>
        <v>0</v>
      </c>
      <c r="Q19" s="30">
        <f t="shared" si="8"/>
        <v>58</v>
      </c>
      <c r="R19" s="30"/>
      <c r="S19" s="36">
        <v>1.63636363636363</v>
      </c>
      <c r="T19" s="29">
        <v>283</v>
      </c>
      <c r="U19" s="37">
        <v>87</v>
      </c>
      <c r="V19" s="38" t="s">
        <v>474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1.067476851851852</v>
      </c>
      <c r="AD19" s="40">
        <f t="shared" si="12"/>
        <v>-6.1486666666666681</v>
      </c>
      <c r="AE19" s="40">
        <v>-13.2</v>
      </c>
      <c r="AF19" s="40">
        <v>-17.51286</v>
      </c>
      <c r="AG19" s="40">
        <v>0</v>
      </c>
    </row>
    <row r="20" spans="1:33" ht="15.75" customHeight="1" x14ac:dyDescent="0.2">
      <c r="A20" s="29" t="s">
        <v>74</v>
      </c>
      <c r="B20" s="29" t="s">
        <v>475</v>
      </c>
      <c r="C20" s="16">
        <f t="shared" si="4"/>
        <v>52.506249999999994</v>
      </c>
      <c r="D20" s="30">
        <v>16</v>
      </c>
      <c r="E20" s="30">
        <v>0</v>
      </c>
      <c r="F20" s="33">
        <v>840.09999999999991</v>
      </c>
      <c r="G20" s="31">
        <v>0</v>
      </c>
      <c r="H20" s="32">
        <f t="shared" si="1"/>
        <v>0</v>
      </c>
      <c r="I20" s="32">
        <f t="shared" si="2"/>
        <v>0.24554552500363708</v>
      </c>
      <c r="J20" s="33">
        <f t="shared" si="5"/>
        <v>206.28279555555548</v>
      </c>
      <c r="K20" s="33">
        <f t="shared" si="3"/>
        <v>12.892674722222218</v>
      </c>
      <c r="L20" s="30">
        <v>72</v>
      </c>
      <c r="M20" s="34">
        <f t="shared" si="6"/>
        <v>0.22222222222222221</v>
      </c>
      <c r="N20" s="30">
        <v>36</v>
      </c>
      <c r="O20" s="35">
        <f t="shared" ref="O20:P20" si="28">D20/7</f>
        <v>2.2857142857142856</v>
      </c>
      <c r="P20" s="35">
        <f t="shared" si="28"/>
        <v>0</v>
      </c>
      <c r="Q20" s="30">
        <f t="shared" si="8"/>
        <v>15</v>
      </c>
      <c r="R20" s="30"/>
      <c r="S20" s="36">
        <v>2.1749999999999998</v>
      </c>
      <c r="T20" s="29">
        <v>283</v>
      </c>
      <c r="U20" s="37">
        <v>87</v>
      </c>
      <c r="V20" s="38" t="s">
        <v>476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1.067476851851852</v>
      </c>
      <c r="AD20" s="40">
        <f t="shared" si="12"/>
        <v>-16.396444444444448</v>
      </c>
      <c r="AE20" s="40">
        <v>-13.2</v>
      </c>
      <c r="AF20" s="40">
        <v>-17.51286</v>
      </c>
      <c r="AG20" s="40">
        <v>0</v>
      </c>
    </row>
    <row r="21" spans="1:33" ht="15.75" customHeight="1" x14ac:dyDescent="0.2">
      <c r="A21" s="29" t="s">
        <v>75</v>
      </c>
      <c r="B21" s="29" t="s">
        <v>477</v>
      </c>
      <c r="C21" s="16">
        <f t="shared" si="4"/>
        <v>50.763333333333335</v>
      </c>
      <c r="D21" s="30">
        <v>15</v>
      </c>
      <c r="E21" s="30">
        <v>0</v>
      </c>
      <c r="F21" s="33">
        <v>761.45</v>
      </c>
      <c r="G21" s="31">
        <v>0</v>
      </c>
      <c r="H21" s="32">
        <f t="shared" si="1"/>
        <v>0</v>
      </c>
      <c r="I21" s="32">
        <f t="shared" si="2"/>
        <v>0.22479208527589911</v>
      </c>
      <c r="J21" s="33">
        <f t="shared" si="5"/>
        <v>171.16793333333339</v>
      </c>
      <c r="K21" s="33">
        <f t="shared" si="3"/>
        <v>11.41119555555556</v>
      </c>
      <c r="L21" s="30">
        <v>48</v>
      </c>
      <c r="M21" s="34">
        <f t="shared" si="6"/>
        <v>0.3125</v>
      </c>
      <c r="N21" s="30">
        <v>13</v>
      </c>
      <c r="O21" s="35">
        <f t="shared" ref="O21:P21" si="29">D21/7</f>
        <v>2.1428571428571428</v>
      </c>
      <c r="P21" s="35">
        <f t="shared" si="29"/>
        <v>0</v>
      </c>
      <c r="Q21" s="30">
        <f t="shared" si="8"/>
        <v>6</v>
      </c>
      <c r="R21" s="30"/>
      <c r="S21" s="36">
        <v>3.1680000000000001</v>
      </c>
      <c r="T21" s="29">
        <v>283</v>
      </c>
      <c r="U21" s="37">
        <v>87</v>
      </c>
      <c r="V21" s="38" t="s">
        <v>478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1.067476851851852</v>
      </c>
      <c r="AD21" s="40">
        <f t="shared" si="12"/>
        <v>-15.37166666666667</v>
      </c>
      <c r="AE21" s="40">
        <v>-13.2</v>
      </c>
      <c r="AF21" s="40">
        <v>-17.51286</v>
      </c>
      <c r="AG21" s="40">
        <v>0</v>
      </c>
    </row>
    <row r="22" spans="1:33" ht="15.75" customHeight="1" x14ac:dyDescent="0.2">
      <c r="A22" s="29" t="s">
        <v>76</v>
      </c>
      <c r="B22" s="29" t="s">
        <v>172</v>
      </c>
      <c r="C22" s="16">
        <f t="shared" si="4"/>
        <v>55.54</v>
      </c>
      <c r="D22" s="30">
        <v>16</v>
      </c>
      <c r="E22" s="30">
        <v>0</v>
      </c>
      <c r="F22" s="31">
        <v>888.64</v>
      </c>
      <c r="G22" s="31">
        <v>0</v>
      </c>
      <c r="H22" s="32">
        <f t="shared" si="1"/>
        <v>0</v>
      </c>
      <c r="I22" s="32">
        <f t="shared" si="2"/>
        <v>0.2785625175049013</v>
      </c>
      <c r="J22" s="33">
        <f t="shared" si="5"/>
        <v>247.5417955555555</v>
      </c>
      <c r="K22" s="33">
        <f t="shared" si="3"/>
        <v>15.471362222222218</v>
      </c>
      <c r="L22" s="30">
        <v>48</v>
      </c>
      <c r="M22" s="34">
        <f t="shared" si="6"/>
        <v>0.33333333333333331</v>
      </c>
      <c r="N22" s="30">
        <v>4</v>
      </c>
      <c r="O22" s="35">
        <f t="shared" ref="O22:P22" si="30">D22/7</f>
        <v>2.2857142857142856</v>
      </c>
      <c r="P22" s="35">
        <f t="shared" si="30"/>
        <v>0</v>
      </c>
      <c r="Q22" s="30">
        <f t="shared" si="8"/>
        <v>1</v>
      </c>
      <c r="R22" s="30"/>
      <c r="S22" s="36">
        <v>4.2285714285714198</v>
      </c>
      <c r="T22" s="29">
        <v>283</v>
      </c>
      <c r="U22" s="37">
        <v>87</v>
      </c>
      <c r="V22" s="38" t="s">
        <v>478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1.067476851851852</v>
      </c>
      <c r="AD22" s="40">
        <f t="shared" si="12"/>
        <v>-16.396444444444448</v>
      </c>
      <c r="AE22" s="40">
        <v>-13.2</v>
      </c>
      <c r="AF22" s="40">
        <v>-17.51286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57.620000000000005</v>
      </c>
      <c r="D23" s="30">
        <v>2</v>
      </c>
      <c r="E23" s="30">
        <v>1</v>
      </c>
      <c r="F23" s="33">
        <v>115.24000000000001</v>
      </c>
      <c r="G23" s="31">
        <v>0</v>
      </c>
      <c r="H23" s="32">
        <f t="shared" si="1"/>
        <v>0</v>
      </c>
      <c r="I23" s="32">
        <f t="shared" si="2"/>
        <v>0.31697570288094418</v>
      </c>
      <c r="J23" s="33">
        <f t="shared" si="5"/>
        <v>36.528280000000009</v>
      </c>
      <c r="K23" s="33">
        <f t="shared" si="3"/>
        <v>18.264140000000005</v>
      </c>
      <c r="L23" s="30">
        <v>15</v>
      </c>
      <c r="M23" s="34">
        <f t="shared" si="6"/>
        <v>0.13333333333333333</v>
      </c>
      <c r="N23" s="30">
        <v>2</v>
      </c>
      <c r="O23" s="35">
        <f t="shared" ref="O23:P23" si="31">D23/7</f>
        <v>0.2857142857142857</v>
      </c>
      <c r="P23" s="35">
        <f t="shared" si="31"/>
        <v>0.14285714285714285</v>
      </c>
      <c r="Q23" s="30">
        <f t="shared" si="8"/>
        <v>4</v>
      </c>
      <c r="R23" s="30"/>
      <c r="S23" s="36">
        <v>2.45614035087719</v>
      </c>
      <c r="T23" s="29">
        <v>196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 t="e">
        <v>#N/A</v>
      </c>
      <c r="AD23" s="40">
        <f t="shared" si="12"/>
        <v>0</v>
      </c>
      <c r="AE23" s="40">
        <v>-13.2</v>
      </c>
      <c r="AF23" s="40">
        <v>-17.51286</v>
      </c>
      <c r="AG23" s="40">
        <v>0</v>
      </c>
    </row>
    <row r="24" spans="1:33" ht="15.75" customHeight="1" x14ac:dyDescent="0.2">
      <c r="A24" s="29" t="s">
        <v>79</v>
      </c>
      <c r="B24" s="29" t="s">
        <v>479</v>
      </c>
      <c r="C24" s="16">
        <f t="shared" si="4"/>
        <v>56.78</v>
      </c>
      <c r="D24" s="30">
        <v>3</v>
      </c>
      <c r="E24" s="30">
        <v>0</v>
      </c>
      <c r="F24" s="33">
        <v>170.34</v>
      </c>
      <c r="G24" s="33">
        <v>0</v>
      </c>
      <c r="H24" s="32">
        <f t="shared" si="1"/>
        <v>0</v>
      </c>
      <c r="I24" s="32">
        <f t="shared" si="2"/>
        <v>0.29104195530507609</v>
      </c>
      <c r="J24" s="33">
        <f t="shared" si="5"/>
        <v>49.576086666666662</v>
      </c>
      <c r="K24" s="33">
        <f t="shared" si="3"/>
        <v>16.525362222222221</v>
      </c>
      <c r="L24" s="30">
        <v>17</v>
      </c>
      <c r="M24" s="34">
        <f t="shared" si="6"/>
        <v>0.17647058823529413</v>
      </c>
      <c r="N24" s="30">
        <v>83</v>
      </c>
      <c r="O24" s="35">
        <f t="shared" ref="O24:P24" si="32">D24/7</f>
        <v>0.42857142857142855</v>
      </c>
      <c r="P24" s="35">
        <f t="shared" si="32"/>
        <v>0</v>
      </c>
      <c r="Q24" s="30">
        <f t="shared" si="8"/>
        <v>193</v>
      </c>
      <c r="R24" s="30"/>
      <c r="S24" s="36">
        <v>1.7413793103448201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Summary!A1:AD5000""),9,FALSE),"""")"),296)</f>
        <v>296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Summary!A1:AD5000""),28,FALSE),"""")"),100)</f>
        <v>100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AGL229: 100 - 08/22/21")</f>
        <v xml:space="preserve"> | AGL229: 100 - 08/22/21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1.067476851851852</v>
      </c>
      <c r="AD24" s="40">
        <f t="shared" si="12"/>
        <v>-3.074333333333334</v>
      </c>
      <c r="AE24" s="40">
        <v>-13.2</v>
      </c>
      <c r="AF24" s="40">
        <v>-17.51286</v>
      </c>
      <c r="AG24" s="40">
        <v>0</v>
      </c>
    </row>
    <row r="25" spans="1:33" ht="15.75" customHeight="1" x14ac:dyDescent="0.2">
      <c r="A25" s="15" t="s">
        <v>81</v>
      </c>
      <c r="B25" s="15" t="s">
        <v>480</v>
      </c>
      <c r="C25" s="16">
        <f t="shared" si="4"/>
        <v>57.06</v>
      </c>
      <c r="D25" s="17">
        <v>1</v>
      </c>
      <c r="E25" s="17">
        <v>0</v>
      </c>
      <c r="F25" s="18">
        <v>57.06</v>
      </c>
      <c r="G25" s="18">
        <v>0</v>
      </c>
      <c r="H25" s="32">
        <f t="shared" si="1"/>
        <v>0</v>
      </c>
      <c r="I25" s="32">
        <f t="shared" si="2"/>
        <v>0.29383494956575917</v>
      </c>
      <c r="J25" s="33">
        <f t="shared" si="5"/>
        <v>16.766222222222218</v>
      </c>
      <c r="K25" s="33">
        <f t="shared" si="3"/>
        <v>16.766222222222218</v>
      </c>
      <c r="L25" s="17">
        <v>52</v>
      </c>
      <c r="M25" s="34">
        <f t="shared" si="6"/>
        <v>1.9230769230769232E-2</v>
      </c>
      <c r="N25" s="17">
        <v>82</v>
      </c>
      <c r="O25" s="35">
        <f t="shared" ref="O25:P25" si="33">D25/7</f>
        <v>0.14285714285714285</v>
      </c>
      <c r="P25" s="35">
        <f t="shared" si="33"/>
        <v>0</v>
      </c>
      <c r="Q25" s="30">
        <f t="shared" si="8"/>
        <v>574</v>
      </c>
      <c r="R25" s="30"/>
      <c r="S25" s="36">
        <v>1.7413793103448201</v>
      </c>
      <c r="T25" s="29">
        <v>196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1.067476851851852</v>
      </c>
      <c r="AD25" s="40">
        <f t="shared" si="12"/>
        <v>-1.024777777777778</v>
      </c>
      <c r="AE25" s="26">
        <v>-13.2</v>
      </c>
      <c r="AF25" s="26">
        <v>-17.510000000000002</v>
      </c>
      <c r="AG25" s="26">
        <v>0</v>
      </c>
    </row>
    <row r="26" spans="1:33" ht="15.75" customHeight="1" x14ac:dyDescent="0.2">
      <c r="A26" s="15" t="s">
        <v>83</v>
      </c>
      <c r="B26" s="15" t="s">
        <v>481</v>
      </c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82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2.0705882352941178</v>
      </c>
      <c r="T26" s="29">
        <v>296</v>
      </c>
      <c r="U26" s="37">
        <v>100</v>
      </c>
      <c r="V26" s="38" t="s">
        <v>339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1.067476851851852</v>
      </c>
      <c r="AD26" s="40">
        <f t="shared" si="12"/>
        <v>0</v>
      </c>
      <c r="AE26" s="26">
        <v>-13.6</v>
      </c>
      <c r="AF26" s="26">
        <v>-17.51286</v>
      </c>
      <c r="AG26" s="26">
        <v>0</v>
      </c>
    </row>
    <row r="27" spans="1:33" ht="15.75" customHeight="1" x14ac:dyDescent="0.2">
      <c r="A27" s="15" t="s">
        <v>84</v>
      </c>
      <c r="B27" s="15" t="s">
        <v>482</v>
      </c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1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2.2193548387096769</v>
      </c>
      <c r="T27" s="29">
        <v>296</v>
      </c>
      <c r="U27" s="37">
        <v>100</v>
      </c>
      <c r="V27" s="38" t="s">
        <v>339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1.067476851851852</v>
      </c>
      <c r="AD27" s="40">
        <f t="shared" si="12"/>
        <v>0</v>
      </c>
      <c r="AE27" s="26">
        <v>-13.6</v>
      </c>
      <c r="AF27" s="26">
        <v>-17.51286</v>
      </c>
      <c r="AG27" s="26">
        <v>0</v>
      </c>
    </row>
    <row r="28" spans="1:33" ht="15.75" customHeight="1" x14ac:dyDescent="0.2">
      <c r="A28" s="15" t="s">
        <v>85</v>
      </c>
      <c r="B28" s="15" t="s">
        <v>483</v>
      </c>
      <c r="C28" s="16">
        <f t="shared" si="4"/>
        <v>52.85</v>
      </c>
      <c r="D28" s="17">
        <v>19</v>
      </c>
      <c r="E28" s="17">
        <v>0</v>
      </c>
      <c r="F28" s="18">
        <v>1004.15</v>
      </c>
      <c r="G28" s="18">
        <v>-0.16</v>
      </c>
      <c r="H28" s="32">
        <f t="shared" si="1"/>
        <v>1.5933874421152219E-4</v>
      </c>
      <c r="I28" s="32">
        <f t="shared" si="2"/>
        <v>0.24174912336027696</v>
      </c>
      <c r="J28" s="33">
        <f t="shared" si="5"/>
        <v>242.75238222222211</v>
      </c>
      <c r="K28" s="33">
        <f t="shared" si="3"/>
        <v>12.776441169590637</v>
      </c>
      <c r="L28" s="17">
        <v>85</v>
      </c>
      <c r="M28" s="34">
        <f t="shared" si="6"/>
        <v>0.22352941176470589</v>
      </c>
      <c r="N28" s="17">
        <v>71</v>
      </c>
      <c r="O28" s="35">
        <f t="shared" ref="O28:P28" si="36">D28/7</f>
        <v>2.7142857142857144</v>
      </c>
      <c r="P28" s="35">
        <f t="shared" si="36"/>
        <v>0</v>
      </c>
      <c r="Q28" s="30">
        <f t="shared" si="8"/>
        <v>26</v>
      </c>
      <c r="R28" s="30"/>
      <c r="S28" s="22">
        <v>1.5885167464114831</v>
      </c>
      <c r="T28" s="15" t="s">
        <v>34</v>
      </c>
      <c r="U28" s="23">
        <v>100</v>
      </c>
      <c r="V28" s="1" t="s">
        <v>340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1.067476851851852</v>
      </c>
      <c r="AD28" s="40">
        <f t="shared" si="12"/>
        <v>-19.470777777777784</v>
      </c>
      <c r="AE28" s="26">
        <v>-13.6</v>
      </c>
      <c r="AF28" s="26">
        <v>-17.51286</v>
      </c>
      <c r="AG28" s="26">
        <v>0</v>
      </c>
    </row>
    <row r="29" spans="1:33" ht="15.75" customHeight="1" x14ac:dyDescent="0.2">
      <c r="A29" s="15" t="s">
        <v>88</v>
      </c>
      <c r="B29" s="15" t="s">
        <v>484</v>
      </c>
      <c r="C29" s="16">
        <f t="shared" si="4"/>
        <v>59.101428571428571</v>
      </c>
      <c r="D29" s="17">
        <v>14</v>
      </c>
      <c r="E29" s="17">
        <v>0</v>
      </c>
      <c r="F29" s="18">
        <v>827.42</v>
      </c>
      <c r="G29" s="18">
        <v>0</v>
      </c>
      <c r="H29" s="32">
        <f t="shared" si="1"/>
        <v>0</v>
      </c>
      <c r="I29" s="32">
        <f t="shared" si="2"/>
        <v>0.2734891011289442</v>
      </c>
      <c r="J29" s="33">
        <f t="shared" si="5"/>
        <v>226.290352056111</v>
      </c>
      <c r="K29" s="33">
        <f t="shared" si="3"/>
        <v>16.1635965754365</v>
      </c>
      <c r="L29" s="17">
        <v>88</v>
      </c>
      <c r="M29" s="34">
        <f t="shared" si="6"/>
        <v>0.15909090909090909</v>
      </c>
      <c r="N29" s="17">
        <v>49</v>
      </c>
      <c r="O29" s="35">
        <f t="shared" ref="O29:P29" si="37">D29/7</f>
        <v>2</v>
      </c>
      <c r="P29" s="35">
        <f t="shared" si="37"/>
        <v>0</v>
      </c>
      <c r="Q29" s="30">
        <f t="shared" si="8"/>
        <v>24</v>
      </c>
      <c r="R29" s="30"/>
      <c r="S29" s="22">
        <v>1.625498007968128</v>
      </c>
      <c r="T29" s="15" t="s">
        <v>34</v>
      </c>
      <c r="U29" s="23">
        <v>100</v>
      </c>
      <c r="V29" s="1" t="s">
        <v>340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1.067476851851852</v>
      </c>
      <c r="AD29" s="40">
        <f t="shared" si="12"/>
        <v>-14.346888888888891</v>
      </c>
      <c r="AE29" s="26">
        <v>-13.6</v>
      </c>
      <c r="AF29" s="26">
        <v>-19.447839932499999</v>
      </c>
      <c r="AG29" s="26">
        <v>0</v>
      </c>
    </row>
    <row r="30" spans="1:33" ht="15.75" customHeight="1" x14ac:dyDescent="0.2">
      <c r="A30" s="15" t="s">
        <v>90</v>
      </c>
      <c r="B30" s="15" t="s">
        <v>485</v>
      </c>
      <c r="C30" s="16">
        <f t="shared" si="4"/>
        <v>66.739999999999995</v>
      </c>
      <c r="D30" s="17">
        <v>8</v>
      </c>
      <c r="E30" s="17">
        <v>0</v>
      </c>
      <c r="F30" s="18">
        <v>533.91999999999996</v>
      </c>
      <c r="G30" s="18">
        <v>0</v>
      </c>
      <c r="H30" s="32">
        <f t="shared" si="1"/>
        <v>0</v>
      </c>
      <c r="I30" s="32">
        <f t="shared" si="2"/>
        <v>0.31028643163353625</v>
      </c>
      <c r="J30" s="33">
        <f t="shared" si="5"/>
        <v>165.66813157777767</v>
      </c>
      <c r="K30" s="33">
        <f t="shared" si="3"/>
        <v>20.708516447222209</v>
      </c>
      <c r="L30" s="17">
        <v>43</v>
      </c>
      <c r="M30" s="34">
        <f t="shared" si="6"/>
        <v>0.18604651162790697</v>
      </c>
      <c r="N30" s="17">
        <v>43</v>
      </c>
      <c r="O30" s="35">
        <f t="shared" ref="O30:P30" si="38">D30/7</f>
        <v>1.1428571428571428</v>
      </c>
      <c r="P30" s="35">
        <f t="shared" si="38"/>
        <v>0</v>
      </c>
      <c r="Q30" s="30">
        <f t="shared" si="8"/>
        <v>37</v>
      </c>
      <c r="R30" s="30"/>
      <c r="S30" s="22">
        <v>1.855855855855856</v>
      </c>
      <c r="T30" s="15" t="s">
        <v>34</v>
      </c>
      <c r="U30" s="23">
        <v>100</v>
      </c>
      <c r="V30" s="1" t="s">
        <v>340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1.067476851851852</v>
      </c>
      <c r="AD30" s="40">
        <f t="shared" si="12"/>
        <v>-8.1982222222222241</v>
      </c>
      <c r="AE30" s="26">
        <v>-13.6</v>
      </c>
      <c r="AF30" s="26">
        <v>-21.395705775</v>
      </c>
      <c r="AG30" s="26">
        <v>0</v>
      </c>
    </row>
    <row r="31" spans="1:33" ht="15.75" customHeight="1" x14ac:dyDescent="0.2">
      <c r="A31" s="29" t="s">
        <v>93</v>
      </c>
      <c r="B31" s="29" t="s">
        <v>54</v>
      </c>
      <c r="C31" s="16">
        <f t="shared" si="4"/>
        <v>67.64</v>
      </c>
      <c r="D31" s="17">
        <v>6</v>
      </c>
      <c r="E31" s="17">
        <v>0</v>
      </c>
      <c r="F31" s="18">
        <v>405.84000000000003</v>
      </c>
      <c r="G31" s="18">
        <v>-0.2</v>
      </c>
      <c r="H31" s="32">
        <f t="shared" si="1"/>
        <v>4.928050463236743E-4</v>
      </c>
      <c r="I31" s="32">
        <f t="shared" si="2"/>
        <v>0.31697491297884234</v>
      </c>
      <c r="J31" s="33">
        <f t="shared" si="5"/>
        <v>128.64109868333338</v>
      </c>
      <c r="K31" s="33">
        <f t="shared" si="3"/>
        <v>21.440183113888896</v>
      </c>
      <c r="L31" s="17">
        <v>49</v>
      </c>
      <c r="M31" s="34">
        <f t="shared" si="6"/>
        <v>0.12244897959183673</v>
      </c>
      <c r="N31" s="17">
        <v>38</v>
      </c>
      <c r="O31" s="35">
        <f t="shared" ref="O31:P31" si="39">D31/7</f>
        <v>0.8571428571428571</v>
      </c>
      <c r="P31" s="35">
        <f t="shared" si="39"/>
        <v>0</v>
      </c>
      <c r="Q31" s="30">
        <f t="shared" si="8"/>
        <v>44</v>
      </c>
      <c r="R31" s="30"/>
      <c r="S31" s="22">
        <v>2.06</v>
      </c>
      <c r="T31" s="15">
        <v>96</v>
      </c>
      <c r="U31" s="23">
        <v>100</v>
      </c>
      <c r="V31" s="1" t="s">
        <v>341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1.067476851851852</v>
      </c>
      <c r="AD31" s="40">
        <f t="shared" si="12"/>
        <v>-6.1486666666666681</v>
      </c>
      <c r="AE31" s="26">
        <v>-13.6</v>
      </c>
      <c r="AF31" s="43">
        <v>-21.395705774999996</v>
      </c>
      <c r="AG31" s="26">
        <v>0</v>
      </c>
    </row>
    <row r="32" spans="1:33" ht="15.75" customHeight="1" x14ac:dyDescent="0.2">
      <c r="A32" s="15" t="s">
        <v>96</v>
      </c>
      <c r="B32" s="44" t="s">
        <v>486</v>
      </c>
      <c r="C32" s="16">
        <f t="shared" si="4"/>
        <v>67.778571428571425</v>
      </c>
      <c r="D32" s="17">
        <v>7</v>
      </c>
      <c r="E32" s="17">
        <v>0</v>
      </c>
      <c r="F32" s="18">
        <v>474.45</v>
      </c>
      <c r="G32" s="18">
        <v>0</v>
      </c>
      <c r="H32" s="32">
        <f t="shared" si="1"/>
        <v>0</v>
      </c>
      <c r="I32" s="32">
        <f t="shared" si="2"/>
        <v>0.31855646565613982</v>
      </c>
      <c r="J32" s="33">
        <f t="shared" si="5"/>
        <v>151.13911513055552</v>
      </c>
      <c r="K32" s="33">
        <f t="shared" si="3"/>
        <v>21.591302161507933</v>
      </c>
      <c r="L32" s="17">
        <v>46</v>
      </c>
      <c r="M32" s="34">
        <f t="shared" si="6"/>
        <v>0.15217391304347827</v>
      </c>
      <c r="N32" s="17">
        <v>29</v>
      </c>
      <c r="O32" s="35">
        <f t="shared" ref="O32:P32" si="40">D32/7</f>
        <v>1</v>
      </c>
      <c r="P32" s="35">
        <f t="shared" si="40"/>
        <v>0</v>
      </c>
      <c r="Q32" s="30">
        <f t="shared" si="8"/>
        <v>29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2.291891891891892</v>
      </c>
      <c r="T32" s="15">
        <f ca="1">IFERROR(__xludf.DUMMYFUNCTION("IFERROR(VLOOKUP($B$2,IMPORTRANGE(""https://docs.google.com/spreadsheets/d/1KiWZV1ko8G7lnRucBRBd29jj3Be6ltMfljMDqzOkQmI/edit#gid=1381463014"",""Lookup!A:D""),4,FALSE),"""")"),96)</f>
        <v>96</v>
      </c>
      <c r="U32" s="23">
        <f ca="1">IFERROR(__xludf.DUMMYFUNCTION("IFERROR(VLOOKUP($B$2,IMPORTRANGE(""https://docs.google.com/spreadsheets/d/1KiWZV1ko8G7lnRucBRBd29jj3Be6ltMfljMDqzOkQmI/edit#gid=1381463014"",""Lookup!A:D""),3,FALSE),"""")"),100)</f>
        <v>100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- 100 units 08/22")</f>
        <v>| AGL229  - 100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1.067476851851852</v>
      </c>
      <c r="AD32" s="40">
        <f t="shared" si="12"/>
        <v>-7.1734444444444456</v>
      </c>
      <c r="AE32" s="26">
        <v>-13.6</v>
      </c>
      <c r="AF32" s="26">
        <v>-21.395705775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3.66406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0.6640625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76.6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Info!B1:BJ5000""),3,FALSE),"""")"),"Sandwich Board - Mahogany Sidewalk Chalkboard Sign with Chalk &amp; Eraser for Menu")</f>
        <v>Sandwich Board - Mahogany Sidewalk Chalkboard Sign with Chalk &amp; Eraser for Menu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Info!B1:BJ5000""),2,FALSE),"""")"),"B073WM6Y6G")</f>
        <v>B073WM6Y6G</v>
      </c>
      <c r="B2" s="3" t="s">
        <v>487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61.25" customHeight="1" x14ac:dyDescent="0.2">
      <c r="A3" s="57" t="s">
        <v>31</v>
      </c>
      <c r="B3" s="58"/>
      <c r="C3" s="4">
        <f>((AE32+AF32)/0.85)*-1</f>
        <v>42.424842088235302</v>
      </c>
      <c r="D3" s="5">
        <f>SUM(D4:D99519)</f>
        <v>650</v>
      </c>
      <c r="E3" s="5"/>
      <c r="F3" s="6">
        <f t="shared" ref="F3:G3" si="0">SUM(F4:F99519)</f>
        <v>35472.03</v>
      </c>
      <c r="G3" s="6">
        <f t="shared" si="0"/>
        <v>-1.5200000000000002</v>
      </c>
      <c r="H3" s="7">
        <f t="shared" ref="H3:H32" si="1">G3/F3*-1</f>
        <v>4.2850662902574235E-5</v>
      </c>
      <c r="I3" s="8">
        <f t="shared" ref="I3:I32" si="2">J3/F3</f>
        <v>0.24374212784530466</v>
      </c>
      <c r="J3" s="6">
        <f>SUM(J4:J99519)</f>
        <v>8646.0280711924825</v>
      </c>
      <c r="K3" s="6">
        <f t="shared" ref="K3:K32" si="3">J3/D3</f>
        <v>13.301581647988435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Sheet!a1:g5000""),2,FALSE),"""")"),"3 - March
4 - April
5 - May
5 - June
7 - July
6 - Aug
5 - Sept
5 - Oct
1 - Nov
1 - Dec
3 - Jan
3 - Feb")</f>
        <v>3 - March
4 - April
5 - May
5 - June
7 - July
6 - Aug
5 - Sept
5 - Oct
1 - Nov
1 - Dec
3 - Jan
3 -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1</v>
      </c>
      <c r="X3" s="7">
        <f>W3/D3</f>
        <v>1.5384615384615385E-3</v>
      </c>
      <c r="Y3" s="6"/>
      <c r="Z3" s="5"/>
      <c r="AA3" s="5"/>
      <c r="AB3" s="5"/>
      <c r="AC3" s="5"/>
      <c r="AD3" s="6">
        <f>SUM(AD4:AD99519)</f>
        <v>-668.61748455001941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x14ac:dyDescent="0.2">
      <c r="A4" s="15" t="s">
        <v>32</v>
      </c>
      <c r="B4" s="15" t="s">
        <v>54</v>
      </c>
      <c r="C4" s="16">
        <f t="shared" ref="C4:C32" si="4">IFERROR(F4/D4," - ")</f>
        <v>48.179166666666674</v>
      </c>
      <c r="D4" s="17">
        <v>12</v>
      </c>
      <c r="E4" s="17">
        <v>0</v>
      </c>
      <c r="F4" s="18">
        <v>578.15000000000009</v>
      </c>
      <c r="G4" s="18">
        <v>-0.06</v>
      </c>
      <c r="H4" s="19">
        <f t="shared" si="1"/>
        <v>1.0377929603044191E-4</v>
      </c>
      <c r="I4" s="19">
        <f t="shared" si="2"/>
        <v>0.20073674075355297</v>
      </c>
      <c r="J4" s="18">
        <f t="shared" ref="J4:J32" si="5">F4*0.85+G4+AF4*D4+D4*AE4+AG4+AD4</f>
        <v>116.05594666666667</v>
      </c>
      <c r="K4" s="18">
        <f t="shared" si="3"/>
        <v>9.6713288888888886</v>
      </c>
      <c r="L4" s="17">
        <v>48</v>
      </c>
      <c r="M4" s="20">
        <f t="shared" ref="M4:M32" si="6">IFERROR(D4/L4,"-")</f>
        <v>0.25</v>
      </c>
      <c r="N4" s="17">
        <v>88</v>
      </c>
      <c r="O4" s="21">
        <f t="shared" ref="O4:P4" si="7">D4/7</f>
        <v>1.7142857142857142</v>
      </c>
      <c r="P4" s="21">
        <f t="shared" si="7"/>
        <v>0</v>
      </c>
      <c r="Q4" s="17">
        <f t="shared" ref="Q4:Q32" si="8">ROUNDDOWN(N4/(O4+P4),0)</f>
        <v>51</v>
      </c>
      <c r="R4" s="17"/>
      <c r="S4" s="22">
        <v>2.2390670553935799</v>
      </c>
      <c r="T4" s="15">
        <v>347</v>
      </c>
      <c r="U4" s="23">
        <v>177</v>
      </c>
      <c r="V4" s="24" t="s">
        <v>488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1.0714699074074074</v>
      </c>
      <c r="AD4" s="26">
        <f t="shared" ref="AD4:AD32" si="12">IFERROR(AB4*AC4*D4*2,0)</f>
        <v>-12.343333333333334</v>
      </c>
      <c r="AE4" s="26">
        <v>-13.58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29" t="s">
        <v>54</v>
      </c>
      <c r="C5" s="16">
        <f t="shared" si="4"/>
        <v>47.99</v>
      </c>
      <c r="D5" s="30">
        <v>17</v>
      </c>
      <c r="E5" s="30">
        <v>0</v>
      </c>
      <c r="F5" s="31">
        <v>815.83</v>
      </c>
      <c r="G5" s="31">
        <v>0</v>
      </c>
      <c r="H5" s="32">
        <f t="shared" si="1"/>
        <v>0</v>
      </c>
      <c r="I5" s="32">
        <f t="shared" si="2"/>
        <v>0.19825683101869343</v>
      </c>
      <c r="J5" s="33">
        <f t="shared" si="5"/>
        <v>161.74387044998068</v>
      </c>
      <c r="K5" s="33">
        <f t="shared" si="3"/>
        <v>9.5143453205870987</v>
      </c>
      <c r="L5" s="30">
        <v>105</v>
      </c>
      <c r="M5" s="34">
        <f t="shared" si="6"/>
        <v>0.16190476190476191</v>
      </c>
      <c r="N5" s="30">
        <v>160</v>
      </c>
      <c r="O5" s="35">
        <f t="shared" ref="O5:P5" si="13">D5/7</f>
        <v>2.4285714285714284</v>
      </c>
      <c r="P5" s="35">
        <f t="shared" si="13"/>
        <v>0</v>
      </c>
      <c r="Q5" s="30">
        <f t="shared" si="8"/>
        <v>65</v>
      </c>
      <c r="R5" s="30"/>
      <c r="S5" s="36">
        <v>1.4545454545454499</v>
      </c>
      <c r="T5" s="29">
        <v>347</v>
      </c>
      <c r="U5" s="37">
        <v>177</v>
      </c>
      <c r="V5" s="38" t="s">
        <v>488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1.0727114716106605</v>
      </c>
      <c r="AD5" s="40">
        <f t="shared" si="12"/>
        <v>-17.506651216685981</v>
      </c>
      <c r="AE5" s="40">
        <v>-13.58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387</v>
      </c>
      <c r="C6" s="16">
        <f t="shared" si="4"/>
        <v>47.99</v>
      </c>
      <c r="D6" s="30">
        <v>17</v>
      </c>
      <c r="E6" s="30">
        <v>0</v>
      </c>
      <c r="F6" s="31">
        <v>815.83</v>
      </c>
      <c r="G6" s="31">
        <v>0</v>
      </c>
      <c r="H6" s="32">
        <f t="shared" si="1"/>
        <v>0</v>
      </c>
      <c r="I6" s="32">
        <f t="shared" si="2"/>
        <v>0.19828166747702067</v>
      </c>
      <c r="J6" s="33">
        <f t="shared" si="5"/>
        <v>161.76413277777777</v>
      </c>
      <c r="K6" s="33">
        <f t="shared" si="3"/>
        <v>9.5155372222222212</v>
      </c>
      <c r="L6" s="30">
        <v>119</v>
      </c>
      <c r="M6" s="34">
        <f t="shared" si="6"/>
        <v>0.14285714285714285</v>
      </c>
      <c r="N6" s="30">
        <v>141</v>
      </c>
      <c r="O6" s="35">
        <f t="shared" ref="O6:P6" si="14">D6/7</f>
        <v>2.4285714285714284</v>
      </c>
      <c r="P6" s="35">
        <f t="shared" si="14"/>
        <v>0</v>
      </c>
      <c r="Q6" s="30">
        <f t="shared" si="8"/>
        <v>58</v>
      </c>
      <c r="R6" s="30"/>
      <c r="S6" s="36">
        <v>1.71428571428571</v>
      </c>
      <c r="T6" s="29">
        <v>347</v>
      </c>
      <c r="U6" s="37">
        <v>177</v>
      </c>
      <c r="V6" s="38" t="s">
        <v>489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1.0714699074074074</v>
      </c>
      <c r="AD6" s="40">
        <f t="shared" si="12"/>
        <v>-17.486388888888889</v>
      </c>
      <c r="AE6" s="40">
        <v>-13.58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390</v>
      </c>
      <c r="C7" s="16">
        <f t="shared" si="4"/>
        <v>44.296521739130434</v>
      </c>
      <c r="D7" s="30">
        <v>23</v>
      </c>
      <c r="E7" s="30">
        <v>0</v>
      </c>
      <c r="F7" s="31">
        <v>1018.82</v>
      </c>
      <c r="G7" s="31">
        <v>-0.04</v>
      </c>
      <c r="H7" s="32">
        <f t="shared" si="1"/>
        <v>3.9261105985355606E-5</v>
      </c>
      <c r="I7" s="32">
        <f t="shared" si="2"/>
        <v>0.14390162748190177</v>
      </c>
      <c r="J7" s="33">
        <f t="shared" si="5"/>
        <v>146.60985611111118</v>
      </c>
      <c r="K7" s="33">
        <f t="shared" si="3"/>
        <v>6.3743415700483128</v>
      </c>
      <c r="L7" s="30">
        <v>153</v>
      </c>
      <c r="M7" s="34">
        <f t="shared" si="6"/>
        <v>0.15032679738562091</v>
      </c>
      <c r="N7" s="30">
        <v>125</v>
      </c>
      <c r="O7" s="35">
        <f t="shared" ref="O7:P7" si="15">D7/7</f>
        <v>3.2857142857142856</v>
      </c>
      <c r="P7" s="35">
        <f t="shared" si="15"/>
        <v>0</v>
      </c>
      <c r="Q7" s="30">
        <f t="shared" si="8"/>
        <v>38</v>
      </c>
      <c r="R7" s="30"/>
      <c r="S7" s="36">
        <v>1.93623188405797</v>
      </c>
      <c r="T7" s="29">
        <v>347</v>
      </c>
      <c r="U7" s="37">
        <v>177</v>
      </c>
      <c r="V7" s="38" t="s">
        <v>489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1.0714699074074074</v>
      </c>
      <c r="AD7" s="40">
        <f t="shared" si="12"/>
        <v>-23.658055555555556</v>
      </c>
      <c r="AE7" s="40">
        <v>-13.58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338</v>
      </c>
      <c r="C8" s="16">
        <f t="shared" si="4"/>
        <v>46.545555555555559</v>
      </c>
      <c r="D8" s="30">
        <v>27</v>
      </c>
      <c r="E8" s="30">
        <v>0</v>
      </c>
      <c r="F8" s="31">
        <v>1256.73</v>
      </c>
      <c r="G8" s="31">
        <v>0</v>
      </c>
      <c r="H8" s="32">
        <f t="shared" si="1"/>
        <v>0</v>
      </c>
      <c r="I8" s="32">
        <f t="shared" si="2"/>
        <v>0.17800004774295181</v>
      </c>
      <c r="J8" s="33">
        <f t="shared" si="5"/>
        <v>223.69799999999984</v>
      </c>
      <c r="K8" s="33">
        <f t="shared" si="3"/>
        <v>8.2851111111111049</v>
      </c>
      <c r="L8" s="30">
        <v>118</v>
      </c>
      <c r="M8" s="34">
        <f t="shared" si="6"/>
        <v>0.2288135593220339</v>
      </c>
      <c r="N8" s="30">
        <v>98</v>
      </c>
      <c r="O8" s="35">
        <f t="shared" ref="O8:P8" si="16">D8/7</f>
        <v>3.8571428571428572</v>
      </c>
      <c r="P8" s="35">
        <f t="shared" si="16"/>
        <v>0</v>
      </c>
      <c r="Q8" s="30">
        <f t="shared" si="8"/>
        <v>25</v>
      </c>
      <c r="R8" s="30"/>
      <c r="S8" s="36">
        <v>2.53521126760563</v>
      </c>
      <c r="T8" s="29">
        <v>347</v>
      </c>
      <c r="U8" s="37">
        <v>177</v>
      </c>
      <c r="V8" s="38" t="s">
        <v>490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1.0714699074074074</v>
      </c>
      <c r="AD8" s="40">
        <f t="shared" si="12"/>
        <v>-27.772500000000001</v>
      </c>
      <c r="AE8" s="40">
        <v>-13.58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393</v>
      </c>
      <c r="C9" s="16">
        <f t="shared" si="4"/>
        <v>47.823333333333331</v>
      </c>
      <c r="D9" s="30">
        <v>24</v>
      </c>
      <c r="E9" s="30">
        <v>0</v>
      </c>
      <c r="F9" s="31">
        <v>1147.76</v>
      </c>
      <c r="G9" s="31">
        <v>-0.05</v>
      </c>
      <c r="H9" s="32">
        <f t="shared" si="1"/>
        <v>4.3563114239910788E-5</v>
      </c>
      <c r="I9" s="32">
        <f t="shared" si="2"/>
        <v>0.17584712251109486</v>
      </c>
      <c r="J9" s="33">
        <f t="shared" si="5"/>
        <v>201.83029333333423</v>
      </c>
      <c r="K9" s="33">
        <f t="shared" si="3"/>
        <v>8.4095955555555921</v>
      </c>
      <c r="L9" s="30">
        <v>130</v>
      </c>
      <c r="M9" s="34">
        <f t="shared" si="6"/>
        <v>0.18461538461538463</v>
      </c>
      <c r="N9" s="30">
        <v>79</v>
      </c>
      <c r="O9" s="35">
        <f t="shared" ref="O9:P9" si="17">D9/7</f>
        <v>3.4285714285714284</v>
      </c>
      <c r="P9" s="35">
        <f t="shared" si="17"/>
        <v>0</v>
      </c>
      <c r="Q9" s="30">
        <f t="shared" si="8"/>
        <v>23</v>
      </c>
      <c r="R9" s="30"/>
      <c r="S9" s="36">
        <v>1.68824940047961</v>
      </c>
      <c r="T9" s="29">
        <v>347</v>
      </c>
      <c r="U9" s="37">
        <v>177</v>
      </c>
      <c r="V9" s="38" t="s">
        <v>491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1.0714699074074074</v>
      </c>
      <c r="AD9" s="40">
        <f t="shared" si="12"/>
        <v>-24.686666666666667</v>
      </c>
      <c r="AE9" s="40">
        <v>-13.58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378</v>
      </c>
      <c r="C10" s="16">
        <f t="shared" si="4"/>
        <v>48.542000000000009</v>
      </c>
      <c r="D10" s="30">
        <v>40</v>
      </c>
      <c r="E10" s="30">
        <v>0</v>
      </c>
      <c r="F10" s="31">
        <v>1941.6800000000003</v>
      </c>
      <c r="G10" s="31">
        <v>0</v>
      </c>
      <c r="H10" s="32">
        <f t="shared" si="1"/>
        <v>0</v>
      </c>
      <c r="I10" s="32">
        <f t="shared" si="2"/>
        <v>0.18587090675200013</v>
      </c>
      <c r="J10" s="33">
        <f t="shared" si="5"/>
        <v>360.90182222222364</v>
      </c>
      <c r="K10" s="33">
        <f t="shared" si="3"/>
        <v>9.0225455555555918</v>
      </c>
      <c r="L10" s="30">
        <v>129</v>
      </c>
      <c r="M10" s="34">
        <f t="shared" si="6"/>
        <v>0.31007751937984496</v>
      </c>
      <c r="N10" s="30">
        <v>216</v>
      </c>
      <c r="O10" s="35">
        <f t="shared" ref="O10:P10" si="18">D10/7</f>
        <v>5.7142857142857144</v>
      </c>
      <c r="P10" s="35">
        <f t="shared" si="18"/>
        <v>0</v>
      </c>
      <c r="Q10" s="30">
        <f t="shared" si="8"/>
        <v>37</v>
      </c>
      <c r="R10" s="30"/>
      <c r="S10" s="36">
        <v>1.5107632093933401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1.0714699074074074</v>
      </c>
      <c r="AD10" s="40">
        <f t="shared" si="12"/>
        <v>-41.144444444444446</v>
      </c>
      <c r="AE10" s="40">
        <v>-13.58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492</v>
      </c>
      <c r="C11" s="16">
        <f t="shared" si="4"/>
        <v>49.771250000000002</v>
      </c>
      <c r="D11" s="30">
        <v>32</v>
      </c>
      <c r="E11" s="30">
        <v>0</v>
      </c>
      <c r="F11" s="31">
        <v>1592.68</v>
      </c>
      <c r="G11" s="31">
        <v>-0.06</v>
      </c>
      <c r="H11" s="32">
        <f t="shared" si="1"/>
        <v>3.7672351005851766E-5</v>
      </c>
      <c r="I11" s="32">
        <f t="shared" si="2"/>
        <v>0.20223589030927677</v>
      </c>
      <c r="J11" s="33">
        <f t="shared" si="5"/>
        <v>322.09705777777896</v>
      </c>
      <c r="K11" s="33">
        <f t="shared" si="3"/>
        <v>10.065533055555592</v>
      </c>
      <c r="L11" s="30">
        <v>114</v>
      </c>
      <c r="M11" s="34">
        <f t="shared" si="6"/>
        <v>0.2807017543859649</v>
      </c>
      <c r="N11" s="30">
        <v>179</v>
      </c>
      <c r="O11" s="35">
        <f t="shared" ref="O11:P11" si="19">D11/7</f>
        <v>4.5714285714285712</v>
      </c>
      <c r="P11" s="35">
        <f t="shared" si="19"/>
        <v>0</v>
      </c>
      <c r="Q11" s="30">
        <f t="shared" si="8"/>
        <v>39</v>
      </c>
      <c r="R11" s="30"/>
      <c r="S11" s="36">
        <v>1.9686800894854499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1.0714699074074074</v>
      </c>
      <c r="AD11" s="40">
        <f t="shared" si="12"/>
        <v>-32.915555555555557</v>
      </c>
      <c r="AE11" s="40">
        <v>-13.58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398</v>
      </c>
      <c r="C12" s="16">
        <f t="shared" si="4"/>
        <v>51.915925925925926</v>
      </c>
      <c r="D12" s="30">
        <v>27</v>
      </c>
      <c r="E12" s="30">
        <v>0</v>
      </c>
      <c r="F12" s="31">
        <v>1401.73</v>
      </c>
      <c r="G12" s="31">
        <v>-0.04</v>
      </c>
      <c r="H12" s="32">
        <f t="shared" si="1"/>
        <v>2.8536166023413925E-5</v>
      </c>
      <c r="I12" s="32">
        <f t="shared" si="2"/>
        <v>0.22900296776126705</v>
      </c>
      <c r="J12" s="33">
        <f t="shared" si="5"/>
        <v>321.00033000000087</v>
      </c>
      <c r="K12" s="33">
        <f t="shared" si="3"/>
        <v>11.888901111111144</v>
      </c>
      <c r="L12" s="30">
        <v>122</v>
      </c>
      <c r="M12" s="34">
        <f t="shared" si="6"/>
        <v>0.22131147540983606</v>
      </c>
      <c r="N12" s="30">
        <v>148</v>
      </c>
      <c r="O12" s="35">
        <f t="shared" ref="O12:P12" si="20">D12/7</f>
        <v>3.8571428571428572</v>
      </c>
      <c r="P12" s="35">
        <f t="shared" si="20"/>
        <v>0</v>
      </c>
      <c r="Q12" s="30">
        <f t="shared" si="8"/>
        <v>38</v>
      </c>
      <c r="R12" s="30"/>
      <c r="S12" s="36">
        <v>2.8221574344023299</v>
      </c>
      <c r="T12" s="29">
        <v>292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1.0714699074074074</v>
      </c>
      <c r="AD12" s="40">
        <f t="shared" si="12"/>
        <v>-27.772500000000001</v>
      </c>
      <c r="AE12" s="40">
        <v>-13.58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428</v>
      </c>
      <c r="C13" s="16">
        <f t="shared" si="4"/>
        <v>53.704285714285717</v>
      </c>
      <c r="D13" s="30">
        <v>28</v>
      </c>
      <c r="E13" s="30">
        <v>0</v>
      </c>
      <c r="F13" s="33">
        <v>1503.72</v>
      </c>
      <c r="G13" s="31">
        <v>0</v>
      </c>
      <c r="H13" s="32">
        <f t="shared" si="1"/>
        <v>0</v>
      </c>
      <c r="I13" s="32">
        <f t="shared" si="2"/>
        <v>0.2402801112500258</v>
      </c>
      <c r="J13" s="33">
        <f t="shared" si="5"/>
        <v>361.31400888888879</v>
      </c>
      <c r="K13" s="33">
        <f t="shared" si="3"/>
        <v>12.904071746031743</v>
      </c>
      <c r="L13" s="30">
        <v>97</v>
      </c>
      <c r="M13" s="34">
        <f t="shared" si="6"/>
        <v>0.28865979381443296</v>
      </c>
      <c r="N13" s="30">
        <v>127</v>
      </c>
      <c r="O13" s="35">
        <f t="shared" ref="O13:P13" si="21">D13/7</f>
        <v>4</v>
      </c>
      <c r="P13" s="35">
        <f t="shared" si="21"/>
        <v>0</v>
      </c>
      <c r="Q13" s="30">
        <f t="shared" si="8"/>
        <v>31</v>
      </c>
      <c r="R13" s="30"/>
      <c r="S13" s="36">
        <v>2.8295454545454501</v>
      </c>
      <c r="T13" s="29">
        <v>584</v>
      </c>
      <c r="U13" s="37" t="s">
        <v>34</v>
      </c>
      <c r="V13" s="38" t="s">
        <v>493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1.0714699074074074</v>
      </c>
      <c r="AD13" s="40">
        <f t="shared" si="12"/>
        <v>-28.801111111111112</v>
      </c>
      <c r="AE13" s="40">
        <v>-13.58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494</v>
      </c>
      <c r="C14" s="16">
        <f t="shared" si="4"/>
        <v>55.508928571428569</v>
      </c>
      <c r="D14" s="30">
        <v>28</v>
      </c>
      <c r="E14" s="30">
        <v>0</v>
      </c>
      <c r="F14" s="33">
        <v>1554.25</v>
      </c>
      <c r="G14" s="31">
        <v>-0.08</v>
      </c>
      <c r="H14" s="32">
        <f t="shared" si="1"/>
        <v>5.1471770950619271E-5</v>
      </c>
      <c r="I14" s="32">
        <f t="shared" si="2"/>
        <v>0.26005115579146776</v>
      </c>
      <c r="J14" s="33">
        <f t="shared" si="5"/>
        <v>404.18450888888879</v>
      </c>
      <c r="K14" s="33">
        <f t="shared" si="3"/>
        <v>14.435161031746029</v>
      </c>
      <c r="L14" s="30">
        <v>112</v>
      </c>
      <c r="M14" s="34">
        <f t="shared" si="6"/>
        <v>0.25</v>
      </c>
      <c r="N14" s="30">
        <v>93</v>
      </c>
      <c r="O14" s="35">
        <f t="shared" ref="O14:P14" si="22">D14/7</f>
        <v>4</v>
      </c>
      <c r="P14" s="35">
        <f t="shared" si="22"/>
        <v>0</v>
      </c>
      <c r="Q14" s="30">
        <f t="shared" si="8"/>
        <v>23</v>
      </c>
      <c r="R14" s="30"/>
      <c r="S14" s="36">
        <v>1.86356073211314</v>
      </c>
      <c r="T14" s="29">
        <v>584</v>
      </c>
      <c r="U14" s="37">
        <v>292</v>
      </c>
      <c r="V14" s="38" t="s">
        <v>495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1.0714699074074074</v>
      </c>
      <c r="AD14" s="40">
        <f t="shared" si="12"/>
        <v>-28.801111111111112</v>
      </c>
      <c r="AE14" s="40">
        <v>-13.58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496</v>
      </c>
      <c r="C15" s="16">
        <f t="shared" si="4"/>
        <v>55.99</v>
      </c>
      <c r="D15" s="30">
        <v>23</v>
      </c>
      <c r="E15" s="30">
        <v>0</v>
      </c>
      <c r="F15" s="33">
        <v>1287.77</v>
      </c>
      <c r="G15" s="31">
        <v>0</v>
      </c>
      <c r="H15" s="32">
        <f t="shared" si="1"/>
        <v>0</v>
      </c>
      <c r="I15" s="32">
        <f t="shared" si="2"/>
        <v>0.26517108213768331</v>
      </c>
      <c r="J15" s="33">
        <f t="shared" si="5"/>
        <v>341.4793644444444</v>
      </c>
      <c r="K15" s="33">
        <f t="shared" si="3"/>
        <v>14.846928888888886</v>
      </c>
      <c r="L15" s="30">
        <v>111</v>
      </c>
      <c r="M15" s="34">
        <f t="shared" si="6"/>
        <v>0.2072072072072072</v>
      </c>
      <c r="N15" s="30">
        <v>72</v>
      </c>
      <c r="O15" s="35">
        <f t="shared" ref="O15:P15" si="23">D15/7</f>
        <v>3.2857142857142856</v>
      </c>
      <c r="P15" s="35">
        <f t="shared" si="23"/>
        <v>0</v>
      </c>
      <c r="Q15" s="30">
        <f t="shared" si="8"/>
        <v>21</v>
      </c>
      <c r="R15" s="30"/>
      <c r="S15" s="36">
        <v>2.2138836772983099</v>
      </c>
      <c r="T15" s="29">
        <v>294</v>
      </c>
      <c r="U15" s="37">
        <v>292</v>
      </c>
      <c r="V15" s="38" t="s">
        <v>497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1.0714699074074074</v>
      </c>
      <c r="AD15" s="40">
        <f t="shared" si="12"/>
        <v>-23.658055555555556</v>
      </c>
      <c r="AE15" s="40">
        <v>-13.58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498</v>
      </c>
      <c r="C16" s="16">
        <f t="shared" si="4"/>
        <v>52.865625000000001</v>
      </c>
      <c r="D16" s="30">
        <v>16</v>
      </c>
      <c r="E16" s="30">
        <v>1</v>
      </c>
      <c r="F16" s="33">
        <v>845.85</v>
      </c>
      <c r="G16" s="31">
        <v>-0.04</v>
      </c>
      <c r="H16" s="32">
        <f t="shared" si="1"/>
        <v>4.728970857717089E-5</v>
      </c>
      <c r="I16" s="32">
        <f t="shared" si="2"/>
        <v>0.23056022015986546</v>
      </c>
      <c r="J16" s="33">
        <f t="shared" si="5"/>
        <v>195.01936222222221</v>
      </c>
      <c r="K16" s="33">
        <f t="shared" si="3"/>
        <v>12.188710138888888</v>
      </c>
      <c r="L16" s="30">
        <v>118</v>
      </c>
      <c r="M16" s="34">
        <f t="shared" si="6"/>
        <v>0.13559322033898305</v>
      </c>
      <c r="N16" s="30">
        <v>56</v>
      </c>
      <c r="O16" s="35">
        <f t="shared" ref="O16:P16" si="24">D16/7</f>
        <v>2.2857142857142856</v>
      </c>
      <c r="P16" s="35">
        <f t="shared" si="24"/>
        <v>0.14285714285714285</v>
      </c>
      <c r="Q16" s="30">
        <f t="shared" si="8"/>
        <v>23</v>
      </c>
      <c r="R16" s="30"/>
      <c r="S16" s="36">
        <v>3.22480620155038</v>
      </c>
      <c r="T16" s="29">
        <v>294</v>
      </c>
      <c r="U16" s="37">
        <v>292</v>
      </c>
      <c r="V16" s="38" t="s">
        <v>497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1.0714699074074074</v>
      </c>
      <c r="AD16" s="40">
        <f t="shared" si="12"/>
        <v>-16.457777777777778</v>
      </c>
      <c r="AE16" s="40">
        <v>-13.58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499</v>
      </c>
      <c r="C17" s="16">
        <f t="shared" si="4"/>
        <v>57.989999999999995</v>
      </c>
      <c r="D17" s="30">
        <v>18</v>
      </c>
      <c r="E17" s="30">
        <v>0</v>
      </c>
      <c r="F17" s="33">
        <v>1043.82</v>
      </c>
      <c r="G17" s="31">
        <v>-0.16999999999999998</v>
      </c>
      <c r="H17" s="32">
        <f t="shared" si="1"/>
        <v>1.6286332892644325E-4</v>
      </c>
      <c r="I17" s="32">
        <f t="shared" si="2"/>
        <v>0.28517821080262873</v>
      </c>
      <c r="J17" s="33">
        <f t="shared" si="5"/>
        <v>297.67471999999992</v>
      </c>
      <c r="K17" s="33">
        <f t="shared" si="3"/>
        <v>16.537484444444441</v>
      </c>
      <c r="L17" s="30">
        <v>106</v>
      </c>
      <c r="M17" s="34">
        <f t="shared" si="6"/>
        <v>0.16981132075471697</v>
      </c>
      <c r="N17" s="30">
        <v>41</v>
      </c>
      <c r="O17" s="35">
        <f t="shared" ref="O17:P17" si="25">D17/7</f>
        <v>2.5714285714285716</v>
      </c>
      <c r="P17" s="35">
        <f t="shared" si="25"/>
        <v>0</v>
      </c>
      <c r="Q17" s="30">
        <f t="shared" si="8"/>
        <v>15</v>
      </c>
      <c r="R17" s="30"/>
      <c r="S17" s="36">
        <v>3.37400530503978</v>
      </c>
      <c r="T17" s="29">
        <v>294</v>
      </c>
      <c r="U17" s="37">
        <v>292</v>
      </c>
      <c r="V17" s="38" t="s">
        <v>497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1.0714699074074074</v>
      </c>
      <c r="AD17" s="40">
        <f t="shared" si="12"/>
        <v>-18.515000000000001</v>
      </c>
      <c r="AE17" s="40">
        <v>-13.58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500</v>
      </c>
      <c r="C18" s="16">
        <f t="shared" si="4"/>
        <v>60.305789473684207</v>
      </c>
      <c r="D18" s="30">
        <v>19</v>
      </c>
      <c r="E18" s="30">
        <v>0</v>
      </c>
      <c r="F18" s="33">
        <v>1145.81</v>
      </c>
      <c r="G18" s="31">
        <v>-0.05</v>
      </c>
      <c r="H18" s="32">
        <f t="shared" si="1"/>
        <v>4.3637252249500356E-5</v>
      </c>
      <c r="I18" s="32">
        <f t="shared" si="2"/>
        <v>0.3069807811843927</v>
      </c>
      <c r="J18" s="33">
        <f t="shared" si="5"/>
        <v>351.74164888888902</v>
      </c>
      <c r="K18" s="33">
        <f t="shared" si="3"/>
        <v>18.512718362573107</v>
      </c>
      <c r="L18" s="30">
        <v>154</v>
      </c>
      <c r="M18" s="34">
        <f t="shared" si="6"/>
        <v>0.12337662337662338</v>
      </c>
      <c r="N18" s="30">
        <v>22</v>
      </c>
      <c r="O18" s="35">
        <f t="shared" ref="O18:P18" si="26">D18/7</f>
        <v>2.7142857142857144</v>
      </c>
      <c r="P18" s="35">
        <f t="shared" si="26"/>
        <v>0</v>
      </c>
      <c r="Q18" s="30">
        <f t="shared" si="8"/>
        <v>8</v>
      </c>
      <c r="R18" s="30"/>
      <c r="S18" s="36">
        <v>2.3728813559322002</v>
      </c>
      <c r="T18" s="29">
        <v>294</v>
      </c>
      <c r="U18" s="37">
        <v>292</v>
      </c>
      <c r="V18" s="38" t="s">
        <v>501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1.0714699074074074</v>
      </c>
      <c r="AD18" s="40">
        <f t="shared" si="12"/>
        <v>-19.543611111111112</v>
      </c>
      <c r="AE18" s="40">
        <v>-13.58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410</v>
      </c>
      <c r="C19" s="16">
        <f t="shared" si="4"/>
        <v>60.323333333333331</v>
      </c>
      <c r="D19" s="30">
        <v>6</v>
      </c>
      <c r="E19" s="30">
        <v>2</v>
      </c>
      <c r="F19" s="33">
        <v>361.94</v>
      </c>
      <c r="G19" s="31">
        <v>-0.06</v>
      </c>
      <c r="H19" s="32">
        <f t="shared" si="1"/>
        <v>1.6577333259656295E-4</v>
      </c>
      <c r="I19" s="32">
        <f t="shared" si="2"/>
        <v>0.30701655891400043</v>
      </c>
      <c r="J19" s="33">
        <f t="shared" si="5"/>
        <v>111.12157333333332</v>
      </c>
      <c r="K19" s="33">
        <f t="shared" si="3"/>
        <v>18.520262222222218</v>
      </c>
      <c r="L19" s="30">
        <v>115</v>
      </c>
      <c r="M19" s="34">
        <f t="shared" si="6"/>
        <v>5.2173913043478258E-2</v>
      </c>
      <c r="N19" s="30">
        <v>11</v>
      </c>
      <c r="O19" s="35">
        <f t="shared" ref="O19:P19" si="27">D19/7</f>
        <v>0.8571428571428571</v>
      </c>
      <c r="P19" s="35">
        <f t="shared" si="27"/>
        <v>0.2857142857142857</v>
      </c>
      <c r="Q19" s="30">
        <f t="shared" si="8"/>
        <v>9</v>
      </c>
      <c r="R19" s="30"/>
      <c r="S19" s="36">
        <v>2.6552462526766498</v>
      </c>
      <c r="T19" s="29">
        <v>798</v>
      </c>
      <c r="U19" s="37">
        <v>292</v>
      </c>
      <c r="V19" s="38" t="s">
        <v>501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1.0714699074074074</v>
      </c>
      <c r="AD19" s="40">
        <f t="shared" si="12"/>
        <v>-6.1716666666666669</v>
      </c>
      <c r="AE19" s="40">
        <v>-13.58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172</v>
      </c>
      <c r="C20" s="16">
        <f t="shared" si="4"/>
        <v>61.323333333333331</v>
      </c>
      <c r="D20" s="30">
        <v>6</v>
      </c>
      <c r="E20" s="30">
        <v>0</v>
      </c>
      <c r="F20" s="33">
        <v>367.94</v>
      </c>
      <c r="G20" s="31">
        <v>0</v>
      </c>
      <c r="H20" s="32">
        <f t="shared" si="1"/>
        <v>0</v>
      </c>
      <c r="I20" s="32">
        <f t="shared" si="2"/>
        <v>0.31603406352484992</v>
      </c>
      <c r="J20" s="33">
        <f t="shared" si="5"/>
        <v>116.28157333333328</v>
      </c>
      <c r="K20" s="33">
        <f t="shared" si="3"/>
        <v>19.380262222222214</v>
      </c>
      <c r="L20" s="30">
        <v>96</v>
      </c>
      <c r="M20" s="34">
        <f t="shared" si="6"/>
        <v>6.25E-2</v>
      </c>
      <c r="N20" s="30">
        <v>5</v>
      </c>
      <c r="O20" s="35">
        <f t="shared" ref="O20:P20" si="28">D20/7</f>
        <v>0.8571428571428571</v>
      </c>
      <c r="P20" s="35">
        <f t="shared" si="28"/>
        <v>0</v>
      </c>
      <c r="Q20" s="30">
        <f t="shared" si="8"/>
        <v>5</v>
      </c>
      <c r="R20" s="30"/>
      <c r="S20" s="36">
        <v>3.1134020618556701</v>
      </c>
      <c r="T20" s="29">
        <v>796</v>
      </c>
      <c r="U20" s="37">
        <v>292</v>
      </c>
      <c r="V20" s="38" t="s">
        <v>502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1.0714699074074074</v>
      </c>
      <c r="AD20" s="40">
        <f t="shared" si="12"/>
        <v>-6.1716666666666669</v>
      </c>
      <c r="AE20" s="40">
        <v>-13.58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172</v>
      </c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4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>
        <v>3.6107382550335498</v>
      </c>
      <c r="T21" s="29">
        <v>796</v>
      </c>
      <c r="U21" s="37">
        <v>292</v>
      </c>
      <c r="V21" s="38" t="s">
        <v>503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e">
        <v>#N/A</v>
      </c>
      <c r="AB21" s="41" t="e">
        <f t="shared" si="11"/>
        <v>#N/A</v>
      </c>
      <c r="AC21" s="42" t="e">
        <v>#N/A</v>
      </c>
      <c r="AD21" s="40">
        <f t="shared" si="12"/>
        <v>0</v>
      </c>
      <c r="AE21" s="40">
        <v>0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410</v>
      </c>
      <c r="C22" s="16">
        <f t="shared" si="4"/>
        <v>65.989999999999995</v>
      </c>
      <c r="D22" s="30">
        <v>2</v>
      </c>
      <c r="E22" s="30">
        <v>0</v>
      </c>
      <c r="F22" s="31">
        <v>131.97999999999999</v>
      </c>
      <c r="G22" s="31">
        <v>0</v>
      </c>
      <c r="H22" s="32">
        <f t="shared" si="1"/>
        <v>0</v>
      </c>
      <c r="I22" s="32">
        <f t="shared" si="2"/>
        <v>0.35379495209711914</v>
      </c>
      <c r="J22" s="33">
        <f t="shared" si="5"/>
        <v>46.693857777777779</v>
      </c>
      <c r="K22" s="33">
        <f t="shared" si="3"/>
        <v>23.34692888888889</v>
      </c>
      <c r="L22" s="30">
        <v>29</v>
      </c>
      <c r="M22" s="34">
        <f t="shared" si="6"/>
        <v>6.8965517241379309E-2</v>
      </c>
      <c r="N22" s="30">
        <v>223</v>
      </c>
      <c r="O22" s="35">
        <f t="shared" ref="O22:P22" si="30">D22/7</f>
        <v>0.2857142857142857</v>
      </c>
      <c r="P22" s="35">
        <f t="shared" si="30"/>
        <v>0</v>
      </c>
      <c r="Q22" s="30">
        <f t="shared" si="8"/>
        <v>780</v>
      </c>
      <c r="R22" s="30"/>
      <c r="S22" s="36">
        <v>2.20568927789934</v>
      </c>
      <c r="T22" s="29">
        <v>798</v>
      </c>
      <c r="U22" s="37">
        <v>292</v>
      </c>
      <c r="V22" s="38" t="s">
        <v>504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1.0714699074074074</v>
      </c>
      <c r="AD22" s="40">
        <f t="shared" si="12"/>
        <v>-2.0572222222222223</v>
      </c>
      <c r="AE22" s="40">
        <v>-13.58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505</v>
      </c>
      <c r="C23" s="16">
        <f t="shared" si="4"/>
        <v>61.19</v>
      </c>
      <c r="D23" s="30">
        <v>5</v>
      </c>
      <c r="E23" s="30">
        <v>0</v>
      </c>
      <c r="F23" s="33">
        <v>305.95</v>
      </c>
      <c r="G23" s="31">
        <v>-0.03</v>
      </c>
      <c r="H23" s="32">
        <f t="shared" si="1"/>
        <v>9.8055237783951623E-5</v>
      </c>
      <c r="I23" s="32">
        <f t="shared" si="2"/>
        <v>0.31477249368996396</v>
      </c>
      <c r="J23" s="33">
        <f t="shared" si="5"/>
        <v>96.304644444444477</v>
      </c>
      <c r="K23" s="33">
        <f t="shared" si="3"/>
        <v>19.260928888888895</v>
      </c>
      <c r="L23" s="30">
        <v>64</v>
      </c>
      <c r="M23" s="34">
        <f t="shared" si="6"/>
        <v>7.8125E-2</v>
      </c>
      <c r="N23" s="30">
        <v>219</v>
      </c>
      <c r="O23" s="35">
        <f t="shared" ref="O23:P23" si="31">D23/7</f>
        <v>0.7142857142857143</v>
      </c>
      <c r="P23" s="35">
        <f t="shared" si="31"/>
        <v>0</v>
      </c>
      <c r="Q23" s="30">
        <f t="shared" si="8"/>
        <v>306</v>
      </c>
      <c r="R23" s="30"/>
      <c r="S23" s="36">
        <v>1.5439856373429</v>
      </c>
      <c r="T23" s="29">
        <v>506</v>
      </c>
      <c r="U23" s="37" t="s">
        <v>34</v>
      </c>
      <c r="V23" s="38" t="s">
        <v>506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1.0714699074074074</v>
      </c>
      <c r="AD23" s="40">
        <f t="shared" si="12"/>
        <v>-5.1430555555555557</v>
      </c>
      <c r="AE23" s="40">
        <v>-13.58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507</v>
      </c>
      <c r="C24" s="16">
        <f t="shared" si="4"/>
        <v>58.406666666666666</v>
      </c>
      <c r="D24" s="30">
        <v>21</v>
      </c>
      <c r="E24" s="30">
        <v>0</v>
      </c>
      <c r="F24" s="33">
        <v>1226.54</v>
      </c>
      <c r="G24" s="33">
        <v>-0.08</v>
      </c>
      <c r="H24" s="32">
        <f t="shared" si="1"/>
        <v>6.5224126404356977E-5</v>
      </c>
      <c r="I24" s="32">
        <f t="shared" si="2"/>
        <v>0.28930406400660935</v>
      </c>
      <c r="J24" s="33">
        <f t="shared" si="5"/>
        <v>354.84300666666661</v>
      </c>
      <c r="K24" s="33">
        <f t="shared" si="3"/>
        <v>16.897286031746027</v>
      </c>
      <c r="L24" s="30">
        <v>105</v>
      </c>
      <c r="M24" s="34">
        <f t="shared" si="6"/>
        <v>0.2</v>
      </c>
      <c r="N24" s="30">
        <v>288</v>
      </c>
      <c r="O24" s="35">
        <f t="shared" ref="O24:P24" si="32">D24/7</f>
        <v>3</v>
      </c>
      <c r="P24" s="35">
        <f t="shared" si="32"/>
        <v>0</v>
      </c>
      <c r="Q24" s="30">
        <f t="shared" si="8"/>
        <v>96</v>
      </c>
      <c r="R24" s="30"/>
      <c r="S24" s="36">
        <v>1.3037542662116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Summary!A1:AD5000""),9,FALSE),"""")"),686)</f>
        <v>686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Summary!A1:AD5000""),28,FALSE),"""")"),2)</f>
        <v>2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2 - 07/01/21 | AGL229: 180 - 08/22/21")</f>
        <v xml:space="preserve"> | AGL195: 2 - 07/01/21 | AGL229: 180 - 08/22/21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1.0714699074074074</v>
      </c>
      <c r="AD24" s="40">
        <f t="shared" si="12"/>
        <v>-21.600833333333334</v>
      </c>
      <c r="AE24" s="40">
        <v>-13.58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54</v>
      </c>
      <c r="C25" s="16">
        <f t="shared" si="4"/>
        <v>57.847631578947372</v>
      </c>
      <c r="D25" s="17">
        <v>38</v>
      </c>
      <c r="E25" s="17">
        <v>1</v>
      </c>
      <c r="F25" s="18">
        <v>2198.21</v>
      </c>
      <c r="G25" s="18">
        <v>-0.08</v>
      </c>
      <c r="H25" s="32">
        <f t="shared" si="1"/>
        <v>3.6393247232975922E-5</v>
      </c>
      <c r="I25" s="32">
        <f t="shared" si="2"/>
        <v>0.28384516391872383</v>
      </c>
      <c r="J25" s="33">
        <f t="shared" si="5"/>
        <v>623.95127777777793</v>
      </c>
      <c r="K25" s="33">
        <f t="shared" si="3"/>
        <v>16.419770467836262</v>
      </c>
      <c r="L25" s="17">
        <v>138</v>
      </c>
      <c r="M25" s="34">
        <f t="shared" si="6"/>
        <v>0.27536231884057971</v>
      </c>
      <c r="N25" s="17">
        <v>241</v>
      </c>
      <c r="O25" s="35">
        <f t="shared" ref="O25:P25" si="33">D25/7</f>
        <v>5.4285714285714288</v>
      </c>
      <c r="P25" s="35">
        <f t="shared" si="33"/>
        <v>0.14285714285714285</v>
      </c>
      <c r="Q25" s="30">
        <f t="shared" si="8"/>
        <v>43</v>
      </c>
      <c r="R25" s="30"/>
      <c r="S25" s="36">
        <v>1.3037542662116</v>
      </c>
      <c r="T25" s="29">
        <v>506</v>
      </c>
      <c r="U25" s="37">
        <v>2</v>
      </c>
      <c r="V25" s="38" t="s">
        <v>508</v>
      </c>
      <c r="W25" s="15">
        <v>1</v>
      </c>
      <c r="X25" s="39">
        <f t="shared" si="9"/>
        <v>2.6315789473684209E-2</v>
      </c>
      <c r="Y25" s="40">
        <f t="shared" si="10"/>
        <v>0.08</v>
      </c>
      <c r="Z25" s="15">
        <v>0</v>
      </c>
      <c r="AA25" s="29" t="s">
        <v>163</v>
      </c>
      <c r="AB25" s="41">
        <f t="shared" si="11"/>
        <v>-0.48</v>
      </c>
      <c r="AC25" s="42">
        <v>1.0714699074074074</v>
      </c>
      <c r="AD25" s="40">
        <f t="shared" si="12"/>
        <v>-39.087222222222223</v>
      </c>
      <c r="AE25" s="26">
        <v>-13.58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509</v>
      </c>
      <c r="C26" s="16">
        <f t="shared" si="4"/>
        <v>56.331351351351358</v>
      </c>
      <c r="D26" s="17">
        <v>37</v>
      </c>
      <c r="E26" s="17">
        <v>2</v>
      </c>
      <c r="F26" s="18">
        <v>2084.2600000000002</v>
      </c>
      <c r="G26" s="18">
        <v>-0.08</v>
      </c>
      <c r="H26" s="32">
        <f t="shared" si="1"/>
        <v>3.8382927273948543E-5</v>
      </c>
      <c r="I26" s="32">
        <f t="shared" si="2"/>
        <v>0.26157574817387896</v>
      </c>
      <c r="J26" s="33">
        <f t="shared" si="5"/>
        <v>545.19186888888908</v>
      </c>
      <c r="K26" s="33">
        <f t="shared" si="3"/>
        <v>14.73491537537538</v>
      </c>
      <c r="L26" s="17">
        <v>141</v>
      </c>
      <c r="M26" s="34">
        <f t="shared" si="6"/>
        <v>0.26241134751773049</v>
      </c>
      <c r="N26" s="17">
        <v>229</v>
      </c>
      <c r="O26" s="35">
        <f t="shared" ref="O26:P26" si="34">D26/7</f>
        <v>5.2857142857142856</v>
      </c>
      <c r="P26" s="35">
        <f t="shared" si="34"/>
        <v>0.2857142857142857</v>
      </c>
      <c r="Q26" s="30">
        <f t="shared" si="8"/>
        <v>41</v>
      </c>
      <c r="R26" s="30"/>
      <c r="S26" s="22">
        <v>2.043165467625899</v>
      </c>
      <c r="T26" s="29">
        <v>686</v>
      </c>
      <c r="U26" s="37">
        <v>2</v>
      </c>
      <c r="V26" s="38" t="s">
        <v>510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1.0714699074074074</v>
      </c>
      <c r="AD26" s="40">
        <f t="shared" si="12"/>
        <v>-38.058611111111112</v>
      </c>
      <c r="AE26" s="26">
        <v>-13.98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498</v>
      </c>
      <c r="C27" s="16">
        <f t="shared" si="4"/>
        <v>57.941250000000004</v>
      </c>
      <c r="D27" s="17">
        <v>56</v>
      </c>
      <c r="E27" s="17">
        <v>1</v>
      </c>
      <c r="F27" s="18">
        <v>3244.71</v>
      </c>
      <c r="G27" s="18">
        <v>-0.08</v>
      </c>
      <c r="H27" s="32">
        <f t="shared" si="1"/>
        <v>2.465551620946094E-5</v>
      </c>
      <c r="I27" s="32">
        <f t="shared" si="2"/>
        <v>0.27793778728384894</v>
      </c>
      <c r="J27" s="33">
        <f t="shared" si="5"/>
        <v>901.82751777777753</v>
      </c>
      <c r="K27" s="33">
        <f t="shared" si="3"/>
        <v>16.104062817460314</v>
      </c>
      <c r="L27" s="17">
        <v>172</v>
      </c>
      <c r="M27" s="34">
        <f t="shared" si="6"/>
        <v>0.32558139534883723</v>
      </c>
      <c r="N27" s="17">
        <v>123</v>
      </c>
      <c r="O27" s="35">
        <f t="shared" ref="O27:P27" si="35">D27/7</f>
        <v>8</v>
      </c>
      <c r="P27" s="35">
        <f t="shared" si="35"/>
        <v>0.14285714285714285</v>
      </c>
      <c r="Q27" s="30">
        <f t="shared" si="8"/>
        <v>15</v>
      </c>
      <c r="R27" s="30"/>
      <c r="S27" s="22">
        <v>1.9031578947368419</v>
      </c>
      <c r="T27" s="29">
        <v>686</v>
      </c>
      <c r="U27" s="37">
        <v>2</v>
      </c>
      <c r="V27" s="38" t="s">
        <v>510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1.0714699074074074</v>
      </c>
      <c r="AD27" s="40">
        <f t="shared" si="12"/>
        <v>-57.602222222222224</v>
      </c>
      <c r="AE27" s="26">
        <v>-13.98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421</v>
      </c>
      <c r="C28" s="16">
        <f t="shared" si="4"/>
        <v>59.199999999999996</v>
      </c>
      <c r="D28" s="17">
        <v>34</v>
      </c>
      <c r="E28" s="17">
        <v>0</v>
      </c>
      <c r="F28" s="18">
        <v>2012.8</v>
      </c>
      <c r="G28" s="18">
        <v>-0.03</v>
      </c>
      <c r="H28" s="32">
        <f t="shared" si="1"/>
        <v>1.4904610492845787E-5</v>
      </c>
      <c r="I28" s="32">
        <f t="shared" si="2"/>
        <v>0.29011058337749512</v>
      </c>
      <c r="J28" s="33">
        <f t="shared" si="5"/>
        <v>583.93458222222216</v>
      </c>
      <c r="K28" s="33">
        <f t="shared" si="3"/>
        <v>17.174546535947712</v>
      </c>
      <c r="L28" s="17">
        <v>202</v>
      </c>
      <c r="M28" s="34">
        <f t="shared" si="6"/>
        <v>0.16831683168316833</v>
      </c>
      <c r="N28" s="17">
        <v>145</v>
      </c>
      <c r="O28" s="35">
        <f t="shared" ref="O28:P28" si="36">D28/7</f>
        <v>4.8571428571428568</v>
      </c>
      <c r="P28" s="35">
        <f t="shared" si="36"/>
        <v>0</v>
      </c>
      <c r="Q28" s="30">
        <f t="shared" si="8"/>
        <v>29</v>
      </c>
      <c r="R28" s="30"/>
      <c r="S28" s="22">
        <v>2.1327967806841048</v>
      </c>
      <c r="T28" s="15" t="s">
        <v>34</v>
      </c>
      <c r="U28" s="23">
        <v>182</v>
      </c>
      <c r="V28" s="1" t="s">
        <v>511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1.0714699074074074</v>
      </c>
      <c r="AD28" s="40">
        <f t="shared" si="12"/>
        <v>-34.972777777777779</v>
      </c>
      <c r="AE28" s="26">
        <v>-13.98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54</v>
      </c>
      <c r="C29" s="16">
        <f t="shared" si="4"/>
        <v>61.220000000000006</v>
      </c>
      <c r="D29" s="17">
        <v>19</v>
      </c>
      <c r="E29" s="17">
        <v>0</v>
      </c>
      <c r="F29" s="18">
        <v>1163.18</v>
      </c>
      <c r="G29" s="18">
        <v>-0.08</v>
      </c>
      <c r="H29" s="32">
        <f t="shared" si="1"/>
        <v>6.8776973469282486E-5</v>
      </c>
      <c r="I29" s="32">
        <f t="shared" si="2"/>
        <v>0.27547435715571866</v>
      </c>
      <c r="J29" s="33">
        <f t="shared" si="5"/>
        <v>320.42626275638884</v>
      </c>
      <c r="K29" s="33">
        <f t="shared" si="3"/>
        <v>16.864540145073097</v>
      </c>
      <c r="L29" s="17">
        <v>133</v>
      </c>
      <c r="M29" s="34">
        <f t="shared" si="6"/>
        <v>0.14285714285714285</v>
      </c>
      <c r="N29" s="17">
        <v>128</v>
      </c>
      <c r="O29" s="35">
        <f t="shared" ref="O29:P29" si="37">D29/7</f>
        <v>2.7142857142857144</v>
      </c>
      <c r="P29" s="35">
        <f t="shared" si="37"/>
        <v>0</v>
      </c>
      <c r="Q29" s="30">
        <f t="shared" si="8"/>
        <v>47</v>
      </c>
      <c r="R29" s="30"/>
      <c r="S29" s="22">
        <v>2.1779661016949148</v>
      </c>
      <c r="T29" s="15" t="s">
        <v>34</v>
      </c>
      <c r="U29" s="23">
        <v>182</v>
      </c>
      <c r="V29" s="1" t="s">
        <v>511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1.0714699074074074</v>
      </c>
      <c r="AD29" s="40">
        <f t="shared" si="12"/>
        <v>-19.543611111111112</v>
      </c>
      <c r="AE29" s="26">
        <v>-13.98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54</v>
      </c>
      <c r="C30" s="16">
        <f t="shared" si="4"/>
        <v>64.707599999999999</v>
      </c>
      <c r="D30" s="17">
        <v>25</v>
      </c>
      <c r="E30" s="17">
        <v>0</v>
      </c>
      <c r="F30" s="18">
        <v>1617.69</v>
      </c>
      <c r="G30" s="18">
        <v>-0.08</v>
      </c>
      <c r="H30" s="32">
        <f t="shared" si="1"/>
        <v>4.9453232696004795E-5</v>
      </c>
      <c r="I30" s="32">
        <f t="shared" si="2"/>
        <v>0.27676089228914208</v>
      </c>
      <c r="J30" s="33">
        <f t="shared" si="5"/>
        <v>447.71332784722227</v>
      </c>
      <c r="K30" s="33">
        <f t="shared" si="3"/>
        <v>17.90853311388889</v>
      </c>
      <c r="L30" s="17">
        <v>86</v>
      </c>
      <c r="M30" s="34">
        <f t="shared" si="6"/>
        <v>0.29069767441860467</v>
      </c>
      <c r="N30" s="17">
        <v>104</v>
      </c>
      <c r="O30" s="35">
        <f t="shared" ref="O30:P30" si="38">D30/7</f>
        <v>3.5714285714285716</v>
      </c>
      <c r="P30" s="35">
        <f t="shared" si="38"/>
        <v>0</v>
      </c>
      <c r="Q30" s="30">
        <f t="shared" si="8"/>
        <v>29</v>
      </c>
      <c r="R30" s="30"/>
      <c r="S30" s="22">
        <v>2.295652173913044</v>
      </c>
      <c r="T30" s="15" t="s">
        <v>34</v>
      </c>
      <c r="U30" s="23">
        <v>182</v>
      </c>
      <c r="V30" s="1" t="s">
        <v>511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1.0714699074074074</v>
      </c>
      <c r="AD30" s="40">
        <f t="shared" si="12"/>
        <v>-25.715277777777779</v>
      </c>
      <c r="AE30" s="26">
        <v>-13.98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29" t="s">
        <v>512</v>
      </c>
      <c r="C31" s="16">
        <f t="shared" si="4"/>
        <v>55.458085106382953</v>
      </c>
      <c r="D31" s="17">
        <v>47</v>
      </c>
      <c r="E31" s="17">
        <v>0</v>
      </c>
      <c r="F31" s="18">
        <v>2606.5299999999988</v>
      </c>
      <c r="G31" s="18">
        <v>-0.33</v>
      </c>
      <c r="H31" s="32">
        <f t="shared" si="1"/>
        <v>1.2660510333662001E-4</v>
      </c>
      <c r="I31" s="32">
        <f t="shared" si="2"/>
        <v>0.18108494295203847</v>
      </c>
      <c r="J31" s="33">
        <f t="shared" si="5"/>
        <v>472.00333635277661</v>
      </c>
      <c r="K31" s="33">
        <f t="shared" si="3"/>
        <v>10.042624177718652</v>
      </c>
      <c r="L31" s="17">
        <v>160</v>
      </c>
      <c r="M31" s="34">
        <f t="shared" si="6"/>
        <v>0.29375000000000001</v>
      </c>
      <c r="N31" s="17">
        <v>54</v>
      </c>
      <c r="O31" s="35">
        <f t="shared" ref="O31:P31" si="39">D31/7</f>
        <v>6.7142857142857144</v>
      </c>
      <c r="P31" s="35">
        <f t="shared" si="39"/>
        <v>0</v>
      </c>
      <c r="Q31" s="30">
        <f t="shared" si="8"/>
        <v>8</v>
      </c>
      <c r="R31" s="30"/>
      <c r="S31" s="22">
        <v>1.8736842105263101</v>
      </c>
      <c r="T31" s="15">
        <v>324</v>
      </c>
      <c r="U31" s="23">
        <v>180</v>
      </c>
      <c r="V31" s="1" t="s">
        <v>513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1.0714699074074074</v>
      </c>
      <c r="AD31" s="40">
        <f t="shared" si="12"/>
        <v>-48.344722222222224</v>
      </c>
      <c r="AE31" s="26">
        <v>-13.98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15" t="s">
        <v>54</v>
      </c>
      <c r="C32" s="16">
        <f t="shared" si="4"/>
        <v>66.623333333333335</v>
      </c>
      <c r="D32" s="17">
        <v>3</v>
      </c>
      <c r="E32" s="17">
        <v>0</v>
      </c>
      <c r="F32" s="18">
        <v>199.87</v>
      </c>
      <c r="G32" s="18">
        <v>0</v>
      </c>
      <c r="H32" s="32">
        <f t="shared" si="1"/>
        <v>0</v>
      </c>
      <c r="I32" s="32">
        <f t="shared" si="2"/>
        <v>0.29329223666216375</v>
      </c>
      <c r="J32" s="33">
        <f t="shared" si="5"/>
        <v>58.620319341666665</v>
      </c>
      <c r="K32" s="33">
        <f t="shared" si="3"/>
        <v>19.540106447222222</v>
      </c>
      <c r="L32" s="17">
        <v>40</v>
      </c>
      <c r="M32" s="34">
        <f t="shared" si="6"/>
        <v>7.4999999999999997E-2</v>
      </c>
      <c r="N32" s="17">
        <v>45</v>
      </c>
      <c r="O32" s="35">
        <f t="shared" ref="O32:P32" si="40">D32/7</f>
        <v>0.42857142857142855</v>
      </c>
      <c r="P32" s="35">
        <f t="shared" si="40"/>
        <v>0</v>
      </c>
      <c r="Q32" s="30">
        <f t="shared" si="8"/>
        <v>105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2.482180293501048</v>
      </c>
      <c r="T32" s="15">
        <f ca="1">IFERROR(__xludf.DUMMYFUNCTION("IFERROR(VLOOKUP($B$2,IMPORTRANGE(""https://docs.google.com/spreadsheets/d/1KiWZV1ko8G7lnRucBRBd29jj3Be6ltMfljMDqzOkQmI/edit#gid=1381463014"",""Lookup!A:D""),4,FALSE),"""")"),324)</f>
        <v>324</v>
      </c>
      <c r="U32" s="23">
        <f ca="1">IFERROR(__xludf.DUMMYFUNCTION("IFERROR(VLOOKUP($B$2,IMPORTRANGE(""https://docs.google.com/spreadsheets/d/1KiWZV1ko8G7lnRucBRBd29jj3Be6ltMfljMDqzOkQmI/edit#gid=1381463014"",""Lookup!A:D""),3,FALSE),"""")"),180)</f>
        <v>180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- 180 units 08/22")</f>
        <v>| AGL229  - 180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1.0714699074074074</v>
      </c>
      <c r="AD32" s="40">
        <f t="shared" si="12"/>
        <v>-3.0858333333333334</v>
      </c>
      <c r="AE32" s="26">
        <v>-13.98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30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75.6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- 40"" x 20"" Magnetic Sidewalk Chalkboard – Sturdy Freestanding Sage Sandwich Board Menu Display for Restaurant, Business or Wedding")</f>
        <v>Wooden A-Frame Sign with Eraser &amp; Chalk - 40" x 20" Magnetic Sidewalk Chalkboard – Sturdy Freestanding Sage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Info!B1:BJ5000""),2,FALSE),"""")"),"B07CN337FP")</f>
        <v>B07CN337FP</v>
      </c>
      <c r="B2" s="3" t="s">
        <v>514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05" customHeight="1" x14ac:dyDescent="0.2">
      <c r="A3" s="57" t="s">
        <v>31</v>
      </c>
      <c r="B3" s="58"/>
      <c r="C3" s="4">
        <f>((AE32+AF32)/0.85)*-1</f>
        <v>41.977783264705884</v>
      </c>
      <c r="D3" s="5">
        <f>SUM(D4:D99519)</f>
        <v>242</v>
      </c>
      <c r="E3" s="5"/>
      <c r="F3" s="6">
        <f t="shared" ref="F3:G3" si="0">SUM(F4:F99519)</f>
        <v>12852.079999999996</v>
      </c>
      <c r="G3" s="6">
        <f t="shared" si="0"/>
        <v>-0.12000000000000001</v>
      </c>
      <c r="H3" s="7">
        <f t="shared" ref="H3:H32" si="1">G3/F3*-1</f>
        <v>9.3370100403981331E-6</v>
      </c>
      <c r="I3" s="8">
        <f t="shared" ref="I3:I32" si="2">J3/F3</f>
        <v>0.23902735606863709</v>
      </c>
      <c r="J3" s="6">
        <f>SUM(J4:J99519)</f>
        <v>3071.9987023826084</v>
      </c>
      <c r="K3" s="6">
        <f t="shared" ref="K3:K32" si="3">J3/D3</f>
        <v>12.69420951397772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Sheet!a1:g5000""),2,FALSE),"""")"),"1 - March
2 - April
2 - May
3 - June
3 - July
2 - Aug
2 - Sept
1 - Oct
1 - Nov
1 - Dec
1 - Jan
1 - Feb")</f>
        <v>1 - March
2 - April
2 - May
3 - June
3 - July
2 - Aug
2 - Sept
1 - Oct
1 - Nov
1 - Dec
1 - Jan
1 -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-245.16591830822711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x14ac:dyDescent="0.2">
      <c r="A4" s="15" t="s">
        <v>32</v>
      </c>
      <c r="B4" s="15" t="s">
        <v>387</v>
      </c>
      <c r="C4" s="16">
        <f t="shared" ref="C4:C32" si="4">IFERROR(F4/D4," - ")</f>
        <v>46.99</v>
      </c>
      <c r="D4" s="17">
        <v>4</v>
      </c>
      <c r="E4" s="17">
        <v>0</v>
      </c>
      <c r="F4" s="18">
        <v>187.96</v>
      </c>
      <c r="G4" s="18">
        <v>0</v>
      </c>
      <c r="H4" s="19">
        <f t="shared" si="1"/>
        <v>0</v>
      </c>
      <c r="I4" s="19">
        <f t="shared" si="2"/>
        <v>0.19265052848123707</v>
      </c>
      <c r="J4" s="18">
        <f t="shared" ref="J4:J32" si="5">F4*0.85+G4+AF4*D4+D4*AE4+AG4+AD4</f>
        <v>36.210593333333321</v>
      </c>
      <c r="K4" s="18">
        <f t="shared" si="3"/>
        <v>9.0526483333333303</v>
      </c>
      <c r="L4" s="17">
        <v>27</v>
      </c>
      <c r="M4" s="20">
        <f t="shared" ref="M4:M32" si="6">IFERROR(D4/L4,"-")</f>
        <v>0.14814814814814814</v>
      </c>
      <c r="N4" s="17">
        <v>41</v>
      </c>
      <c r="O4" s="21">
        <f t="shared" ref="O4:P4" si="7">D4/7</f>
        <v>0.5714285714285714</v>
      </c>
      <c r="P4" s="21">
        <f t="shared" si="7"/>
        <v>0</v>
      </c>
      <c r="Q4" s="17">
        <f t="shared" ref="Q4:Q32" si="8">ROUNDDOWN(N4/(O4+P4),0)</f>
        <v>71</v>
      </c>
      <c r="R4" s="17"/>
      <c r="S4" s="22">
        <v>2.8201438848920799</v>
      </c>
      <c r="T4" s="15">
        <v>60</v>
      </c>
      <c r="U4" s="23">
        <v>30</v>
      </c>
      <c r="V4" s="24" t="s">
        <v>344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1.0640625000000001</v>
      </c>
      <c r="AD4" s="26">
        <f t="shared" ref="AD4:AD32" si="12">IFERROR(AB4*AC4*D4*2,0)</f>
        <v>-4.0860000000000003</v>
      </c>
      <c r="AE4" s="26">
        <v>-13.2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15" t="s">
        <v>515</v>
      </c>
      <c r="C5" s="16">
        <f t="shared" si="4"/>
        <v>46.198</v>
      </c>
      <c r="D5" s="30">
        <v>5</v>
      </c>
      <c r="E5" s="30">
        <v>0</v>
      </c>
      <c r="F5" s="31">
        <v>230.99</v>
      </c>
      <c r="G5" s="31">
        <v>0</v>
      </c>
      <c r="H5" s="32">
        <f t="shared" si="1"/>
        <v>0</v>
      </c>
      <c r="I5" s="32">
        <f t="shared" si="2"/>
        <v>0.18135557105692693</v>
      </c>
      <c r="J5" s="33">
        <f t="shared" si="5"/>
        <v>41.89132335843955</v>
      </c>
      <c r="K5" s="33">
        <f t="shared" si="3"/>
        <v>8.3782646716879103</v>
      </c>
      <c r="L5" s="30">
        <v>55</v>
      </c>
      <c r="M5" s="34">
        <f t="shared" si="6"/>
        <v>9.0909090909090912E-2</v>
      </c>
      <c r="N5" s="30">
        <v>126</v>
      </c>
      <c r="O5" s="35">
        <f t="shared" ref="O5:P5" si="13">D5/7</f>
        <v>0.7142857142857143</v>
      </c>
      <c r="P5" s="35">
        <f t="shared" si="13"/>
        <v>0</v>
      </c>
      <c r="Q5" s="30">
        <f t="shared" si="8"/>
        <v>176</v>
      </c>
      <c r="R5" s="30"/>
      <c r="S5" s="36">
        <v>1.6283185840707901</v>
      </c>
      <c r="T5" s="29">
        <v>60</v>
      </c>
      <c r="U5" s="37">
        <v>30</v>
      </c>
      <c r="V5" s="38" t="s">
        <v>345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1.065295480880649</v>
      </c>
      <c r="AD5" s="40">
        <f t="shared" si="12"/>
        <v>-5.1134183082271143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516</v>
      </c>
      <c r="C6" s="16">
        <f t="shared" si="4"/>
        <v>45.015714285714289</v>
      </c>
      <c r="D6" s="30">
        <v>7</v>
      </c>
      <c r="E6" s="30">
        <v>0</v>
      </c>
      <c r="F6" s="31">
        <v>315.11</v>
      </c>
      <c r="G6" s="31">
        <v>0</v>
      </c>
      <c r="H6" s="32">
        <f t="shared" si="1"/>
        <v>0</v>
      </c>
      <c r="I6" s="32">
        <f t="shared" si="2"/>
        <v>0.16382069224503609</v>
      </c>
      <c r="J6" s="33">
        <f t="shared" si="5"/>
        <v>51.621538333333326</v>
      </c>
      <c r="K6" s="33">
        <f t="shared" si="3"/>
        <v>7.3745054761904756</v>
      </c>
      <c r="L6" s="30">
        <v>55</v>
      </c>
      <c r="M6" s="34">
        <f t="shared" si="6"/>
        <v>0.12727272727272726</v>
      </c>
      <c r="N6" s="30">
        <v>122</v>
      </c>
      <c r="O6" s="35">
        <f t="shared" ref="O6:P6" si="14">D6/7</f>
        <v>1</v>
      </c>
      <c r="P6" s="35">
        <f t="shared" si="14"/>
        <v>0</v>
      </c>
      <c r="Q6" s="30">
        <f t="shared" si="8"/>
        <v>122</v>
      </c>
      <c r="R6" s="30"/>
      <c r="S6" s="36">
        <v>1.2233676975945</v>
      </c>
      <c r="T6" s="29">
        <v>60</v>
      </c>
      <c r="U6" s="37">
        <v>30</v>
      </c>
      <c r="V6" s="38" t="s">
        <v>517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1.0640625000000001</v>
      </c>
      <c r="AD6" s="40">
        <f t="shared" si="12"/>
        <v>-7.150500000000001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518</v>
      </c>
      <c r="C7" s="16">
        <f t="shared" si="4"/>
        <v>44.99</v>
      </c>
      <c r="D7" s="30">
        <v>11</v>
      </c>
      <c r="E7" s="30">
        <v>0</v>
      </c>
      <c r="F7" s="31">
        <v>494.89000000000004</v>
      </c>
      <c r="G7" s="31">
        <v>0</v>
      </c>
      <c r="H7" s="32">
        <f t="shared" si="1"/>
        <v>0</v>
      </c>
      <c r="I7" s="32">
        <f t="shared" si="2"/>
        <v>0.16342850263021416</v>
      </c>
      <c r="J7" s="33">
        <f t="shared" si="5"/>
        <v>80.879131666666694</v>
      </c>
      <c r="K7" s="33">
        <f t="shared" si="3"/>
        <v>7.3526483333333355</v>
      </c>
      <c r="L7" s="30">
        <v>74</v>
      </c>
      <c r="M7" s="34">
        <f t="shared" si="6"/>
        <v>0.14864864864864866</v>
      </c>
      <c r="N7" s="30">
        <v>113</v>
      </c>
      <c r="O7" s="35">
        <f t="shared" ref="O7:P7" si="15">D7/7</f>
        <v>1.5714285714285714</v>
      </c>
      <c r="P7" s="35">
        <f t="shared" si="15"/>
        <v>0</v>
      </c>
      <c r="Q7" s="30">
        <f t="shared" si="8"/>
        <v>71</v>
      </c>
      <c r="R7" s="30"/>
      <c r="S7" s="36">
        <v>1.32793522267206</v>
      </c>
      <c r="T7" s="29">
        <v>60</v>
      </c>
      <c r="U7" s="37">
        <v>30</v>
      </c>
      <c r="V7" s="38" t="s">
        <v>519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1.0640625000000001</v>
      </c>
      <c r="AD7" s="40">
        <f t="shared" si="12"/>
        <v>-11.236500000000001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520</v>
      </c>
      <c r="C8" s="16">
        <f t="shared" si="4"/>
        <v>44.99</v>
      </c>
      <c r="D8" s="30">
        <v>19</v>
      </c>
      <c r="E8" s="30">
        <v>0</v>
      </c>
      <c r="F8" s="31">
        <v>854.81000000000006</v>
      </c>
      <c r="G8" s="31">
        <v>0</v>
      </c>
      <c r="H8" s="32">
        <f t="shared" si="1"/>
        <v>0</v>
      </c>
      <c r="I8" s="32">
        <f t="shared" si="2"/>
        <v>0.16336963769726612</v>
      </c>
      <c r="J8" s="33">
        <f t="shared" si="5"/>
        <v>139.65000000000006</v>
      </c>
      <c r="K8" s="33">
        <f t="shared" si="3"/>
        <v>7.3500000000000032</v>
      </c>
      <c r="L8" s="30">
        <v>68</v>
      </c>
      <c r="M8" s="34">
        <f t="shared" si="6"/>
        <v>0.27941176470588236</v>
      </c>
      <c r="N8" s="30">
        <v>97</v>
      </c>
      <c r="O8" s="35">
        <f t="shared" ref="O8:P8" si="16">D8/7</f>
        <v>2.7142857142857144</v>
      </c>
      <c r="P8" s="35">
        <f t="shared" si="16"/>
        <v>0</v>
      </c>
      <c r="Q8" s="30">
        <f t="shared" si="8"/>
        <v>35</v>
      </c>
      <c r="R8" s="30"/>
      <c r="S8" s="36">
        <v>1.5525114155251101</v>
      </c>
      <c r="T8" s="29">
        <v>78</v>
      </c>
      <c r="U8" s="37">
        <v>30</v>
      </c>
      <c r="V8" s="38" t="s">
        <v>346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1.0640625000000001</v>
      </c>
      <c r="AD8" s="40">
        <f t="shared" si="12"/>
        <v>-19.4085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390</v>
      </c>
      <c r="C9" s="16">
        <f t="shared" si="4"/>
        <v>45.787777777777784</v>
      </c>
      <c r="D9" s="30">
        <v>9</v>
      </c>
      <c r="E9" s="30">
        <v>0</v>
      </c>
      <c r="F9" s="31">
        <v>412.09000000000003</v>
      </c>
      <c r="G9" s="31">
        <v>0</v>
      </c>
      <c r="H9" s="32">
        <f t="shared" si="1"/>
        <v>0</v>
      </c>
      <c r="I9" s="32">
        <f t="shared" si="2"/>
        <v>0.15437673809119445</v>
      </c>
      <c r="J9" s="33">
        <f t="shared" si="5"/>
        <v>63.617110000000324</v>
      </c>
      <c r="K9" s="33">
        <f t="shared" si="3"/>
        <v>7.0685677777778135</v>
      </c>
      <c r="L9" s="30">
        <v>68</v>
      </c>
      <c r="M9" s="34">
        <f t="shared" si="6"/>
        <v>0.13235294117647059</v>
      </c>
      <c r="N9" s="30">
        <v>85</v>
      </c>
      <c r="O9" s="35">
        <f t="shared" ref="O9:P9" si="17">D9/7</f>
        <v>1.2857142857142858</v>
      </c>
      <c r="P9" s="35">
        <f t="shared" si="17"/>
        <v>0</v>
      </c>
      <c r="Q9" s="30">
        <f t="shared" si="8"/>
        <v>66</v>
      </c>
      <c r="R9" s="30"/>
      <c r="S9" s="36">
        <v>1.1168831168831099</v>
      </c>
      <c r="T9" s="29">
        <v>78</v>
      </c>
      <c r="U9" s="37">
        <v>30</v>
      </c>
      <c r="V9" s="38" t="s">
        <v>348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1.0640625000000001</v>
      </c>
      <c r="AD9" s="40">
        <f t="shared" si="12"/>
        <v>-9.1935000000000002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338</v>
      </c>
      <c r="C10" s="16">
        <f t="shared" si="4"/>
        <v>46.724166666666669</v>
      </c>
      <c r="D10" s="30">
        <v>12</v>
      </c>
      <c r="E10" s="30">
        <v>0</v>
      </c>
      <c r="F10" s="31">
        <v>560.69000000000005</v>
      </c>
      <c r="G10" s="31">
        <v>0</v>
      </c>
      <c r="H10" s="32">
        <f t="shared" si="1"/>
        <v>0</v>
      </c>
      <c r="I10" s="32">
        <f t="shared" si="2"/>
        <v>0.16831757299042341</v>
      </c>
      <c r="J10" s="33">
        <f t="shared" si="5"/>
        <v>94.373980000000515</v>
      </c>
      <c r="K10" s="33">
        <f t="shared" si="3"/>
        <v>7.8644983333333762</v>
      </c>
      <c r="L10" s="30">
        <v>71</v>
      </c>
      <c r="M10" s="34">
        <f t="shared" si="6"/>
        <v>0.16901408450704225</v>
      </c>
      <c r="N10" s="30">
        <v>75</v>
      </c>
      <c r="O10" s="35">
        <f t="shared" ref="O10:P10" si="18">D10/7</f>
        <v>1.7142857142857142</v>
      </c>
      <c r="P10" s="35">
        <f t="shared" si="18"/>
        <v>0</v>
      </c>
      <c r="Q10" s="30">
        <f t="shared" si="8"/>
        <v>43</v>
      </c>
      <c r="R10" s="30"/>
      <c r="S10" s="36">
        <v>1.2350877192982399</v>
      </c>
      <c r="T10" s="29">
        <v>48</v>
      </c>
      <c r="U10" s="37">
        <v>30</v>
      </c>
      <c r="V10" s="38" t="s">
        <v>349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1.0640625000000001</v>
      </c>
      <c r="AD10" s="40">
        <f t="shared" si="12"/>
        <v>-12.258000000000001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47.948571428571434</v>
      </c>
      <c r="D11" s="30">
        <v>7</v>
      </c>
      <c r="E11" s="30">
        <v>0</v>
      </c>
      <c r="F11" s="31">
        <v>335.64000000000004</v>
      </c>
      <c r="G11" s="31">
        <v>0</v>
      </c>
      <c r="H11" s="32">
        <f t="shared" si="1"/>
        <v>0</v>
      </c>
      <c r="I11" s="32">
        <f t="shared" si="2"/>
        <v>0.18572487387280112</v>
      </c>
      <c r="J11" s="33">
        <f t="shared" si="5"/>
        <v>62.336696666666974</v>
      </c>
      <c r="K11" s="33">
        <f t="shared" si="3"/>
        <v>8.9052423809524246</v>
      </c>
      <c r="L11" s="30">
        <v>33</v>
      </c>
      <c r="M11" s="34">
        <f t="shared" si="6"/>
        <v>0.21212121212121213</v>
      </c>
      <c r="N11" s="30">
        <v>66</v>
      </c>
      <c r="O11" s="35">
        <f t="shared" ref="O11:P11" si="19">D11/7</f>
        <v>1</v>
      </c>
      <c r="P11" s="35">
        <f t="shared" si="19"/>
        <v>0</v>
      </c>
      <c r="Q11" s="30">
        <f t="shared" si="8"/>
        <v>66</v>
      </c>
      <c r="R11" s="30"/>
      <c r="S11" s="36">
        <v>1.39130434782608</v>
      </c>
      <c r="T11" s="29">
        <v>66</v>
      </c>
      <c r="U11" s="37">
        <v>30</v>
      </c>
      <c r="V11" s="38" t="s">
        <v>521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1.0640625000000001</v>
      </c>
      <c r="AD11" s="40">
        <f t="shared" si="12"/>
        <v>-7.150500000000001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378</v>
      </c>
      <c r="C12" s="16">
        <f t="shared" si="4"/>
        <v>48.137894736842107</v>
      </c>
      <c r="D12" s="30">
        <v>19</v>
      </c>
      <c r="E12" s="30">
        <v>2</v>
      </c>
      <c r="F12" s="31">
        <v>914.62</v>
      </c>
      <c r="G12" s="31">
        <v>0</v>
      </c>
      <c r="H12" s="32">
        <f t="shared" si="1"/>
        <v>0</v>
      </c>
      <c r="I12" s="32">
        <f t="shared" si="2"/>
        <v>0.18833742610774676</v>
      </c>
      <c r="J12" s="33">
        <f t="shared" si="5"/>
        <v>172.25717666666733</v>
      </c>
      <c r="K12" s="33">
        <f t="shared" si="3"/>
        <v>9.0661671929824905</v>
      </c>
      <c r="L12" s="30">
        <v>46</v>
      </c>
      <c r="M12" s="34">
        <f t="shared" si="6"/>
        <v>0.41304347826086957</v>
      </c>
      <c r="N12" s="30">
        <v>47</v>
      </c>
      <c r="O12" s="35">
        <f t="shared" ref="O12:P12" si="20">D12/7</f>
        <v>2.7142857142857144</v>
      </c>
      <c r="P12" s="35">
        <f t="shared" si="20"/>
        <v>0.2857142857142857</v>
      </c>
      <c r="Q12" s="30">
        <f t="shared" si="8"/>
        <v>15</v>
      </c>
      <c r="R12" s="30"/>
      <c r="S12" s="36">
        <v>1.96226415094339</v>
      </c>
      <c r="T12" s="29">
        <v>186</v>
      </c>
      <c r="U12" s="37">
        <v>30</v>
      </c>
      <c r="V12" s="38" t="s">
        <v>522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163</v>
      </c>
      <c r="AB12" s="41">
        <f t="shared" si="11"/>
        <v>-0.48</v>
      </c>
      <c r="AC12" s="42">
        <v>1.0640625000000001</v>
      </c>
      <c r="AD12" s="40">
        <f t="shared" si="12"/>
        <v>-19.4085</v>
      </c>
      <c r="AE12" s="40">
        <v>-13.2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523</v>
      </c>
      <c r="C13" s="16">
        <f t="shared" si="4"/>
        <v>49.973636363636366</v>
      </c>
      <c r="D13" s="30">
        <v>22</v>
      </c>
      <c r="E13" s="30">
        <v>0</v>
      </c>
      <c r="F13" s="33">
        <v>1099.42</v>
      </c>
      <c r="G13" s="31">
        <v>0</v>
      </c>
      <c r="H13" s="32">
        <f t="shared" si="1"/>
        <v>0</v>
      </c>
      <c r="I13" s="32">
        <f t="shared" si="2"/>
        <v>0.20250939586327341</v>
      </c>
      <c r="J13" s="33">
        <f t="shared" si="5"/>
        <v>222.64288000000005</v>
      </c>
      <c r="K13" s="33">
        <f t="shared" si="3"/>
        <v>10.120130909090911</v>
      </c>
      <c r="L13" s="30">
        <v>41</v>
      </c>
      <c r="M13" s="34">
        <f t="shared" si="6"/>
        <v>0.53658536585365857</v>
      </c>
      <c r="N13" s="30">
        <v>26</v>
      </c>
      <c r="O13" s="35">
        <f t="shared" ref="O13:P13" si="21">D13/7</f>
        <v>3.1428571428571428</v>
      </c>
      <c r="P13" s="35">
        <f t="shared" si="21"/>
        <v>0</v>
      </c>
      <c r="Q13" s="30">
        <f t="shared" si="8"/>
        <v>8</v>
      </c>
      <c r="R13" s="30"/>
      <c r="S13" s="36">
        <v>2.1293532338308401</v>
      </c>
      <c r="T13" s="29">
        <v>306</v>
      </c>
      <c r="U13" s="37">
        <v>30</v>
      </c>
      <c r="V13" s="38" t="s">
        <v>524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163</v>
      </c>
      <c r="AB13" s="41">
        <f t="shared" si="11"/>
        <v>-0.48</v>
      </c>
      <c r="AC13" s="42">
        <v>1.0640625000000001</v>
      </c>
      <c r="AD13" s="40">
        <f t="shared" si="12"/>
        <v>-22.473000000000003</v>
      </c>
      <c r="AE13" s="40">
        <v>-13.2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525</v>
      </c>
      <c r="C14" s="16">
        <f t="shared" si="4"/>
        <v>52.524166666666673</v>
      </c>
      <c r="D14" s="30">
        <v>12</v>
      </c>
      <c r="E14" s="30">
        <v>0</v>
      </c>
      <c r="F14" s="33">
        <v>630.29000000000008</v>
      </c>
      <c r="G14" s="31">
        <v>0</v>
      </c>
      <c r="H14" s="32">
        <f t="shared" si="1"/>
        <v>0</v>
      </c>
      <c r="I14" s="32">
        <f t="shared" si="2"/>
        <v>0.23395100667946508</v>
      </c>
      <c r="J14" s="33">
        <f t="shared" si="5"/>
        <v>147.45698000000007</v>
      </c>
      <c r="K14" s="33">
        <f t="shared" si="3"/>
        <v>12.288081666666672</v>
      </c>
      <c r="L14" s="30">
        <v>61</v>
      </c>
      <c r="M14" s="34">
        <f t="shared" si="6"/>
        <v>0.19672131147540983</v>
      </c>
      <c r="N14" s="30">
        <v>42</v>
      </c>
      <c r="O14" s="35">
        <f t="shared" ref="O14:P14" si="22">D14/7</f>
        <v>1.7142857142857142</v>
      </c>
      <c r="P14" s="35">
        <f t="shared" si="22"/>
        <v>0</v>
      </c>
      <c r="Q14" s="30">
        <f t="shared" si="8"/>
        <v>24</v>
      </c>
      <c r="R14" s="30"/>
      <c r="S14" s="36">
        <v>1.68976897689768</v>
      </c>
      <c r="T14" s="29">
        <v>276</v>
      </c>
      <c r="U14" s="37">
        <v>120</v>
      </c>
      <c r="V14" s="38" t="s">
        <v>526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163</v>
      </c>
      <c r="AB14" s="41">
        <f t="shared" si="11"/>
        <v>-0.48</v>
      </c>
      <c r="AC14" s="42">
        <v>1.0640625000000001</v>
      </c>
      <c r="AD14" s="40">
        <f t="shared" si="12"/>
        <v>-12.258000000000001</v>
      </c>
      <c r="AE14" s="40">
        <v>-13.2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428</v>
      </c>
      <c r="C15" s="16">
        <f t="shared" si="4"/>
        <v>54.893076923076926</v>
      </c>
      <c r="D15" s="30">
        <v>13</v>
      </c>
      <c r="E15" s="30">
        <v>0</v>
      </c>
      <c r="F15" s="33">
        <v>713.61</v>
      </c>
      <c r="G15" s="31">
        <v>-0.04</v>
      </c>
      <c r="H15" s="32">
        <f t="shared" si="1"/>
        <v>5.6053026162749959E-5</v>
      </c>
      <c r="I15" s="32">
        <f t="shared" si="2"/>
        <v>0.26048054259329328</v>
      </c>
      <c r="J15" s="33">
        <f t="shared" si="5"/>
        <v>185.88152000000002</v>
      </c>
      <c r="K15" s="33">
        <f t="shared" si="3"/>
        <v>14.298578461538463</v>
      </c>
      <c r="L15" s="30">
        <v>37</v>
      </c>
      <c r="M15" s="34">
        <f t="shared" si="6"/>
        <v>0.35135135135135137</v>
      </c>
      <c r="N15" s="30">
        <v>30</v>
      </c>
      <c r="O15" s="35">
        <f t="shared" ref="O15:P15" si="23">D15/7</f>
        <v>1.8571428571428572</v>
      </c>
      <c r="P15" s="35">
        <f t="shared" si="23"/>
        <v>0</v>
      </c>
      <c r="Q15" s="30">
        <f t="shared" si="8"/>
        <v>16</v>
      </c>
      <c r="R15" s="30"/>
      <c r="S15" s="36">
        <v>2.0219780219780201</v>
      </c>
      <c r="T15" s="29">
        <v>138</v>
      </c>
      <c r="U15" s="37">
        <v>18</v>
      </c>
      <c r="V15" s="38" t="s">
        <v>527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1.0640625000000001</v>
      </c>
      <c r="AD15" s="40">
        <f t="shared" si="12"/>
        <v>-13.279500000000001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528</v>
      </c>
      <c r="C16" s="16">
        <f t="shared" si="4"/>
        <v>55.932222222222229</v>
      </c>
      <c r="D16" s="30">
        <v>9</v>
      </c>
      <c r="E16" s="30">
        <v>0</v>
      </c>
      <c r="F16" s="33">
        <v>503.39000000000004</v>
      </c>
      <c r="G16" s="31">
        <v>0</v>
      </c>
      <c r="H16" s="32">
        <f t="shared" si="1"/>
        <v>0</v>
      </c>
      <c r="I16" s="32">
        <f t="shared" si="2"/>
        <v>0.27148803114881109</v>
      </c>
      <c r="J16" s="33">
        <f t="shared" si="5"/>
        <v>136.66436000000002</v>
      </c>
      <c r="K16" s="33">
        <f t="shared" si="3"/>
        <v>15.184928888888891</v>
      </c>
      <c r="L16" s="30">
        <v>53</v>
      </c>
      <c r="M16" s="34">
        <f t="shared" si="6"/>
        <v>0.16981132075471697</v>
      </c>
      <c r="N16" s="30">
        <v>22</v>
      </c>
      <c r="O16" s="35">
        <f t="shared" ref="O16:P16" si="24">D16/7</f>
        <v>1.2857142857142858</v>
      </c>
      <c r="P16" s="35">
        <f t="shared" si="24"/>
        <v>0</v>
      </c>
      <c r="Q16" s="30">
        <f t="shared" si="8"/>
        <v>17</v>
      </c>
      <c r="R16" s="30"/>
      <c r="S16" s="36">
        <v>2.52360515021459</v>
      </c>
      <c r="T16" s="29">
        <v>138</v>
      </c>
      <c r="U16" s="37">
        <v>18</v>
      </c>
      <c r="V16" s="38" t="s">
        <v>529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1.0640625000000001</v>
      </c>
      <c r="AD16" s="40">
        <f t="shared" si="12"/>
        <v>-9.1935000000000002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57.323333333333331</v>
      </c>
      <c r="D17" s="30">
        <v>6</v>
      </c>
      <c r="E17" s="30">
        <v>0</v>
      </c>
      <c r="F17" s="33">
        <v>343.94</v>
      </c>
      <c r="G17" s="31">
        <v>0</v>
      </c>
      <c r="H17" s="32">
        <f t="shared" si="1"/>
        <v>0</v>
      </c>
      <c r="I17" s="32">
        <f t="shared" si="2"/>
        <v>0.28552724312380062</v>
      </c>
      <c r="J17" s="33">
        <f t="shared" si="5"/>
        <v>98.204239999999984</v>
      </c>
      <c r="K17" s="33">
        <f t="shared" si="3"/>
        <v>16.36737333333333</v>
      </c>
      <c r="L17" s="30">
        <v>36</v>
      </c>
      <c r="M17" s="34">
        <f t="shared" si="6"/>
        <v>0.16666666666666666</v>
      </c>
      <c r="N17" s="30">
        <v>15</v>
      </c>
      <c r="O17" s="35">
        <f t="shared" ref="O17:P17" si="25">D17/7</f>
        <v>0.8571428571428571</v>
      </c>
      <c r="P17" s="35">
        <f t="shared" si="25"/>
        <v>0</v>
      </c>
      <c r="Q17" s="30">
        <f t="shared" si="8"/>
        <v>17</v>
      </c>
      <c r="R17" s="30"/>
      <c r="S17" s="36">
        <v>3.2210526315789401</v>
      </c>
      <c r="T17" s="29">
        <v>138</v>
      </c>
      <c r="U17" s="37">
        <v>18</v>
      </c>
      <c r="V17" s="38" t="s">
        <v>529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1.0640625000000001</v>
      </c>
      <c r="AD17" s="40">
        <f t="shared" si="12"/>
        <v>-6.1290000000000004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530</v>
      </c>
      <c r="C18" s="16">
        <f t="shared" si="4"/>
        <v>57.99</v>
      </c>
      <c r="D18" s="30">
        <v>8</v>
      </c>
      <c r="E18" s="30">
        <v>0</v>
      </c>
      <c r="F18" s="33">
        <v>463.92</v>
      </c>
      <c r="G18" s="31">
        <v>0</v>
      </c>
      <c r="H18" s="32">
        <f t="shared" si="1"/>
        <v>0</v>
      </c>
      <c r="I18" s="32">
        <f t="shared" si="2"/>
        <v>0.29201655457837555</v>
      </c>
      <c r="J18" s="33">
        <f t="shared" si="5"/>
        <v>135.47232</v>
      </c>
      <c r="K18" s="33">
        <f t="shared" si="3"/>
        <v>16.93404</v>
      </c>
      <c r="L18" s="30">
        <v>63</v>
      </c>
      <c r="M18" s="34">
        <f t="shared" si="6"/>
        <v>0.12698412698412698</v>
      </c>
      <c r="N18" s="30">
        <v>8</v>
      </c>
      <c r="O18" s="35">
        <f t="shared" ref="O18:P18" si="26">D18/7</f>
        <v>1.1428571428571428</v>
      </c>
      <c r="P18" s="35">
        <f t="shared" si="26"/>
        <v>0</v>
      </c>
      <c r="Q18" s="30">
        <f t="shared" si="8"/>
        <v>7</v>
      </c>
      <c r="R18" s="30"/>
      <c r="S18" s="36">
        <v>2.5872340425531899</v>
      </c>
      <c r="T18" s="29">
        <v>138</v>
      </c>
      <c r="U18" s="37">
        <v>120</v>
      </c>
      <c r="V18" s="38" t="s">
        <v>531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1.0640625000000001</v>
      </c>
      <c r="AD18" s="40">
        <f t="shared" si="12"/>
        <v>-8.1720000000000006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59.323333333333331</v>
      </c>
      <c r="D19" s="30">
        <v>6</v>
      </c>
      <c r="E19" s="30">
        <v>0</v>
      </c>
      <c r="F19" s="33">
        <v>355.94</v>
      </c>
      <c r="G19" s="31">
        <v>0</v>
      </c>
      <c r="H19" s="32">
        <f t="shared" si="1"/>
        <v>0</v>
      </c>
      <c r="I19" s="32">
        <f t="shared" si="2"/>
        <v>0.30455762207113551</v>
      </c>
      <c r="J19" s="33">
        <f t="shared" si="5"/>
        <v>108.40423999999997</v>
      </c>
      <c r="K19" s="33">
        <f t="shared" si="3"/>
        <v>18.067373333333329</v>
      </c>
      <c r="L19" s="30">
        <v>58</v>
      </c>
      <c r="M19" s="34">
        <f t="shared" si="6"/>
        <v>0.10344827586206896</v>
      </c>
      <c r="N19" s="30">
        <v>19</v>
      </c>
      <c r="O19" s="35">
        <f t="shared" ref="O19:P19" si="27">D19/7</f>
        <v>0.8571428571428571</v>
      </c>
      <c r="P19" s="35">
        <f t="shared" si="27"/>
        <v>0</v>
      </c>
      <c r="Q19" s="30">
        <f t="shared" si="8"/>
        <v>22</v>
      </c>
      <c r="R19" s="30"/>
      <c r="S19" s="36">
        <v>2.29657794676806</v>
      </c>
      <c r="T19" s="29">
        <v>344</v>
      </c>
      <c r="U19" s="37">
        <v>120</v>
      </c>
      <c r="V19" s="38" t="s">
        <v>532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1.0640625000000001</v>
      </c>
      <c r="AD19" s="40">
        <f t="shared" si="12"/>
        <v>-6.1290000000000004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408</v>
      </c>
      <c r="C20" s="16">
        <f t="shared" si="4"/>
        <v>60.258333333333333</v>
      </c>
      <c r="D20" s="30">
        <v>6</v>
      </c>
      <c r="E20" s="30">
        <v>0</v>
      </c>
      <c r="F20" s="33">
        <v>361.55</v>
      </c>
      <c r="G20" s="31">
        <v>0</v>
      </c>
      <c r="H20" s="32">
        <f t="shared" si="1"/>
        <v>0</v>
      </c>
      <c r="I20" s="32">
        <f t="shared" si="2"/>
        <v>0.31302099294703356</v>
      </c>
      <c r="J20" s="33">
        <f t="shared" si="5"/>
        <v>113.17273999999999</v>
      </c>
      <c r="K20" s="33">
        <f t="shared" si="3"/>
        <v>18.862123333333333</v>
      </c>
      <c r="L20" s="30">
        <v>51</v>
      </c>
      <c r="M20" s="34">
        <f t="shared" si="6"/>
        <v>0.11764705882352941</v>
      </c>
      <c r="N20" s="30">
        <v>15</v>
      </c>
      <c r="O20" s="35">
        <f t="shared" ref="O20:P20" si="28">D20/7</f>
        <v>0.8571428571428571</v>
      </c>
      <c r="P20" s="35">
        <f t="shared" si="28"/>
        <v>0</v>
      </c>
      <c r="Q20" s="30">
        <f t="shared" si="8"/>
        <v>17</v>
      </c>
      <c r="R20" s="30"/>
      <c r="S20" s="36">
        <v>2.60262008733624</v>
      </c>
      <c r="T20" s="29">
        <v>344</v>
      </c>
      <c r="U20" s="37">
        <v>120</v>
      </c>
      <c r="V20" s="38" t="s">
        <v>533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1.0640625000000001</v>
      </c>
      <c r="AD20" s="40">
        <f t="shared" si="12"/>
        <v>-6.1290000000000004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172</v>
      </c>
      <c r="C21" s="16">
        <f t="shared" si="4"/>
        <v>61.99</v>
      </c>
      <c r="D21" s="30">
        <v>6</v>
      </c>
      <c r="E21" s="30">
        <v>0</v>
      </c>
      <c r="F21" s="33">
        <v>371.94</v>
      </c>
      <c r="G21" s="31">
        <v>0</v>
      </c>
      <c r="H21" s="32">
        <f t="shared" si="1"/>
        <v>0</v>
      </c>
      <c r="I21" s="32">
        <f t="shared" si="2"/>
        <v>0.32802129375705757</v>
      </c>
      <c r="J21" s="33">
        <f t="shared" si="5"/>
        <v>122.00424</v>
      </c>
      <c r="K21" s="33">
        <f t="shared" si="3"/>
        <v>20.334039999999998</v>
      </c>
      <c r="L21" s="30">
        <v>37</v>
      </c>
      <c r="M21" s="34">
        <f t="shared" si="6"/>
        <v>0.16216216216216217</v>
      </c>
      <c r="N21" s="30">
        <v>1</v>
      </c>
      <c r="O21" s="35">
        <f t="shared" ref="O21:P21" si="29">D21/7</f>
        <v>0.8571428571428571</v>
      </c>
      <c r="P21" s="35">
        <f t="shared" si="29"/>
        <v>0</v>
      </c>
      <c r="Q21" s="30">
        <f t="shared" si="8"/>
        <v>1</v>
      </c>
      <c r="R21" s="30"/>
      <c r="S21" s="36">
        <v>3.3086419753086398</v>
      </c>
      <c r="T21" s="29">
        <v>344</v>
      </c>
      <c r="U21" s="37">
        <v>120</v>
      </c>
      <c r="V21" s="38" t="s">
        <v>534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1.0640625000000001</v>
      </c>
      <c r="AD21" s="40">
        <f t="shared" si="12"/>
        <v>-6.1290000000000004</v>
      </c>
      <c r="AE21" s="40">
        <v>-13.2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172</v>
      </c>
      <c r="C22" s="16">
        <f t="shared" si="4"/>
        <v>61.99</v>
      </c>
      <c r="D22" s="30">
        <v>4</v>
      </c>
      <c r="E22" s="30">
        <v>0</v>
      </c>
      <c r="F22" s="31">
        <v>247.96</v>
      </c>
      <c r="G22" s="31">
        <v>0</v>
      </c>
      <c r="H22" s="32">
        <f t="shared" si="1"/>
        <v>0</v>
      </c>
      <c r="I22" s="32">
        <f t="shared" si="2"/>
        <v>0.32802129375705752</v>
      </c>
      <c r="J22" s="33">
        <f t="shared" si="5"/>
        <v>81.336159999999978</v>
      </c>
      <c r="K22" s="33">
        <f t="shared" si="3"/>
        <v>20.334039999999995</v>
      </c>
      <c r="L22" s="30">
        <v>46</v>
      </c>
      <c r="M22" s="34">
        <f t="shared" si="6"/>
        <v>8.6956521739130432E-2</v>
      </c>
      <c r="N22" s="30">
        <v>1</v>
      </c>
      <c r="O22" s="35">
        <f t="shared" ref="O22:P22" si="30">D22/7</f>
        <v>0.5714285714285714</v>
      </c>
      <c r="P22" s="35">
        <f t="shared" si="30"/>
        <v>0</v>
      </c>
      <c r="Q22" s="30">
        <f t="shared" si="8"/>
        <v>1</v>
      </c>
      <c r="R22" s="30"/>
      <c r="S22" s="36">
        <v>3.9685039370078701</v>
      </c>
      <c r="T22" s="29">
        <v>344</v>
      </c>
      <c r="U22" s="37">
        <v>120</v>
      </c>
      <c r="V22" s="38" t="s">
        <v>534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1.0640625000000001</v>
      </c>
      <c r="AD22" s="40">
        <f t="shared" si="12"/>
        <v>-4.0860000000000003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61.99</v>
      </c>
      <c r="D23" s="30">
        <v>2</v>
      </c>
      <c r="E23" s="30">
        <v>0</v>
      </c>
      <c r="F23" s="33">
        <v>123.98</v>
      </c>
      <c r="G23" s="31">
        <v>-0.06</v>
      </c>
      <c r="H23" s="32">
        <f t="shared" si="1"/>
        <v>4.839490240361348E-4</v>
      </c>
      <c r="I23" s="32">
        <f t="shared" si="2"/>
        <v>0.34401580900145173</v>
      </c>
      <c r="J23" s="33">
        <f t="shared" si="5"/>
        <v>42.651079999999986</v>
      </c>
      <c r="K23" s="33">
        <f t="shared" si="3"/>
        <v>21.325539999999993</v>
      </c>
      <c r="L23" s="30">
        <v>19</v>
      </c>
      <c r="M23" s="34">
        <f t="shared" si="6"/>
        <v>0.10526315789473684</v>
      </c>
      <c r="N23" s="30">
        <v>1</v>
      </c>
      <c r="O23" s="35">
        <f t="shared" ref="O23:P23" si="31">D23/7</f>
        <v>0.2857142857142857</v>
      </c>
      <c r="P23" s="35">
        <f t="shared" si="31"/>
        <v>0</v>
      </c>
      <c r="Q23" s="30">
        <f t="shared" si="8"/>
        <v>3</v>
      </c>
      <c r="R23" s="30"/>
      <c r="S23" s="36">
        <v>3.2105263157894699</v>
      </c>
      <c r="T23" s="29">
        <v>224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 t="e">
        <v>#N/A</v>
      </c>
      <c r="AD23" s="40">
        <f t="shared" si="12"/>
        <v>0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507</v>
      </c>
      <c r="C24" s="16">
        <f t="shared" si="4"/>
        <v>61.99</v>
      </c>
      <c r="D24" s="30">
        <v>1</v>
      </c>
      <c r="E24" s="30">
        <v>0</v>
      </c>
      <c r="F24" s="33">
        <v>61.99</v>
      </c>
      <c r="G24" s="33">
        <v>0</v>
      </c>
      <c r="H24" s="32">
        <f t="shared" si="1"/>
        <v>0</v>
      </c>
      <c r="I24" s="32">
        <f t="shared" si="2"/>
        <v>0.32802129375705752</v>
      </c>
      <c r="J24" s="33">
        <f t="shared" si="5"/>
        <v>20.334039999999995</v>
      </c>
      <c r="K24" s="33">
        <f t="shared" si="3"/>
        <v>20.334039999999995</v>
      </c>
      <c r="L24" s="30">
        <v>21</v>
      </c>
      <c r="M24" s="34">
        <f t="shared" si="6"/>
        <v>4.7619047619047616E-2</v>
      </c>
      <c r="N24" s="30">
        <v>117</v>
      </c>
      <c r="O24" s="35">
        <f t="shared" ref="O24:P24" si="32">D24/7</f>
        <v>0.14285714285714285</v>
      </c>
      <c r="P24" s="35">
        <f t="shared" si="32"/>
        <v>0</v>
      </c>
      <c r="Q24" s="30">
        <f t="shared" si="8"/>
        <v>819</v>
      </c>
      <c r="R24" s="30"/>
      <c r="S24" s="36">
        <v>1.86345381526104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Summary!A1:AD5000""),9,FALSE),"""")"),324)</f>
        <v>324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Summary!A1:AD5000""),28,FALSE),"""")"),100)</f>
        <v>100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AGL229: 100 - 08/22/21")</f>
        <v xml:space="preserve"> | AGL229: 100 - 08/22/21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1.0640625000000001</v>
      </c>
      <c r="AD24" s="40">
        <f t="shared" si="12"/>
        <v>-1.0215000000000001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480</v>
      </c>
      <c r="C25" s="16">
        <f t="shared" si="4"/>
        <v>61.99</v>
      </c>
      <c r="D25" s="17">
        <v>1</v>
      </c>
      <c r="E25" s="17">
        <v>0</v>
      </c>
      <c r="F25" s="18">
        <v>61.99</v>
      </c>
      <c r="G25" s="18">
        <v>0</v>
      </c>
      <c r="H25" s="32">
        <f t="shared" si="1"/>
        <v>0</v>
      </c>
      <c r="I25" s="32">
        <f t="shared" si="2"/>
        <v>0.327956121955154</v>
      </c>
      <c r="J25" s="33">
        <f t="shared" si="5"/>
        <v>20.329999999999998</v>
      </c>
      <c r="K25" s="33">
        <f t="shared" si="3"/>
        <v>20.329999999999998</v>
      </c>
      <c r="L25" s="17">
        <v>50</v>
      </c>
      <c r="M25" s="34">
        <f t="shared" si="6"/>
        <v>0.02</v>
      </c>
      <c r="N25" s="17">
        <v>119</v>
      </c>
      <c r="O25" s="35">
        <f t="shared" ref="O25:P25" si="33">D25/7</f>
        <v>0.14285714285714285</v>
      </c>
      <c r="P25" s="35">
        <f t="shared" si="33"/>
        <v>0</v>
      </c>
      <c r="Q25" s="30">
        <f t="shared" si="8"/>
        <v>833</v>
      </c>
      <c r="R25" s="30"/>
      <c r="S25" s="36">
        <v>1.86345381526104</v>
      </c>
      <c r="T25" s="29">
        <v>224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1.0640625000000001</v>
      </c>
      <c r="AD25" s="40">
        <f t="shared" si="12"/>
        <v>-1.0215000000000001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481</v>
      </c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-0.02</v>
      </c>
      <c r="H26" s="32" t="e">
        <f t="shared" si="1"/>
        <v>#DIV/0!</v>
      </c>
      <c r="I26" s="32" t="e">
        <f t="shared" si="2"/>
        <v>#DIV/0!</v>
      </c>
      <c r="J26" s="33">
        <f t="shared" si="5"/>
        <v>-0.02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119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1.6914285714285719</v>
      </c>
      <c r="T26" s="29">
        <v>324</v>
      </c>
      <c r="U26" s="37">
        <v>100</v>
      </c>
      <c r="V26" s="38" t="s">
        <v>339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1.0640625000000001</v>
      </c>
      <c r="AD26" s="40">
        <f t="shared" si="12"/>
        <v>0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420</v>
      </c>
      <c r="C27" s="16">
        <f t="shared" si="4"/>
        <v>59.056666666666665</v>
      </c>
      <c r="D27" s="17">
        <v>3</v>
      </c>
      <c r="E27" s="17">
        <v>0</v>
      </c>
      <c r="F27" s="18">
        <v>177.17</v>
      </c>
      <c r="G27" s="18">
        <v>0</v>
      </c>
      <c r="H27" s="32">
        <f t="shared" si="1"/>
        <v>0</v>
      </c>
      <c r="I27" s="32">
        <f t="shared" si="2"/>
        <v>0.2953215555680983</v>
      </c>
      <c r="J27" s="33">
        <f t="shared" si="5"/>
        <v>52.322119999999977</v>
      </c>
      <c r="K27" s="33">
        <f t="shared" si="3"/>
        <v>17.44070666666666</v>
      </c>
      <c r="L27" s="17">
        <v>62</v>
      </c>
      <c r="M27" s="34">
        <f t="shared" si="6"/>
        <v>4.8387096774193547E-2</v>
      </c>
      <c r="N27" s="17">
        <v>14</v>
      </c>
      <c r="O27" s="35">
        <f t="shared" ref="O27:P27" si="35">D27/7</f>
        <v>0.42857142857142855</v>
      </c>
      <c r="P27" s="35">
        <f t="shared" si="35"/>
        <v>0</v>
      </c>
      <c r="Q27" s="30">
        <f t="shared" si="8"/>
        <v>32</v>
      </c>
      <c r="R27" s="30"/>
      <c r="S27" s="22">
        <v>2.4842105263157901</v>
      </c>
      <c r="T27" s="29">
        <v>324</v>
      </c>
      <c r="U27" s="37">
        <v>100</v>
      </c>
      <c r="V27" s="38" t="s">
        <v>339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1.0640625000000001</v>
      </c>
      <c r="AD27" s="40">
        <f t="shared" si="12"/>
        <v>-3.0645000000000002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483</v>
      </c>
      <c r="C28" s="16">
        <f t="shared" si="4"/>
        <v>55.060625000000002</v>
      </c>
      <c r="D28" s="17">
        <v>16</v>
      </c>
      <c r="E28" s="17">
        <v>0</v>
      </c>
      <c r="F28" s="18">
        <v>880.97</v>
      </c>
      <c r="G28" s="18">
        <v>0</v>
      </c>
      <c r="H28" s="32">
        <f t="shared" si="1"/>
        <v>0</v>
      </c>
      <c r="I28" s="32">
        <f t="shared" si="2"/>
        <v>0.25506559814749657</v>
      </c>
      <c r="J28" s="33">
        <f t="shared" si="5"/>
        <v>224.70514000000006</v>
      </c>
      <c r="K28" s="33">
        <f t="shared" si="3"/>
        <v>14.044071250000004</v>
      </c>
      <c r="L28" s="17">
        <v>85</v>
      </c>
      <c r="M28" s="34">
        <f t="shared" si="6"/>
        <v>0.18823529411764706</v>
      </c>
      <c r="N28" s="17">
        <v>90</v>
      </c>
      <c r="O28" s="35">
        <f t="shared" ref="O28:P28" si="36">D28/7</f>
        <v>2.2857142857142856</v>
      </c>
      <c r="P28" s="35">
        <f t="shared" si="36"/>
        <v>0</v>
      </c>
      <c r="Q28" s="30">
        <f t="shared" si="8"/>
        <v>39</v>
      </c>
      <c r="R28" s="30"/>
      <c r="S28" s="22">
        <v>1.4709677419354841</v>
      </c>
      <c r="T28" s="15" t="s">
        <v>34</v>
      </c>
      <c r="U28" s="23">
        <v>100</v>
      </c>
      <c r="V28" s="1" t="s">
        <v>340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1.0640625000000001</v>
      </c>
      <c r="AD28" s="40">
        <f t="shared" si="12"/>
        <v>-16.344000000000001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484</v>
      </c>
      <c r="C29" s="16">
        <f t="shared" si="4"/>
        <v>60.030000000000008</v>
      </c>
      <c r="D29" s="17">
        <v>21</v>
      </c>
      <c r="E29" s="17">
        <v>0</v>
      </c>
      <c r="F29" s="18">
        <v>1260.6300000000001</v>
      </c>
      <c r="G29" s="18">
        <v>0</v>
      </c>
      <c r="H29" s="32">
        <f t="shared" si="1"/>
        <v>0</v>
      </c>
      <c r="I29" s="32">
        <f t="shared" si="2"/>
        <v>0.27060406101116102</v>
      </c>
      <c r="J29" s="33">
        <f t="shared" si="5"/>
        <v>341.13159743249997</v>
      </c>
      <c r="K29" s="33">
        <f t="shared" si="3"/>
        <v>16.2443617825</v>
      </c>
      <c r="L29" s="17">
        <v>62</v>
      </c>
      <c r="M29" s="34">
        <f t="shared" si="6"/>
        <v>0.33870967741935482</v>
      </c>
      <c r="N29" s="17">
        <v>83</v>
      </c>
      <c r="O29" s="35">
        <f t="shared" ref="O29:P29" si="37">D29/7</f>
        <v>3</v>
      </c>
      <c r="P29" s="35">
        <f t="shared" si="37"/>
        <v>0</v>
      </c>
      <c r="Q29" s="30">
        <f t="shared" si="8"/>
        <v>27</v>
      </c>
      <c r="R29" s="30"/>
      <c r="S29" s="22">
        <v>1.1839999999999999</v>
      </c>
      <c r="T29" s="15" t="s">
        <v>34</v>
      </c>
      <c r="U29" s="23">
        <v>100</v>
      </c>
      <c r="V29" s="1" t="s">
        <v>340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1.0640625000000001</v>
      </c>
      <c r="AD29" s="40">
        <f t="shared" si="12"/>
        <v>-21.451500000000003</v>
      </c>
      <c r="AE29" s="26">
        <v>-13.6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485</v>
      </c>
      <c r="C30" s="16">
        <f t="shared" si="4"/>
        <v>66.989999999999995</v>
      </c>
      <c r="D30" s="17">
        <v>2</v>
      </c>
      <c r="E30" s="17">
        <v>0</v>
      </c>
      <c r="F30" s="18">
        <v>133.97999999999999</v>
      </c>
      <c r="G30" s="18">
        <v>0</v>
      </c>
      <c r="H30" s="32">
        <f t="shared" si="1"/>
        <v>0</v>
      </c>
      <c r="I30" s="32">
        <f t="shared" si="2"/>
        <v>0.30211799111807719</v>
      </c>
      <c r="J30" s="33">
        <f t="shared" si="5"/>
        <v>40.477768449999978</v>
      </c>
      <c r="K30" s="33">
        <f t="shared" si="3"/>
        <v>20.238884224999989</v>
      </c>
      <c r="L30" s="17">
        <v>33</v>
      </c>
      <c r="M30" s="34">
        <f t="shared" si="6"/>
        <v>6.0606060606060608E-2</v>
      </c>
      <c r="N30" s="17">
        <v>79</v>
      </c>
      <c r="O30" s="35">
        <f t="shared" ref="O30:P30" si="38">D30/7</f>
        <v>0.2857142857142857</v>
      </c>
      <c r="P30" s="35">
        <f t="shared" si="38"/>
        <v>0</v>
      </c>
      <c r="Q30" s="30">
        <f t="shared" si="8"/>
        <v>276</v>
      </c>
      <c r="R30" s="30"/>
      <c r="S30" s="22">
        <v>1.2920353982300889</v>
      </c>
      <c r="T30" s="15" t="s">
        <v>34</v>
      </c>
      <c r="U30" s="23">
        <v>100</v>
      </c>
      <c r="V30" s="1" t="s">
        <v>340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1.0640625000000001</v>
      </c>
      <c r="AD30" s="40">
        <f t="shared" si="12"/>
        <v>-2.0430000000000001</v>
      </c>
      <c r="AE30" s="26">
        <v>-13.6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29" t="s">
        <v>535</v>
      </c>
      <c r="C31" s="16">
        <f t="shared" si="4"/>
        <v>68.760000000000005</v>
      </c>
      <c r="D31" s="17">
        <v>6</v>
      </c>
      <c r="E31" s="17">
        <v>0</v>
      </c>
      <c r="F31" s="18">
        <v>412.56</v>
      </c>
      <c r="G31" s="18">
        <v>0</v>
      </c>
      <c r="H31" s="32">
        <f t="shared" si="1"/>
        <v>0</v>
      </c>
      <c r="I31" s="32">
        <f t="shared" si="2"/>
        <v>0.31622141106748108</v>
      </c>
      <c r="J31" s="33">
        <f t="shared" si="5"/>
        <v>130.46030535</v>
      </c>
      <c r="K31" s="33">
        <f t="shared" si="3"/>
        <v>21.743384225</v>
      </c>
      <c r="L31" s="17">
        <v>43</v>
      </c>
      <c r="M31" s="34">
        <f t="shared" si="6"/>
        <v>0.13953488372093023</v>
      </c>
      <c r="N31" s="17">
        <v>73</v>
      </c>
      <c r="O31" s="35">
        <f t="shared" ref="O31:P31" si="39">D31/7</f>
        <v>0.8571428571428571</v>
      </c>
      <c r="P31" s="35">
        <f t="shared" si="39"/>
        <v>0</v>
      </c>
      <c r="Q31" s="30">
        <f t="shared" si="8"/>
        <v>85</v>
      </c>
      <c r="R31" s="30"/>
      <c r="S31" s="22">
        <v>1.29680365296803</v>
      </c>
      <c r="T31" s="15">
        <v>124</v>
      </c>
      <c r="U31" s="23">
        <v>100</v>
      </c>
      <c r="V31" s="1" t="s">
        <v>341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1.0640625000000001</v>
      </c>
      <c r="AD31" s="40">
        <f t="shared" si="12"/>
        <v>-6.1290000000000004</v>
      </c>
      <c r="AE31" s="26">
        <v>-13.6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44" t="s">
        <v>54</v>
      </c>
      <c r="C32" s="16">
        <f t="shared" si="4"/>
        <v>68.010000000000005</v>
      </c>
      <c r="D32" s="17">
        <v>5</v>
      </c>
      <c r="E32" s="17">
        <v>0</v>
      </c>
      <c r="F32" s="18">
        <v>340.05</v>
      </c>
      <c r="G32" s="18">
        <v>0</v>
      </c>
      <c r="H32" s="32">
        <f t="shared" si="1"/>
        <v>0</v>
      </c>
      <c r="I32" s="32">
        <f t="shared" si="2"/>
        <v>0.31033501286575504</v>
      </c>
      <c r="J32" s="33">
        <f t="shared" si="5"/>
        <v>105.52942112500001</v>
      </c>
      <c r="K32" s="33">
        <f t="shared" si="3"/>
        <v>21.105884225000004</v>
      </c>
      <c r="L32" s="17">
        <v>43</v>
      </c>
      <c r="M32" s="34">
        <f t="shared" si="6"/>
        <v>0.11627906976744186</v>
      </c>
      <c r="N32" s="17">
        <v>68</v>
      </c>
      <c r="O32" s="35">
        <f t="shared" ref="O32:P32" si="40">D32/7</f>
        <v>0.7142857142857143</v>
      </c>
      <c r="P32" s="35">
        <f t="shared" si="40"/>
        <v>0</v>
      </c>
      <c r="Q32" s="30">
        <f t="shared" si="8"/>
        <v>95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1.314553990610329</v>
      </c>
      <c r="T32" s="15">
        <f ca="1">IFERROR(__xludf.DUMMYFUNCTION("IFERROR(VLOOKUP($B$2,IMPORTRANGE(""https://docs.google.com/spreadsheets/d/1KiWZV1ko8G7lnRucBRBd29jj3Be6ltMfljMDqzOkQmI/edit#gid=1381463014"",""Lookup!A:D""),4,FALSE),"""")"),124)</f>
        <v>124</v>
      </c>
      <c r="U32" s="23">
        <f ca="1">IFERROR(__xludf.DUMMYFUNCTION("IFERROR(VLOOKUP($B$2,IMPORTRANGE(""https://docs.google.com/spreadsheets/d/1KiWZV1ko8G7lnRucBRBd29jj3Be6ltMfljMDqzOkQmI/edit#gid=1381463014"",""Lookup!A:D""),3,FALSE),"""")"),100)</f>
        <v>100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- 100 units 08/22")</f>
        <v>| AGL229  - 100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1.0640625000000001</v>
      </c>
      <c r="AD32" s="40">
        <f t="shared" si="12"/>
        <v>-5.1074999999999999</v>
      </c>
      <c r="AE32" s="26">
        <v>-13.6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4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- 40"" x 20"" Magnetic Sidewalk Chalkboard – Sturdy Freestanding Turquoise Sandwich Board Menu Display for Restaurant, Business or Wedding")</f>
        <v>Wooden A-Frame Sign with Eraser &amp; Chalk - 40" x 20" Magnetic Sidewalk Chalkboard – Sturdy Freestanding Turquoise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Info!B1:BJ5000""),2,FALSE),"""")"),"B07CNPH64W")</f>
        <v>B07CNPH64W</v>
      </c>
      <c r="B2" s="3" t="s">
        <v>536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96" customHeight="1" x14ac:dyDescent="0.2">
      <c r="A3" s="57" t="s">
        <v>31</v>
      </c>
      <c r="B3" s="58"/>
      <c r="C3" s="4">
        <f>((AE32+AF32)/0.85)*-1</f>
        <v>41.977783264705884</v>
      </c>
      <c r="D3" s="5">
        <f>SUM(D4:D99519)</f>
        <v>417</v>
      </c>
      <c r="E3" s="5"/>
      <c r="F3" s="6">
        <f t="shared" ref="F3:G3" si="0">SUM(F4:F99519)</f>
        <v>22741.119999999999</v>
      </c>
      <c r="G3" s="6">
        <f t="shared" si="0"/>
        <v>-0.9</v>
      </c>
      <c r="H3" s="7">
        <f t="shared" ref="H3:H32" si="1">G3/F3*-1</f>
        <v>3.9575887203444689E-5</v>
      </c>
      <c r="I3" s="8">
        <f t="shared" ref="I3:I32" si="2">J3/F3</f>
        <v>0.24945941049841619</v>
      </c>
      <c r="J3" s="6">
        <f>SUM(J4:J99519)</f>
        <v>5672.9863892737421</v>
      </c>
      <c r="K3" s="6">
        <f t="shared" ref="K3:K32" si="3">J3/D3</f>
        <v>13.604283907131276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Sheet!a1:g5000""),2,FALSE),"""")"),"2 - March
3 - April
5 - May
5 - June
5 - July
4 - Aug
4 - Sept
3 - Oct
1 - Nov
1 - Dec
2 - Jan
2 - Feb")</f>
        <v>2 - March
3 - April
5 - May
5 - June
5 - July
4 - Aug
4 - Sept
3 - Oct
1 - Nov
1 - Dec
2 - Jan
2 -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-415.54352676709146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54</v>
      </c>
      <c r="C4" s="16">
        <f t="shared" ref="C4:C32" si="4">IFERROR(F4/D4," - ")</f>
        <v>49.99</v>
      </c>
      <c r="D4" s="17">
        <v>8</v>
      </c>
      <c r="E4" s="17">
        <v>0</v>
      </c>
      <c r="F4" s="18">
        <v>399.92</v>
      </c>
      <c r="G4" s="18">
        <v>0</v>
      </c>
      <c r="H4" s="19">
        <f t="shared" si="1"/>
        <v>0</v>
      </c>
      <c r="I4" s="19">
        <f t="shared" si="2"/>
        <v>0.23211072214442888</v>
      </c>
      <c r="J4" s="18">
        <f t="shared" ref="J4:J32" si="5">F4*0.85+G4+AF4*D4+D4*AE4+AG4+AD4</f>
        <v>92.825720000000004</v>
      </c>
      <c r="K4" s="18">
        <f t="shared" si="3"/>
        <v>11.603215000000001</v>
      </c>
      <c r="L4" s="17">
        <v>29</v>
      </c>
      <c r="M4" s="20">
        <f t="shared" ref="M4:M32" si="6">IFERROR(D4/L4,"-")</f>
        <v>0.27586206896551724</v>
      </c>
      <c r="N4" s="17">
        <v>88</v>
      </c>
      <c r="O4" s="21">
        <f t="shared" ref="O4:P4" si="7">D4/7</f>
        <v>1.1428571428571428</v>
      </c>
      <c r="P4" s="21">
        <f t="shared" si="7"/>
        <v>0</v>
      </c>
      <c r="Q4" s="17">
        <f t="shared" ref="Q4:Q32" si="8">ROUNDDOWN(N4/(O4+P4),0)</f>
        <v>77</v>
      </c>
      <c r="R4" s="17"/>
      <c r="S4" s="22">
        <v>1.4504249291784701</v>
      </c>
      <c r="T4" s="15">
        <v>307</v>
      </c>
      <c r="U4" s="23">
        <v>115</v>
      </c>
      <c r="V4" s="24" t="s">
        <v>537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1.0634722222222222</v>
      </c>
      <c r="AD4" s="26">
        <f t="shared" ref="AD4:AD32" si="12">IFERROR(AB4*AC4*D4*2,0)</f>
        <v>-8.167466666666666</v>
      </c>
      <c r="AE4" s="26">
        <v>-13.2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15" t="s">
        <v>54</v>
      </c>
      <c r="C5" s="16">
        <f t="shared" si="4"/>
        <v>50.1</v>
      </c>
      <c r="D5" s="30">
        <v>20</v>
      </c>
      <c r="E5" s="30">
        <v>0</v>
      </c>
      <c r="F5" s="31">
        <v>1002</v>
      </c>
      <c r="G5" s="31">
        <v>-0.16</v>
      </c>
      <c r="H5" s="32">
        <f t="shared" si="1"/>
        <v>1.596806387225549E-4</v>
      </c>
      <c r="I5" s="32">
        <f t="shared" si="2"/>
        <v>0.23328407175606294</v>
      </c>
      <c r="J5" s="33">
        <f t="shared" si="5"/>
        <v>233.75063989957508</v>
      </c>
      <c r="K5" s="33">
        <f t="shared" si="3"/>
        <v>11.687531994978754</v>
      </c>
      <c r="L5" s="30">
        <v>81</v>
      </c>
      <c r="M5" s="34">
        <f t="shared" si="6"/>
        <v>0.24691358024691357</v>
      </c>
      <c r="N5" s="30">
        <v>69</v>
      </c>
      <c r="O5" s="35">
        <f t="shared" ref="O5:P5" si="13">D5/7</f>
        <v>2.8571428571428572</v>
      </c>
      <c r="P5" s="35">
        <f t="shared" si="13"/>
        <v>0</v>
      </c>
      <c r="Q5" s="30">
        <f t="shared" si="8"/>
        <v>24</v>
      </c>
      <c r="R5" s="30"/>
      <c r="S5" s="36">
        <v>1.9009900990099</v>
      </c>
      <c r="T5" s="29">
        <v>307</v>
      </c>
      <c r="U5" s="37">
        <v>115</v>
      </c>
      <c r="V5" s="38" t="s">
        <v>538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163</v>
      </c>
      <c r="AB5" s="41">
        <f t="shared" si="11"/>
        <v>-0.48</v>
      </c>
      <c r="AC5" s="42">
        <v>1.0647045191193509</v>
      </c>
      <c r="AD5" s="40">
        <f t="shared" si="12"/>
        <v>-20.442326767091537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15" t="s">
        <v>54</v>
      </c>
      <c r="C6" s="16">
        <f t="shared" si="4"/>
        <v>49.99</v>
      </c>
      <c r="D6" s="30">
        <v>7</v>
      </c>
      <c r="E6" s="30">
        <v>0</v>
      </c>
      <c r="F6" s="31">
        <v>349.93</v>
      </c>
      <c r="G6" s="31">
        <v>0</v>
      </c>
      <c r="H6" s="32">
        <f t="shared" si="1"/>
        <v>0</v>
      </c>
      <c r="I6" s="32">
        <f t="shared" si="2"/>
        <v>0.23211072214442879</v>
      </c>
      <c r="J6" s="33">
        <f t="shared" si="5"/>
        <v>81.22250499999997</v>
      </c>
      <c r="K6" s="33">
        <f t="shared" si="3"/>
        <v>11.603214999999995</v>
      </c>
      <c r="L6" s="30">
        <v>62</v>
      </c>
      <c r="M6" s="34">
        <f t="shared" si="6"/>
        <v>0.11290322580645161</v>
      </c>
      <c r="N6" s="30">
        <v>58</v>
      </c>
      <c r="O6" s="35">
        <f t="shared" ref="O6:P6" si="14">D6/7</f>
        <v>1</v>
      </c>
      <c r="P6" s="35">
        <f t="shared" si="14"/>
        <v>0</v>
      </c>
      <c r="Q6" s="30">
        <f t="shared" si="8"/>
        <v>58</v>
      </c>
      <c r="R6" s="30"/>
      <c r="S6" s="36">
        <v>1.3859649122807001</v>
      </c>
      <c r="T6" s="29">
        <v>307</v>
      </c>
      <c r="U6" s="37">
        <v>115</v>
      </c>
      <c r="V6" s="38" t="s">
        <v>539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163</v>
      </c>
      <c r="AB6" s="41">
        <f t="shared" si="11"/>
        <v>-0.48</v>
      </c>
      <c r="AC6" s="42">
        <v>1.0634722222222222</v>
      </c>
      <c r="AD6" s="40">
        <f t="shared" si="12"/>
        <v>-7.1465333333333323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492</v>
      </c>
      <c r="C7" s="16">
        <f t="shared" si="4"/>
        <v>49.989999999999995</v>
      </c>
      <c r="D7" s="30">
        <v>21</v>
      </c>
      <c r="E7" s="30">
        <v>1</v>
      </c>
      <c r="F7" s="31">
        <v>1049.79</v>
      </c>
      <c r="G7" s="31">
        <v>0</v>
      </c>
      <c r="H7" s="32">
        <f t="shared" si="1"/>
        <v>0</v>
      </c>
      <c r="I7" s="32">
        <f t="shared" si="2"/>
        <v>0.23211072214442877</v>
      </c>
      <c r="J7" s="33">
        <f t="shared" si="5"/>
        <v>243.66751499999987</v>
      </c>
      <c r="K7" s="33">
        <f t="shared" si="3"/>
        <v>11.603214999999993</v>
      </c>
      <c r="L7" s="30">
        <v>101</v>
      </c>
      <c r="M7" s="34">
        <f t="shared" si="6"/>
        <v>0.20792079207920791</v>
      </c>
      <c r="N7" s="30">
        <v>42</v>
      </c>
      <c r="O7" s="35">
        <f t="shared" ref="O7:P7" si="15">D7/7</f>
        <v>3</v>
      </c>
      <c r="P7" s="35">
        <f t="shared" si="15"/>
        <v>0.14285714285714285</v>
      </c>
      <c r="Q7" s="30">
        <f t="shared" si="8"/>
        <v>13</v>
      </c>
      <c r="R7" s="30"/>
      <c r="S7" s="36">
        <v>1.5362318840579701</v>
      </c>
      <c r="T7" s="29">
        <v>372</v>
      </c>
      <c r="U7" s="37">
        <v>115</v>
      </c>
      <c r="V7" s="38" t="s">
        <v>540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163</v>
      </c>
      <c r="AB7" s="41">
        <f t="shared" si="11"/>
        <v>-0.48</v>
      </c>
      <c r="AC7" s="42">
        <v>1.0634722222222222</v>
      </c>
      <c r="AD7" s="40">
        <f t="shared" si="12"/>
        <v>-21.439599999999999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541</v>
      </c>
      <c r="C8" s="16">
        <f t="shared" si="4"/>
        <v>51.777272727272724</v>
      </c>
      <c r="D8" s="30">
        <v>11</v>
      </c>
      <c r="E8" s="30">
        <v>0</v>
      </c>
      <c r="F8" s="31">
        <v>569.54999999999995</v>
      </c>
      <c r="G8" s="31">
        <v>0</v>
      </c>
      <c r="H8" s="32">
        <f t="shared" si="1"/>
        <v>0</v>
      </c>
      <c r="I8" s="32">
        <f t="shared" si="2"/>
        <v>0.25338817194861435</v>
      </c>
      <c r="J8" s="33">
        <f t="shared" si="5"/>
        <v>144.31723333333329</v>
      </c>
      <c r="K8" s="33">
        <f t="shared" si="3"/>
        <v>13.119748484848481</v>
      </c>
      <c r="L8" s="30">
        <v>76</v>
      </c>
      <c r="M8" s="34">
        <f t="shared" si="6"/>
        <v>0.14473684210526316</v>
      </c>
      <c r="N8" s="30">
        <v>27</v>
      </c>
      <c r="O8" s="35">
        <f t="shared" ref="O8:P8" si="16">D8/7</f>
        <v>1.5714285714285714</v>
      </c>
      <c r="P8" s="35">
        <f t="shared" si="16"/>
        <v>0</v>
      </c>
      <c r="Q8" s="30">
        <f t="shared" si="8"/>
        <v>17</v>
      </c>
      <c r="R8" s="30"/>
      <c r="S8" s="36">
        <v>1.7679558011049701</v>
      </c>
      <c r="T8" s="29">
        <v>227</v>
      </c>
      <c r="U8" s="37">
        <v>115</v>
      </c>
      <c r="V8" s="38" t="s">
        <v>542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163</v>
      </c>
      <c r="AB8" s="41">
        <f t="shared" si="11"/>
        <v>-0.48</v>
      </c>
      <c r="AC8" s="42">
        <v>1.0634722222222222</v>
      </c>
      <c r="AD8" s="40">
        <f t="shared" si="12"/>
        <v>-11.230266666666665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398</v>
      </c>
      <c r="C9" s="16">
        <f t="shared" si="4"/>
        <v>52.99</v>
      </c>
      <c r="D9" s="30">
        <v>14</v>
      </c>
      <c r="E9" s="30">
        <v>0</v>
      </c>
      <c r="F9" s="31">
        <v>741.86</v>
      </c>
      <c r="G9" s="31">
        <v>-0.08</v>
      </c>
      <c r="H9" s="32">
        <f t="shared" si="1"/>
        <v>1.0783705820505216E-4</v>
      </c>
      <c r="I9" s="32">
        <f t="shared" si="2"/>
        <v>0.24882636436344752</v>
      </c>
      <c r="J9" s="33">
        <f t="shared" si="5"/>
        <v>184.59432666666717</v>
      </c>
      <c r="K9" s="33">
        <f t="shared" si="3"/>
        <v>13.185309047619084</v>
      </c>
      <c r="L9" s="30">
        <v>85</v>
      </c>
      <c r="M9" s="34">
        <f t="shared" si="6"/>
        <v>0.16470588235294117</v>
      </c>
      <c r="N9" s="30">
        <v>16</v>
      </c>
      <c r="O9" s="35">
        <f t="shared" ref="O9:P9" si="17">D9/7</f>
        <v>2</v>
      </c>
      <c r="P9" s="35">
        <f t="shared" si="17"/>
        <v>0</v>
      </c>
      <c r="Q9" s="30">
        <f t="shared" si="8"/>
        <v>8</v>
      </c>
      <c r="R9" s="30"/>
      <c r="S9" s="36">
        <v>1.83586626139817</v>
      </c>
      <c r="T9" s="29">
        <v>227</v>
      </c>
      <c r="U9" s="37">
        <v>115</v>
      </c>
      <c r="V9" s="38" t="s">
        <v>543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163</v>
      </c>
      <c r="AB9" s="41">
        <f t="shared" si="11"/>
        <v>-0.48</v>
      </c>
      <c r="AC9" s="42">
        <v>1.0634722222222222</v>
      </c>
      <c r="AD9" s="40">
        <f t="shared" si="12"/>
        <v>-14.293066666666665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172</v>
      </c>
      <c r="C10" s="16">
        <f t="shared" si="4"/>
        <v>53.89</v>
      </c>
      <c r="D10" s="30">
        <v>10</v>
      </c>
      <c r="E10" s="30">
        <v>0</v>
      </c>
      <c r="F10" s="31">
        <v>538.9</v>
      </c>
      <c r="G10" s="31">
        <v>0</v>
      </c>
      <c r="H10" s="32">
        <f t="shared" si="1"/>
        <v>0</v>
      </c>
      <c r="I10" s="32">
        <f t="shared" si="2"/>
        <v>0.25897241293993989</v>
      </c>
      <c r="J10" s="33">
        <f t="shared" si="5"/>
        <v>139.5602333333336</v>
      </c>
      <c r="K10" s="33">
        <f t="shared" si="3"/>
        <v>13.956023333333359</v>
      </c>
      <c r="L10" s="30">
        <v>85</v>
      </c>
      <c r="M10" s="34">
        <f t="shared" si="6"/>
        <v>0.11764705882352941</v>
      </c>
      <c r="N10" s="30">
        <v>3</v>
      </c>
      <c r="O10" s="35">
        <f t="shared" ref="O10:P10" si="18">D10/7</f>
        <v>1.4285714285714286</v>
      </c>
      <c r="P10" s="35">
        <f t="shared" si="18"/>
        <v>0</v>
      </c>
      <c r="Q10" s="30">
        <f t="shared" si="8"/>
        <v>2</v>
      </c>
      <c r="R10" s="30"/>
      <c r="S10" s="36">
        <v>1.9863013698630101</v>
      </c>
      <c r="T10" s="29">
        <v>180</v>
      </c>
      <c r="U10" s="37">
        <v>115</v>
      </c>
      <c r="V10" s="38" t="s">
        <v>544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163</v>
      </c>
      <c r="AB10" s="41">
        <f t="shared" si="11"/>
        <v>-0.48</v>
      </c>
      <c r="AC10" s="42">
        <v>1.0634722222222222</v>
      </c>
      <c r="AD10" s="40">
        <f t="shared" si="12"/>
        <v>-10.209333333333333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289</v>
      </c>
      <c r="C11" s="16">
        <f t="shared" si="4"/>
        <v>53.99</v>
      </c>
      <c r="D11" s="30">
        <v>1</v>
      </c>
      <c r="E11" s="30">
        <v>0</v>
      </c>
      <c r="F11" s="31">
        <v>53.99</v>
      </c>
      <c r="G11" s="31">
        <v>0</v>
      </c>
      <c r="H11" s="32">
        <f t="shared" si="1"/>
        <v>0</v>
      </c>
      <c r="I11" s="32">
        <f t="shared" si="2"/>
        <v>0.26006711119343151</v>
      </c>
      <c r="J11" s="33">
        <f t="shared" si="5"/>
        <v>14.041023333333369</v>
      </c>
      <c r="K11" s="33">
        <f t="shared" si="3"/>
        <v>14.041023333333369</v>
      </c>
      <c r="L11" s="30">
        <v>1</v>
      </c>
      <c r="M11" s="34">
        <f t="shared" si="6"/>
        <v>1</v>
      </c>
      <c r="N11" s="30">
        <v>1</v>
      </c>
      <c r="O11" s="35">
        <f t="shared" ref="O11:P11" si="19">D11/7</f>
        <v>0.14285714285714285</v>
      </c>
      <c r="P11" s="35">
        <f t="shared" si="19"/>
        <v>0</v>
      </c>
      <c r="Q11" s="30">
        <f t="shared" si="8"/>
        <v>7</v>
      </c>
      <c r="R11" s="30"/>
      <c r="S11" s="36">
        <v>2.0625</v>
      </c>
      <c r="T11" s="29">
        <v>180</v>
      </c>
      <c r="U11" s="37">
        <v>115</v>
      </c>
      <c r="V11" s="38" t="s">
        <v>545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1.0634722222222222</v>
      </c>
      <c r="AD11" s="40">
        <f t="shared" si="12"/>
        <v>-1.0209333333333332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289</v>
      </c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1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>
        <v>2.31674208144796</v>
      </c>
      <c r="T12" s="29">
        <v>390</v>
      </c>
      <c r="U12" s="37">
        <v>115</v>
      </c>
      <c r="V12" s="38" t="s">
        <v>546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289</v>
      </c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1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>
        <v>2.28019323671497</v>
      </c>
      <c r="T13" s="29">
        <v>600</v>
      </c>
      <c r="U13" s="37">
        <v>115</v>
      </c>
      <c r="V13" s="38" t="s">
        <v>547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548</v>
      </c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117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>
        <v>1.3333333333333299</v>
      </c>
      <c r="T14" s="29">
        <v>210</v>
      </c>
      <c r="U14" s="37" t="s">
        <v>34</v>
      </c>
      <c r="V14" s="38" t="s">
        <v>549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550</v>
      </c>
      <c r="C15" s="16">
        <f t="shared" si="4"/>
        <v>53.99</v>
      </c>
      <c r="D15" s="30">
        <v>9</v>
      </c>
      <c r="E15" s="30">
        <v>0</v>
      </c>
      <c r="F15" s="33">
        <v>485.91</v>
      </c>
      <c r="G15" s="31">
        <v>0</v>
      </c>
      <c r="H15" s="32">
        <f t="shared" si="1"/>
        <v>0</v>
      </c>
      <c r="I15" s="32">
        <f t="shared" si="2"/>
        <v>0.25068728776934002</v>
      </c>
      <c r="J15" s="33">
        <f t="shared" si="5"/>
        <v>121.81146000000001</v>
      </c>
      <c r="K15" s="33">
        <f t="shared" si="3"/>
        <v>13.534606666666669</v>
      </c>
      <c r="L15" s="30">
        <v>46</v>
      </c>
      <c r="M15" s="34">
        <f t="shared" si="6"/>
        <v>0.19565217391304349</v>
      </c>
      <c r="N15" s="30">
        <v>175</v>
      </c>
      <c r="O15" s="35">
        <f t="shared" ref="O15:P15" si="23">D15/7</f>
        <v>1.2857142857142858</v>
      </c>
      <c r="P15" s="35">
        <f t="shared" si="23"/>
        <v>0</v>
      </c>
      <c r="Q15" s="30">
        <f t="shared" si="8"/>
        <v>136</v>
      </c>
      <c r="R15" s="30"/>
      <c r="S15" s="36">
        <v>1.19767441860465</v>
      </c>
      <c r="T15" s="29">
        <v>246</v>
      </c>
      <c r="U15" s="37">
        <v>200</v>
      </c>
      <c r="V15" s="38" t="s">
        <v>551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163</v>
      </c>
      <c r="AB15" s="41">
        <f t="shared" si="11"/>
        <v>-0.48</v>
      </c>
      <c r="AC15" s="42">
        <v>1.0634722222222222</v>
      </c>
      <c r="AD15" s="40">
        <f t="shared" si="12"/>
        <v>-9.1883999999999997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15" t="s">
        <v>398</v>
      </c>
      <c r="C16" s="16">
        <f t="shared" si="4"/>
        <v>50.779090909090911</v>
      </c>
      <c r="D16" s="30">
        <v>22</v>
      </c>
      <c r="E16" s="30">
        <v>0</v>
      </c>
      <c r="F16" s="33">
        <v>1117.1400000000001</v>
      </c>
      <c r="G16" s="31">
        <v>0</v>
      </c>
      <c r="H16" s="32">
        <f t="shared" si="1"/>
        <v>0</v>
      </c>
      <c r="I16" s="32">
        <f t="shared" si="2"/>
        <v>0.21279100799064282</v>
      </c>
      <c r="J16" s="33">
        <f t="shared" si="5"/>
        <v>237.71734666666674</v>
      </c>
      <c r="K16" s="33">
        <f t="shared" si="3"/>
        <v>10.805333939393943</v>
      </c>
      <c r="L16" s="30">
        <v>64</v>
      </c>
      <c r="M16" s="34">
        <f t="shared" si="6"/>
        <v>0.34375</v>
      </c>
      <c r="N16" s="30">
        <v>153</v>
      </c>
      <c r="O16" s="35">
        <f t="shared" ref="O16:P16" si="24">D16/7</f>
        <v>3.1428571428571428</v>
      </c>
      <c r="P16" s="35">
        <f t="shared" si="24"/>
        <v>0</v>
      </c>
      <c r="Q16" s="30">
        <f t="shared" si="8"/>
        <v>48</v>
      </c>
      <c r="R16" s="30"/>
      <c r="S16" s="36">
        <v>1.5333333333333301</v>
      </c>
      <c r="T16" s="29">
        <v>246</v>
      </c>
      <c r="U16" s="37">
        <v>200</v>
      </c>
      <c r="V16" s="38" t="s">
        <v>551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1.0634722222222222</v>
      </c>
      <c r="AD16" s="40">
        <f t="shared" si="12"/>
        <v>-22.460533333333331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552</v>
      </c>
      <c r="C17" s="16">
        <f t="shared" si="4"/>
        <v>51.767777777777781</v>
      </c>
      <c r="D17" s="30">
        <v>9</v>
      </c>
      <c r="E17" s="30">
        <v>0</v>
      </c>
      <c r="F17" s="33">
        <v>465.91</v>
      </c>
      <c r="G17" s="31">
        <v>0</v>
      </c>
      <c r="H17" s="32">
        <f t="shared" si="1"/>
        <v>0</v>
      </c>
      <c r="I17" s="32">
        <f t="shared" si="2"/>
        <v>0.22496074349123218</v>
      </c>
      <c r="J17" s="33">
        <f t="shared" si="5"/>
        <v>104.81146</v>
      </c>
      <c r="K17" s="33">
        <f t="shared" si="3"/>
        <v>11.645717777777778</v>
      </c>
      <c r="L17" s="30">
        <v>53</v>
      </c>
      <c r="M17" s="34">
        <f t="shared" si="6"/>
        <v>0.16981132075471697</v>
      </c>
      <c r="N17" s="30">
        <v>131</v>
      </c>
      <c r="O17" s="35">
        <f t="shared" ref="O17:P17" si="25">D17/7</f>
        <v>1.2857142857142858</v>
      </c>
      <c r="P17" s="35">
        <f t="shared" si="25"/>
        <v>0</v>
      </c>
      <c r="Q17" s="30">
        <f t="shared" si="8"/>
        <v>101</v>
      </c>
      <c r="R17" s="30"/>
      <c r="S17" s="36">
        <v>1.91634980988593</v>
      </c>
      <c r="T17" s="29">
        <v>246</v>
      </c>
      <c r="U17" s="37">
        <v>200</v>
      </c>
      <c r="V17" s="38" t="s">
        <v>551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1.0634722222222222</v>
      </c>
      <c r="AD17" s="40">
        <f t="shared" si="12"/>
        <v>-9.1883999999999997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553</v>
      </c>
      <c r="C18" s="16">
        <f t="shared" si="4"/>
        <v>51.79666666666666</v>
      </c>
      <c r="D18" s="30">
        <v>24</v>
      </c>
      <c r="E18" s="30">
        <v>0</v>
      </c>
      <c r="F18" s="33">
        <v>1243.1199999999999</v>
      </c>
      <c r="G18" s="31">
        <v>-0.08</v>
      </c>
      <c r="H18" s="32">
        <f t="shared" si="1"/>
        <v>6.4354205547332519E-5</v>
      </c>
      <c r="I18" s="32">
        <f t="shared" si="2"/>
        <v>0.2252449964605186</v>
      </c>
      <c r="J18" s="33">
        <f t="shared" si="5"/>
        <v>280.00655999999987</v>
      </c>
      <c r="K18" s="33">
        <f t="shared" si="3"/>
        <v>11.666939999999995</v>
      </c>
      <c r="L18" s="30">
        <v>63</v>
      </c>
      <c r="M18" s="34">
        <f t="shared" si="6"/>
        <v>0.38095238095238093</v>
      </c>
      <c r="N18" s="30">
        <v>117</v>
      </c>
      <c r="O18" s="35">
        <f t="shared" ref="O18:P18" si="26">D18/7</f>
        <v>3.4285714285714284</v>
      </c>
      <c r="P18" s="35">
        <f t="shared" si="26"/>
        <v>0</v>
      </c>
      <c r="Q18" s="30">
        <f t="shared" si="8"/>
        <v>34</v>
      </c>
      <c r="R18" s="30"/>
      <c r="S18" s="36">
        <v>2.2672811059907798</v>
      </c>
      <c r="T18" s="29">
        <v>246</v>
      </c>
      <c r="U18" s="37">
        <v>200</v>
      </c>
      <c r="V18" s="38" t="s">
        <v>554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1.0634722222222222</v>
      </c>
      <c r="AD18" s="40">
        <f t="shared" si="12"/>
        <v>-24.502399999999998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475</v>
      </c>
      <c r="C19" s="16">
        <f t="shared" si="4"/>
        <v>51.811212121212144</v>
      </c>
      <c r="D19" s="30">
        <v>33</v>
      </c>
      <c r="E19" s="30">
        <v>0</v>
      </c>
      <c r="F19" s="33">
        <v>1709.7700000000007</v>
      </c>
      <c r="G19" s="31">
        <v>-0.08</v>
      </c>
      <c r="H19" s="32">
        <f t="shared" si="1"/>
        <v>4.6789919111927316E-5</v>
      </c>
      <c r="I19" s="32">
        <f t="shared" si="2"/>
        <v>0.22543793609666818</v>
      </c>
      <c r="J19" s="33">
        <f t="shared" si="5"/>
        <v>385.44702000000052</v>
      </c>
      <c r="K19" s="33">
        <f t="shared" si="3"/>
        <v>11.680212727272743</v>
      </c>
      <c r="L19" s="30">
        <v>69</v>
      </c>
      <c r="M19" s="34">
        <f t="shared" si="6"/>
        <v>0.47826086956521741</v>
      </c>
      <c r="N19" s="30">
        <v>91</v>
      </c>
      <c r="O19" s="35">
        <f t="shared" ref="O19:P19" si="27">D19/7</f>
        <v>4.7142857142857144</v>
      </c>
      <c r="P19" s="35">
        <f t="shared" si="27"/>
        <v>0</v>
      </c>
      <c r="Q19" s="30">
        <f t="shared" si="8"/>
        <v>19</v>
      </c>
      <c r="R19" s="30"/>
      <c r="S19" s="36">
        <v>1.46478873239436</v>
      </c>
      <c r="T19" s="29">
        <v>638</v>
      </c>
      <c r="U19" s="37">
        <v>200</v>
      </c>
      <c r="V19" s="38" t="s">
        <v>554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1.0634722222222222</v>
      </c>
      <c r="AD19" s="40">
        <f t="shared" si="12"/>
        <v>-33.690799999999996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477</v>
      </c>
      <c r="C20" s="16">
        <f t="shared" si="4"/>
        <v>53.70428571428571</v>
      </c>
      <c r="D20" s="30">
        <v>21</v>
      </c>
      <c r="E20" s="30">
        <v>0</v>
      </c>
      <c r="F20" s="33">
        <v>1127.79</v>
      </c>
      <c r="G20" s="31">
        <v>0</v>
      </c>
      <c r="H20" s="32">
        <f t="shared" si="1"/>
        <v>0</v>
      </c>
      <c r="I20" s="32">
        <f t="shared" si="2"/>
        <v>0.24749886060348109</v>
      </c>
      <c r="J20" s="33">
        <f t="shared" si="5"/>
        <v>279.12673999999993</v>
      </c>
      <c r="K20" s="33">
        <f t="shared" si="3"/>
        <v>13.29174952380952</v>
      </c>
      <c r="L20" s="30">
        <v>77</v>
      </c>
      <c r="M20" s="34">
        <f t="shared" si="6"/>
        <v>0.27272727272727271</v>
      </c>
      <c r="N20" s="30">
        <v>65</v>
      </c>
      <c r="O20" s="35">
        <f t="shared" ref="O20:P20" si="28">D20/7</f>
        <v>3</v>
      </c>
      <c r="P20" s="35">
        <f t="shared" si="28"/>
        <v>0</v>
      </c>
      <c r="Q20" s="30">
        <f t="shared" si="8"/>
        <v>21</v>
      </c>
      <c r="R20" s="30"/>
      <c r="S20" s="36">
        <v>2.0756013745704398</v>
      </c>
      <c r="T20" s="29">
        <v>592</v>
      </c>
      <c r="U20" s="37">
        <v>200</v>
      </c>
      <c r="V20" s="38" t="s">
        <v>555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1.0634722222222222</v>
      </c>
      <c r="AD20" s="40">
        <f t="shared" si="12"/>
        <v>-21.439599999999999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556</v>
      </c>
      <c r="C21" s="16">
        <f t="shared" si="4"/>
        <v>56.204285714285717</v>
      </c>
      <c r="D21" s="30">
        <v>28</v>
      </c>
      <c r="E21" s="30">
        <v>0</v>
      </c>
      <c r="F21" s="33">
        <v>1573.72</v>
      </c>
      <c r="G21" s="31">
        <v>0</v>
      </c>
      <c r="H21" s="32">
        <f t="shared" si="1"/>
        <v>0</v>
      </c>
      <c r="I21" s="32">
        <f t="shared" si="2"/>
        <v>0.27429846902032551</v>
      </c>
      <c r="J21" s="33">
        <f t="shared" si="5"/>
        <v>431.66898666666663</v>
      </c>
      <c r="K21" s="33">
        <f t="shared" si="3"/>
        <v>15.416749523809523</v>
      </c>
      <c r="L21" s="30">
        <v>112</v>
      </c>
      <c r="M21" s="34">
        <f t="shared" si="6"/>
        <v>0.25</v>
      </c>
      <c r="N21" s="30">
        <v>40</v>
      </c>
      <c r="O21" s="35">
        <f t="shared" ref="O21:P21" si="29">D21/7</f>
        <v>4</v>
      </c>
      <c r="P21" s="35">
        <f t="shared" si="29"/>
        <v>0</v>
      </c>
      <c r="Q21" s="30">
        <f t="shared" si="8"/>
        <v>10</v>
      </c>
      <c r="R21" s="30"/>
      <c r="S21" s="36">
        <v>3.02803738317757</v>
      </c>
      <c r="T21" s="29">
        <v>592</v>
      </c>
      <c r="U21" s="37">
        <v>200</v>
      </c>
      <c r="V21" s="38" t="s">
        <v>557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163</v>
      </c>
      <c r="AB21" s="41">
        <f t="shared" si="11"/>
        <v>-0.48</v>
      </c>
      <c r="AC21" s="42">
        <v>1.0634722222222222</v>
      </c>
      <c r="AD21" s="40">
        <f t="shared" si="12"/>
        <v>-28.586133333333329</v>
      </c>
      <c r="AE21" s="40">
        <v>-13.2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558</v>
      </c>
      <c r="C22" s="16">
        <f t="shared" si="4"/>
        <v>57.081363636363633</v>
      </c>
      <c r="D22" s="30">
        <v>22</v>
      </c>
      <c r="E22" s="30">
        <v>0</v>
      </c>
      <c r="F22" s="31">
        <v>1255.79</v>
      </c>
      <c r="G22" s="31">
        <v>0</v>
      </c>
      <c r="H22" s="32">
        <f t="shared" si="1"/>
        <v>0</v>
      </c>
      <c r="I22" s="32">
        <f t="shared" si="2"/>
        <v>0.28314435269166549</v>
      </c>
      <c r="J22" s="33">
        <f t="shared" si="5"/>
        <v>355.56984666666659</v>
      </c>
      <c r="K22" s="33">
        <f t="shared" si="3"/>
        <v>16.162265757575753</v>
      </c>
      <c r="L22" s="30">
        <v>74</v>
      </c>
      <c r="M22" s="34">
        <f t="shared" si="6"/>
        <v>0.29729729729729731</v>
      </c>
      <c r="N22" s="30">
        <v>20</v>
      </c>
      <c r="O22" s="35">
        <f t="shared" ref="O22:P22" si="30">D22/7</f>
        <v>3.1428571428571428</v>
      </c>
      <c r="P22" s="35">
        <f t="shared" si="30"/>
        <v>0</v>
      </c>
      <c r="Q22" s="30">
        <f t="shared" si="8"/>
        <v>6</v>
      </c>
      <c r="R22" s="30"/>
      <c r="S22" s="36">
        <v>3.8222222222222202</v>
      </c>
      <c r="T22" s="29">
        <v>638</v>
      </c>
      <c r="U22" s="37">
        <v>200</v>
      </c>
      <c r="V22" s="38" t="s">
        <v>559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1.0634722222222222</v>
      </c>
      <c r="AD22" s="40">
        <f t="shared" si="12"/>
        <v>-22.460533333333331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55.909000000000006</v>
      </c>
      <c r="D23" s="30">
        <v>10</v>
      </c>
      <c r="E23" s="30">
        <v>0</v>
      </c>
      <c r="F23" s="33">
        <v>559.09</v>
      </c>
      <c r="G23" s="31">
        <v>0</v>
      </c>
      <c r="H23" s="32">
        <f t="shared" si="1"/>
        <v>0</v>
      </c>
      <c r="I23" s="32">
        <f t="shared" si="2"/>
        <v>0.28951850328211914</v>
      </c>
      <c r="J23" s="33">
        <f t="shared" si="5"/>
        <v>161.86689999999999</v>
      </c>
      <c r="K23" s="33">
        <f t="shared" si="3"/>
        <v>16.186689999999999</v>
      </c>
      <c r="L23" s="30">
        <v>25</v>
      </c>
      <c r="M23" s="34">
        <f t="shared" si="6"/>
        <v>0.4</v>
      </c>
      <c r="N23" s="30">
        <v>1</v>
      </c>
      <c r="O23" s="35">
        <f t="shared" ref="O23:P23" si="31">D23/7</f>
        <v>1.4285714285714286</v>
      </c>
      <c r="P23" s="35">
        <f t="shared" si="31"/>
        <v>0</v>
      </c>
      <c r="Q23" s="30">
        <f t="shared" si="8"/>
        <v>0</v>
      </c>
      <c r="R23" s="30"/>
      <c r="S23" s="36">
        <v>2.8932806324110598</v>
      </c>
      <c r="T23" s="29">
        <v>438</v>
      </c>
      <c r="U23" s="37" t="s">
        <v>34</v>
      </c>
      <c r="V23" s="38" t="s">
        <v>560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 t="e">
        <v>#N/A</v>
      </c>
      <c r="AD23" s="40">
        <f t="shared" si="12"/>
        <v>0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507</v>
      </c>
      <c r="C24" s="16">
        <f t="shared" si="4"/>
        <v>63.99</v>
      </c>
      <c r="D24" s="30">
        <v>1</v>
      </c>
      <c r="E24" s="30">
        <v>0</v>
      </c>
      <c r="F24" s="33">
        <v>63.99</v>
      </c>
      <c r="G24" s="33">
        <v>0</v>
      </c>
      <c r="H24" s="32">
        <f t="shared" si="1"/>
        <v>0</v>
      </c>
      <c r="I24" s="32">
        <f t="shared" si="2"/>
        <v>0.34434453299994788</v>
      </c>
      <c r="J24" s="33">
        <f t="shared" si="5"/>
        <v>22.034606666666665</v>
      </c>
      <c r="K24" s="33">
        <f t="shared" si="3"/>
        <v>22.034606666666665</v>
      </c>
      <c r="L24" s="30">
        <v>16</v>
      </c>
      <c r="M24" s="34">
        <f t="shared" si="6"/>
        <v>6.25E-2</v>
      </c>
      <c r="N24" s="30">
        <v>176</v>
      </c>
      <c r="O24" s="35">
        <f t="shared" ref="O24:P24" si="32">D24/7</f>
        <v>0.14285714285714285</v>
      </c>
      <c r="P24" s="35">
        <f t="shared" si="32"/>
        <v>0</v>
      </c>
      <c r="Q24" s="30">
        <f t="shared" si="8"/>
        <v>1232</v>
      </c>
      <c r="R24" s="30"/>
      <c r="S24" s="36">
        <v>1.5946547884186999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Summary!A1:AD5000""),9,FALSE),"""")"),568)</f>
        <v>568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Summary!A1:AD5000""),28,FALSE),"""")"),46)</f>
        <v>46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46 - 07/01/21 | AGL229: 130 - 08/22/21")</f>
        <v xml:space="preserve"> | AGL195: 46 - 07/01/21 | AGL229: 130 - 08/22/21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1.0634722222222222</v>
      </c>
      <c r="AD24" s="40">
        <f t="shared" si="12"/>
        <v>-1.0209333333333332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561</v>
      </c>
      <c r="C25" s="16">
        <f t="shared" si="4"/>
        <v>63.20333333333334</v>
      </c>
      <c r="D25" s="17">
        <v>6</v>
      </c>
      <c r="E25" s="17">
        <v>0</v>
      </c>
      <c r="F25" s="18">
        <v>379.22</v>
      </c>
      <c r="G25" s="18">
        <v>0</v>
      </c>
      <c r="H25" s="32">
        <f t="shared" si="1"/>
        <v>0</v>
      </c>
      <c r="I25" s="32">
        <f t="shared" si="2"/>
        <v>0.33798692052106954</v>
      </c>
      <c r="J25" s="33">
        <f t="shared" si="5"/>
        <v>128.17140000000001</v>
      </c>
      <c r="K25" s="33">
        <f t="shared" si="3"/>
        <v>21.361900000000002</v>
      </c>
      <c r="L25" s="17">
        <v>72</v>
      </c>
      <c r="M25" s="34">
        <f t="shared" si="6"/>
        <v>8.3333333333333329E-2</v>
      </c>
      <c r="N25" s="17">
        <v>173</v>
      </c>
      <c r="O25" s="35">
        <f t="shared" ref="O25:P25" si="33">D25/7</f>
        <v>0.8571428571428571</v>
      </c>
      <c r="P25" s="35">
        <f t="shared" si="33"/>
        <v>0</v>
      </c>
      <c r="Q25" s="30">
        <f t="shared" si="8"/>
        <v>201</v>
      </c>
      <c r="R25" s="30"/>
      <c r="S25" s="36">
        <v>1.5946547884186999</v>
      </c>
      <c r="T25" s="29">
        <v>438</v>
      </c>
      <c r="U25" s="37">
        <v>46</v>
      </c>
      <c r="V25" s="38" t="s">
        <v>562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1.0634722222222222</v>
      </c>
      <c r="AD25" s="40">
        <f t="shared" si="12"/>
        <v>-6.1255999999999995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563</v>
      </c>
      <c r="C26" s="16">
        <f t="shared" si="4"/>
        <v>57.402000000000001</v>
      </c>
      <c r="D26" s="17">
        <v>5</v>
      </c>
      <c r="E26" s="17">
        <v>0</v>
      </c>
      <c r="F26" s="18">
        <v>287.01</v>
      </c>
      <c r="G26" s="18">
        <v>0</v>
      </c>
      <c r="H26" s="32">
        <f t="shared" si="1"/>
        <v>0</v>
      </c>
      <c r="I26" s="32">
        <f t="shared" si="2"/>
        <v>0.27934229933916349</v>
      </c>
      <c r="J26" s="33">
        <f t="shared" si="5"/>
        <v>80.174033333333313</v>
      </c>
      <c r="K26" s="33">
        <f t="shared" si="3"/>
        <v>16.034806666666661</v>
      </c>
      <c r="L26" s="17">
        <v>71</v>
      </c>
      <c r="M26" s="34">
        <f t="shared" si="6"/>
        <v>7.0422535211267609E-2</v>
      </c>
      <c r="N26" s="17">
        <v>169</v>
      </c>
      <c r="O26" s="35">
        <f t="shared" ref="O26:P26" si="34">D26/7</f>
        <v>0.7142857142857143</v>
      </c>
      <c r="P26" s="35">
        <f t="shared" si="34"/>
        <v>0</v>
      </c>
      <c r="Q26" s="30">
        <f t="shared" si="8"/>
        <v>236</v>
      </c>
      <c r="R26" s="30"/>
      <c r="S26" s="22">
        <v>2.0342857142857138</v>
      </c>
      <c r="T26" s="29">
        <v>568</v>
      </c>
      <c r="U26" s="37">
        <v>46</v>
      </c>
      <c r="V26" s="38" t="s">
        <v>564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1.0634722222222222</v>
      </c>
      <c r="AD26" s="40">
        <f t="shared" si="12"/>
        <v>-5.1046666666666667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420</v>
      </c>
      <c r="C27" s="16">
        <f t="shared" si="4"/>
        <v>54.525714285714287</v>
      </c>
      <c r="D27" s="17">
        <v>7</v>
      </c>
      <c r="E27" s="17">
        <v>0</v>
      </c>
      <c r="F27" s="18">
        <v>381.68</v>
      </c>
      <c r="G27" s="18">
        <v>0</v>
      </c>
      <c r="H27" s="32">
        <f t="shared" si="1"/>
        <v>0</v>
      </c>
      <c r="I27" s="32">
        <f t="shared" si="2"/>
        <v>0.2492395374834066</v>
      </c>
      <c r="J27" s="33">
        <f t="shared" si="5"/>
        <v>95.129746666666634</v>
      </c>
      <c r="K27" s="33">
        <f t="shared" si="3"/>
        <v>13.589963809523805</v>
      </c>
      <c r="L27" s="17">
        <v>64</v>
      </c>
      <c r="M27" s="34">
        <f t="shared" si="6"/>
        <v>0.109375</v>
      </c>
      <c r="N27" s="17">
        <v>1</v>
      </c>
      <c r="O27" s="35">
        <f t="shared" ref="O27:P27" si="35">D27/7</f>
        <v>1</v>
      </c>
      <c r="P27" s="35">
        <f t="shared" si="35"/>
        <v>0</v>
      </c>
      <c r="Q27" s="30">
        <f t="shared" si="8"/>
        <v>1</v>
      </c>
      <c r="R27" s="30"/>
      <c r="S27" s="22">
        <v>2.8594377510040161</v>
      </c>
      <c r="T27" s="29">
        <v>568</v>
      </c>
      <c r="U27" s="37">
        <v>46</v>
      </c>
      <c r="V27" s="38" t="s">
        <v>564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163</v>
      </c>
      <c r="AB27" s="41">
        <f t="shared" si="11"/>
        <v>-0.48</v>
      </c>
      <c r="AC27" s="42">
        <v>1.0634722222222222</v>
      </c>
      <c r="AD27" s="40">
        <f t="shared" si="12"/>
        <v>-7.1465333333333323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483</v>
      </c>
      <c r="C28" s="16">
        <f t="shared" si="4"/>
        <v>50.752909090909085</v>
      </c>
      <c r="D28" s="17">
        <v>55</v>
      </c>
      <c r="E28" s="17">
        <v>0</v>
      </c>
      <c r="F28" s="18">
        <v>2791.41</v>
      </c>
      <c r="G28" s="18">
        <v>-0.15</v>
      </c>
      <c r="H28" s="32">
        <f t="shared" si="1"/>
        <v>5.3736283813556588E-5</v>
      </c>
      <c r="I28" s="32">
        <f t="shared" si="2"/>
        <v>0.20452723414570645</v>
      </c>
      <c r="J28" s="33">
        <f t="shared" si="5"/>
        <v>570.91936666666641</v>
      </c>
      <c r="K28" s="33">
        <f t="shared" si="3"/>
        <v>10.380352121212116</v>
      </c>
      <c r="L28" s="17">
        <v>122</v>
      </c>
      <c r="M28" s="34">
        <f t="shared" si="6"/>
        <v>0.45081967213114754</v>
      </c>
      <c r="N28" s="17">
        <v>122</v>
      </c>
      <c r="O28" s="35">
        <f t="shared" ref="O28:P28" si="36">D28/7</f>
        <v>7.8571428571428568</v>
      </c>
      <c r="P28" s="35">
        <f t="shared" si="36"/>
        <v>0</v>
      </c>
      <c r="Q28" s="30">
        <f t="shared" si="8"/>
        <v>15</v>
      </c>
      <c r="R28" s="30"/>
      <c r="S28" s="22">
        <v>2.0886699507389159</v>
      </c>
      <c r="T28" s="15" t="s">
        <v>34</v>
      </c>
      <c r="U28" s="23">
        <v>176</v>
      </c>
      <c r="V28" s="1" t="s">
        <v>565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1.0634722222222222</v>
      </c>
      <c r="AD28" s="40">
        <f t="shared" si="12"/>
        <v>-56.151333333333326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484</v>
      </c>
      <c r="C29" s="16">
        <f t="shared" si="4"/>
        <v>56.135806451612908</v>
      </c>
      <c r="D29" s="17">
        <v>31</v>
      </c>
      <c r="E29" s="17">
        <v>0</v>
      </c>
      <c r="F29" s="18">
        <v>1740.21</v>
      </c>
      <c r="G29" s="18">
        <v>0</v>
      </c>
      <c r="H29" s="32">
        <f t="shared" si="1"/>
        <v>0</v>
      </c>
      <c r="I29" s="32">
        <f t="shared" si="2"/>
        <v>0.23042091582289875</v>
      </c>
      <c r="J29" s="33">
        <f t="shared" si="5"/>
        <v>400.98078192416665</v>
      </c>
      <c r="K29" s="33">
        <f t="shared" si="3"/>
        <v>12.934863933037635</v>
      </c>
      <c r="L29" s="17">
        <v>96</v>
      </c>
      <c r="M29" s="34">
        <f t="shared" si="6"/>
        <v>0.32291666666666669</v>
      </c>
      <c r="N29" s="17">
        <v>80</v>
      </c>
      <c r="O29" s="35">
        <f t="shared" ref="O29:P29" si="37">D29/7</f>
        <v>4.4285714285714288</v>
      </c>
      <c r="P29" s="35">
        <f t="shared" si="37"/>
        <v>0</v>
      </c>
      <c r="Q29" s="30">
        <f t="shared" si="8"/>
        <v>18</v>
      </c>
      <c r="R29" s="30"/>
      <c r="S29" s="22">
        <v>1.987679671457905</v>
      </c>
      <c r="T29" s="15" t="s">
        <v>34</v>
      </c>
      <c r="U29" s="23">
        <v>176</v>
      </c>
      <c r="V29" s="1" t="s">
        <v>565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163</v>
      </c>
      <c r="AB29" s="41">
        <f t="shared" si="11"/>
        <v>-0.48</v>
      </c>
      <c r="AC29" s="42">
        <v>1.0634722222222222</v>
      </c>
      <c r="AD29" s="40">
        <f t="shared" si="12"/>
        <v>-31.648933333333332</v>
      </c>
      <c r="AE29" s="26">
        <v>-13.6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485</v>
      </c>
      <c r="C30" s="16">
        <f t="shared" si="4"/>
        <v>68.238571428571433</v>
      </c>
      <c r="D30" s="17">
        <v>14</v>
      </c>
      <c r="E30" s="17">
        <v>0</v>
      </c>
      <c r="F30" s="18">
        <v>955.34</v>
      </c>
      <c r="G30" s="18">
        <v>0</v>
      </c>
      <c r="H30" s="32">
        <f t="shared" si="1"/>
        <v>0</v>
      </c>
      <c r="I30" s="32">
        <f t="shared" si="2"/>
        <v>0.3121509750280877</v>
      </c>
      <c r="J30" s="33">
        <f t="shared" si="5"/>
        <v>298.21031248333333</v>
      </c>
      <c r="K30" s="33">
        <f t="shared" si="3"/>
        <v>21.30073660595238</v>
      </c>
      <c r="L30" s="17">
        <v>50</v>
      </c>
      <c r="M30" s="34">
        <f t="shared" si="6"/>
        <v>0.28000000000000003</v>
      </c>
      <c r="N30" s="17">
        <v>110</v>
      </c>
      <c r="O30" s="35">
        <f t="shared" ref="O30:P30" si="38">D30/7</f>
        <v>2</v>
      </c>
      <c r="P30" s="35">
        <f t="shared" si="38"/>
        <v>0</v>
      </c>
      <c r="Q30" s="30">
        <f t="shared" si="8"/>
        <v>55</v>
      </c>
      <c r="R30" s="30"/>
      <c r="S30" s="22">
        <v>2.2817551963048501</v>
      </c>
      <c r="T30" s="15" t="s">
        <v>34</v>
      </c>
      <c r="U30" s="23">
        <v>176</v>
      </c>
      <c r="V30" s="1" t="s">
        <v>565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1.0634722222222222</v>
      </c>
      <c r="AD30" s="40">
        <f t="shared" si="12"/>
        <v>-14.293066666666665</v>
      </c>
      <c r="AE30" s="26">
        <v>-13.6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29" t="s">
        <v>54</v>
      </c>
      <c r="C31" s="16">
        <f t="shared" si="4"/>
        <v>67.279374999999987</v>
      </c>
      <c r="D31" s="17">
        <v>16</v>
      </c>
      <c r="E31" s="17">
        <v>0</v>
      </c>
      <c r="F31" s="18">
        <v>1076.4699999999998</v>
      </c>
      <c r="G31" s="18">
        <v>-0.35</v>
      </c>
      <c r="H31" s="32">
        <f t="shared" si="1"/>
        <v>3.2513678969223485E-4</v>
      </c>
      <c r="I31" s="32">
        <f t="shared" si="2"/>
        <v>0.30415776962355334</v>
      </c>
      <c r="J31" s="33">
        <f t="shared" si="5"/>
        <v>327.41671426666642</v>
      </c>
      <c r="K31" s="33">
        <f t="shared" si="3"/>
        <v>20.463544641666651</v>
      </c>
      <c r="L31" s="17">
        <v>56</v>
      </c>
      <c r="M31" s="34">
        <f t="shared" si="6"/>
        <v>0.2857142857142857</v>
      </c>
      <c r="N31" s="17">
        <v>102</v>
      </c>
      <c r="O31" s="35">
        <f t="shared" ref="O31:P31" si="39">D31/7</f>
        <v>2.2857142857142856</v>
      </c>
      <c r="P31" s="35">
        <f t="shared" si="39"/>
        <v>0</v>
      </c>
      <c r="Q31" s="30">
        <f t="shared" si="8"/>
        <v>44</v>
      </c>
      <c r="R31" s="30"/>
      <c r="S31" s="22">
        <v>2.2374429223744201</v>
      </c>
      <c r="T31" s="15">
        <v>262</v>
      </c>
      <c r="U31" s="23">
        <v>130</v>
      </c>
      <c r="V31" s="1" t="s">
        <v>566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1.0634722222222222</v>
      </c>
      <c r="AD31" s="40">
        <f t="shared" si="12"/>
        <v>-16.334933333333332</v>
      </c>
      <c r="AE31" s="26">
        <v>-13.6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29" t="s">
        <v>54</v>
      </c>
      <c r="C32" s="16">
        <f t="shared" si="4"/>
        <v>68.467500000000001</v>
      </c>
      <c r="D32" s="17">
        <v>12</v>
      </c>
      <c r="E32" s="17">
        <v>0</v>
      </c>
      <c r="F32" s="18">
        <v>821.61</v>
      </c>
      <c r="G32" s="18">
        <v>0</v>
      </c>
      <c r="H32" s="32">
        <f t="shared" si="1"/>
        <v>0</v>
      </c>
      <c r="I32" s="32">
        <f t="shared" si="2"/>
        <v>0.31394933204318359</v>
      </c>
      <c r="J32" s="33">
        <f t="shared" si="5"/>
        <v>257.94391070000006</v>
      </c>
      <c r="K32" s="33">
        <f t="shared" si="3"/>
        <v>21.495325891666671</v>
      </c>
      <c r="L32" s="17">
        <v>54</v>
      </c>
      <c r="M32" s="34">
        <f t="shared" si="6"/>
        <v>0.22222222222222221</v>
      </c>
      <c r="N32" s="17">
        <v>84</v>
      </c>
      <c r="O32" s="35">
        <f t="shared" ref="O32:P32" si="40">D32/7</f>
        <v>1.7142857142857142</v>
      </c>
      <c r="P32" s="35">
        <f t="shared" si="40"/>
        <v>0</v>
      </c>
      <c r="Q32" s="30">
        <f t="shared" si="8"/>
        <v>49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2.7331378299120228</v>
      </c>
      <c r="T32" s="15">
        <f ca="1">IFERROR(__xludf.DUMMYFUNCTION("IFERROR(VLOOKUP($B$2,IMPORTRANGE(""https://docs.google.com/spreadsheets/d/1KiWZV1ko8G7lnRucBRBd29jj3Be6ltMfljMDqzOkQmI/edit#gid=1381463014"",""Lookup!A:D""),4,FALSE),"""")"),262)</f>
        <v>262</v>
      </c>
      <c r="U32" s="23">
        <f ca="1">IFERROR(__xludf.DUMMYFUNCTION("IFERROR(VLOOKUP($B$2,IMPORTRANGE(""https://docs.google.com/spreadsheets/d/1KiWZV1ko8G7lnRucBRBd29jj3Be6ltMfljMDqzOkQmI/edit#gid=1381463014"",""Lookup!A:D""),3,FALSE),"""")"),130)</f>
        <v>130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- 130 units 08/22")</f>
        <v>| AGL229  - 130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1.0634722222222222</v>
      </c>
      <c r="AD32" s="40">
        <f t="shared" si="12"/>
        <v>-12.251199999999999</v>
      </c>
      <c r="AE32" s="26">
        <v>-13.6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42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Info!B1:BJ5000""),3,FALSE),"""")"),"Sandwich Board - White Sidewalk Chalkboard Sign with Chalk &amp; Eraser for Menu")</f>
        <v>Sandwich Board - White Sidewalk Chalkboard Sign with Chalk &amp; Eraser for Menu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Info!B1:BJ5000""),2,FALSE),"""")"),"B073WLS4TS")</f>
        <v>B073WLS4TS</v>
      </c>
      <c r="B2" s="3" t="s">
        <v>567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23" customHeight="1" x14ac:dyDescent="0.2">
      <c r="A3" s="57" t="s">
        <v>31</v>
      </c>
      <c r="B3" s="58"/>
      <c r="C3" s="4">
        <f>((AE32+AF32)/0.85)*-1</f>
        <v>41.977783264705884</v>
      </c>
      <c r="D3" s="5">
        <f>SUM(D4:D99519)</f>
        <v>890</v>
      </c>
      <c r="E3" s="5"/>
      <c r="F3" s="6">
        <f t="shared" ref="F3:G3" si="0">SUM(F4:F99519)</f>
        <v>48375.27</v>
      </c>
      <c r="G3" s="6">
        <f t="shared" si="0"/>
        <v>-776.73000000000013</v>
      </c>
      <c r="H3" s="7">
        <f t="shared" ref="H3:H32" si="1">G3/F3*-1</f>
        <v>1.6056344491720671E-2</v>
      </c>
      <c r="I3" s="8">
        <f t="shared" ref="I3:I32" si="2">J3/F3</f>
        <v>0.23308435737591504</v>
      </c>
      <c r="J3" s="6">
        <f>SUM(J4:J99519)</f>
        <v>11275.51872083638</v>
      </c>
      <c r="K3" s="6">
        <f t="shared" ref="K3:K32" si="3">J3/D3</f>
        <v>12.669122158243123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Sheet!a1:g5000""),2,FALSE),"""")"),"5 - March
6 - April
9 - May
10 - June
10 - July
8 - Aug
8 - Sept
7 - Oct
2 - Nov
2 - Dec
5 - Jan
5 - Feb")</f>
        <v>5 - March
6 - April
9 - May
10 - June
10 - July
8 - Aug
8 - Sept
7 - Oct
2 - Nov
2 - Dec
5 - Jan
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27</v>
      </c>
      <c r="X3" s="7">
        <f>W3/D3</f>
        <v>3.0337078651685393E-2</v>
      </c>
      <c r="Y3" s="6"/>
      <c r="Z3" s="5"/>
      <c r="AA3" s="5"/>
      <c r="AB3" s="5"/>
      <c r="AC3" s="5"/>
      <c r="AD3" s="6">
        <f>SUM(AD4:AD99519)</f>
        <v>-879.55377314278348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x14ac:dyDescent="0.2">
      <c r="A4" s="15" t="s">
        <v>32</v>
      </c>
      <c r="B4" s="15" t="s">
        <v>552</v>
      </c>
      <c r="C4" s="16">
        <f t="shared" ref="C4:C32" si="4">IFERROR(F4/D4," - ")</f>
        <v>50.99</v>
      </c>
      <c r="D4" s="17">
        <v>15</v>
      </c>
      <c r="E4" s="17">
        <v>0</v>
      </c>
      <c r="F4" s="18">
        <v>764.85</v>
      </c>
      <c r="G4" s="18">
        <v>-18.660000000000004</v>
      </c>
      <c r="H4" s="19">
        <f t="shared" si="1"/>
        <v>2.4396940576583648E-2</v>
      </c>
      <c r="I4" s="19">
        <f t="shared" si="2"/>
        <v>0.22045101436011424</v>
      </c>
      <c r="J4" s="18">
        <f t="shared" ref="J4:J32" si="5">F4*0.85+G4+AF4*D4+D4*AE4+AG4+AD4</f>
        <v>168.61195833333338</v>
      </c>
      <c r="K4" s="18">
        <f t="shared" si="3"/>
        <v>11.240797222222225</v>
      </c>
      <c r="L4" s="17">
        <v>56</v>
      </c>
      <c r="M4" s="20">
        <f t="shared" ref="M4:M32" si="6">IFERROR(D4/L4,"-")</f>
        <v>0.26785714285714285</v>
      </c>
      <c r="N4" s="17">
        <v>126</v>
      </c>
      <c r="O4" s="21">
        <f t="shared" ref="O4:P4" si="7">D4/7</f>
        <v>2.1428571428571428</v>
      </c>
      <c r="P4" s="21">
        <f t="shared" si="7"/>
        <v>0</v>
      </c>
      <c r="Q4" s="17">
        <f t="shared" ref="Q4:Q32" si="8">ROUNDDOWN(N4/(O4+P4),0)</f>
        <v>58</v>
      </c>
      <c r="R4" s="17"/>
      <c r="S4" s="22">
        <v>1.5619047619047599</v>
      </c>
      <c r="T4" s="15">
        <v>696</v>
      </c>
      <c r="U4" s="23">
        <v>200</v>
      </c>
      <c r="V4" s="24" t="s">
        <v>568</v>
      </c>
      <c r="W4" s="15">
        <v>3</v>
      </c>
      <c r="X4" s="25">
        <f t="shared" ref="X4:X32" si="9">IFERROR(W4/D4,0)</f>
        <v>0.2</v>
      </c>
      <c r="Y4" s="26">
        <f t="shared" ref="Y4:Y32" si="10">IFERROR(G4/(W4+Z4)*-1,0)</f>
        <v>4.6650000000000009</v>
      </c>
      <c r="Z4" s="15">
        <v>1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1.0305740740740741</v>
      </c>
      <c r="AD4" s="26">
        <f t="shared" ref="AD4:AD32" si="12">IFERROR(AB4*AC4*D4*2,0)</f>
        <v>-14.840266666666666</v>
      </c>
      <c r="AE4" s="26">
        <v>-13.2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15" t="s">
        <v>569</v>
      </c>
      <c r="C5" s="16">
        <f t="shared" si="4"/>
        <v>50.267777777777781</v>
      </c>
      <c r="D5" s="30">
        <v>18</v>
      </c>
      <c r="E5" s="30">
        <v>0</v>
      </c>
      <c r="F5" s="31">
        <v>904.82</v>
      </c>
      <c r="G5" s="31">
        <v>-29.660000000000004</v>
      </c>
      <c r="H5" s="32">
        <f t="shared" si="1"/>
        <v>3.2780000442076879E-2</v>
      </c>
      <c r="I5" s="32">
        <f t="shared" si="2"/>
        <v>0.20335062734576403</v>
      </c>
      <c r="J5" s="33">
        <f t="shared" si="5"/>
        <v>183.99571463499421</v>
      </c>
      <c r="K5" s="33">
        <f t="shared" si="3"/>
        <v>10.221984146388568</v>
      </c>
      <c r="L5" s="30">
        <v>129</v>
      </c>
      <c r="M5" s="34">
        <f t="shared" si="6"/>
        <v>0.13953488372093023</v>
      </c>
      <c r="N5" s="30">
        <v>252</v>
      </c>
      <c r="O5" s="35">
        <f t="shared" ref="O5:P5" si="13">D5/7</f>
        <v>2.5714285714285716</v>
      </c>
      <c r="P5" s="35">
        <f t="shared" si="13"/>
        <v>0</v>
      </c>
      <c r="Q5" s="30">
        <f t="shared" si="8"/>
        <v>98</v>
      </c>
      <c r="R5" s="30"/>
      <c r="S5" s="36">
        <v>1.28656971770744</v>
      </c>
      <c r="T5" s="29">
        <v>696</v>
      </c>
      <c r="U5" s="37">
        <v>200</v>
      </c>
      <c r="V5" s="38" t="s">
        <v>570</v>
      </c>
      <c r="W5" s="29">
        <v>1</v>
      </c>
      <c r="X5" s="39">
        <f t="shared" si="9"/>
        <v>5.5555555555555552E-2</v>
      </c>
      <c r="Y5" s="40">
        <f t="shared" si="10"/>
        <v>7.4150000000000009</v>
      </c>
      <c r="Z5" s="29">
        <v>3</v>
      </c>
      <c r="AA5" s="29" t="s">
        <v>163</v>
      </c>
      <c r="AB5" s="41">
        <f t="shared" si="11"/>
        <v>-0.48</v>
      </c>
      <c r="AC5" s="42">
        <v>1.031768250289687</v>
      </c>
      <c r="AD5" s="40">
        <f t="shared" si="12"/>
        <v>-17.82895536500579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571</v>
      </c>
      <c r="C6" s="16">
        <f t="shared" si="4"/>
        <v>48.215454545454548</v>
      </c>
      <c r="D6" s="30">
        <v>22</v>
      </c>
      <c r="E6" s="30">
        <v>0</v>
      </c>
      <c r="F6" s="31">
        <v>1060.74</v>
      </c>
      <c r="G6" s="31">
        <v>-24.97</v>
      </c>
      <c r="H6" s="32">
        <f t="shared" si="1"/>
        <v>2.3540170069951166E-2</v>
      </c>
      <c r="I6" s="32">
        <f t="shared" si="2"/>
        <v>0.1864844720561955</v>
      </c>
      <c r="J6" s="33">
        <f t="shared" si="5"/>
        <v>197.81153888888883</v>
      </c>
      <c r="K6" s="33">
        <f t="shared" si="3"/>
        <v>8.9914335858585837</v>
      </c>
      <c r="L6" s="30">
        <v>119</v>
      </c>
      <c r="M6" s="34">
        <f t="shared" si="6"/>
        <v>0.18487394957983194</v>
      </c>
      <c r="N6" s="30">
        <v>209</v>
      </c>
      <c r="O6" s="35">
        <f t="shared" ref="O6:P6" si="14">D6/7</f>
        <v>3.1428571428571428</v>
      </c>
      <c r="P6" s="35">
        <f t="shared" si="14"/>
        <v>0</v>
      </c>
      <c r="Q6" s="30">
        <f t="shared" si="8"/>
        <v>66</v>
      </c>
      <c r="R6" s="30"/>
      <c r="S6" s="36">
        <v>1.2805887764489401</v>
      </c>
      <c r="T6" s="29">
        <v>696</v>
      </c>
      <c r="U6" s="37">
        <v>200</v>
      </c>
      <c r="V6" s="38" t="s">
        <v>572</v>
      </c>
      <c r="W6" s="29">
        <v>1</v>
      </c>
      <c r="X6" s="39">
        <f t="shared" si="9"/>
        <v>4.5454545454545456E-2</v>
      </c>
      <c r="Y6" s="40">
        <f t="shared" si="10"/>
        <v>4.9939999999999998</v>
      </c>
      <c r="Z6" s="29">
        <v>4</v>
      </c>
      <c r="AA6" s="29" t="s">
        <v>163</v>
      </c>
      <c r="AB6" s="41">
        <f t="shared" si="11"/>
        <v>-0.48</v>
      </c>
      <c r="AC6" s="42">
        <v>1.0305740740740741</v>
      </c>
      <c r="AD6" s="40">
        <f t="shared" si="12"/>
        <v>-21.765724444444444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47.99</v>
      </c>
      <c r="D7" s="30">
        <v>34</v>
      </c>
      <c r="E7" s="30">
        <v>0</v>
      </c>
      <c r="F7" s="31">
        <v>1631.66</v>
      </c>
      <c r="G7" s="31">
        <v>-52.85</v>
      </c>
      <c r="H7" s="32">
        <f t="shared" si="1"/>
        <v>3.2390326416042559E-2</v>
      </c>
      <c r="I7" s="32">
        <f t="shared" si="2"/>
        <v>0.17462774447835683</v>
      </c>
      <c r="J7" s="33">
        <f t="shared" si="5"/>
        <v>284.9331055555557</v>
      </c>
      <c r="K7" s="33">
        <f t="shared" si="3"/>
        <v>8.3803854575163435</v>
      </c>
      <c r="L7" s="30">
        <v>157</v>
      </c>
      <c r="M7" s="34">
        <f t="shared" si="6"/>
        <v>0.21656050955414013</v>
      </c>
      <c r="N7" s="30">
        <v>178</v>
      </c>
      <c r="O7" s="35">
        <f t="shared" ref="O7:P7" si="15">D7/7</f>
        <v>4.8571428571428568</v>
      </c>
      <c r="P7" s="35">
        <f t="shared" si="15"/>
        <v>0</v>
      </c>
      <c r="Q7" s="30">
        <f t="shared" si="8"/>
        <v>36</v>
      </c>
      <c r="R7" s="30"/>
      <c r="S7" s="36">
        <v>1.4151925078043699</v>
      </c>
      <c r="T7" s="29">
        <v>696</v>
      </c>
      <c r="U7" s="37">
        <v>200</v>
      </c>
      <c r="V7" s="38" t="s">
        <v>573</v>
      </c>
      <c r="W7" s="29">
        <v>1</v>
      </c>
      <c r="X7" s="39">
        <f t="shared" si="9"/>
        <v>2.9411764705882353E-2</v>
      </c>
      <c r="Y7" s="40">
        <f t="shared" si="10"/>
        <v>7.55</v>
      </c>
      <c r="Z7" s="29">
        <v>6</v>
      </c>
      <c r="AA7" s="29" t="s">
        <v>163</v>
      </c>
      <c r="AB7" s="41">
        <f t="shared" si="11"/>
        <v>-0.48</v>
      </c>
      <c r="AC7" s="42">
        <v>1.0305740740740741</v>
      </c>
      <c r="AD7" s="40">
        <f t="shared" si="12"/>
        <v>-33.637937777777779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47.99</v>
      </c>
      <c r="D8" s="30">
        <v>31</v>
      </c>
      <c r="E8" s="30">
        <v>0</v>
      </c>
      <c r="F8" s="31">
        <v>1487.69</v>
      </c>
      <c r="G8" s="31">
        <v>-44.679999999999993</v>
      </c>
      <c r="H8" s="32">
        <f t="shared" si="1"/>
        <v>3.0033138624310167E-2</v>
      </c>
      <c r="I8" s="32">
        <f t="shared" si="2"/>
        <v>0.17692974716208035</v>
      </c>
      <c r="J8" s="33">
        <f t="shared" si="5"/>
        <v>263.21661555555534</v>
      </c>
      <c r="K8" s="33">
        <f t="shared" si="3"/>
        <v>8.490858566308237</v>
      </c>
      <c r="L8" s="30">
        <v>147</v>
      </c>
      <c r="M8" s="34">
        <f t="shared" si="6"/>
        <v>0.21088435374149661</v>
      </c>
      <c r="N8" s="30">
        <v>148</v>
      </c>
      <c r="O8" s="35">
        <f t="shared" ref="O8:P8" si="16">D8/7</f>
        <v>4.4285714285714288</v>
      </c>
      <c r="P8" s="35">
        <f t="shared" si="16"/>
        <v>0</v>
      </c>
      <c r="Q8" s="30">
        <f t="shared" si="8"/>
        <v>33</v>
      </c>
      <c r="R8" s="30"/>
      <c r="S8" s="36">
        <v>1.9352941176470499</v>
      </c>
      <c r="T8" s="29">
        <v>696</v>
      </c>
      <c r="U8" s="37">
        <v>200</v>
      </c>
      <c r="V8" s="38" t="s">
        <v>574</v>
      </c>
      <c r="W8" s="29">
        <v>3</v>
      </c>
      <c r="X8" s="39">
        <f t="shared" si="9"/>
        <v>9.6774193548387094E-2</v>
      </c>
      <c r="Y8" s="40">
        <f t="shared" si="10"/>
        <v>11.169999999999998</v>
      </c>
      <c r="Z8" s="29">
        <v>1</v>
      </c>
      <c r="AA8" s="29" t="s">
        <v>163</v>
      </c>
      <c r="AB8" s="41">
        <f t="shared" si="11"/>
        <v>-0.48</v>
      </c>
      <c r="AC8" s="42">
        <v>1.0305740740740741</v>
      </c>
      <c r="AD8" s="40">
        <f t="shared" si="12"/>
        <v>-30.669884444444442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393</v>
      </c>
      <c r="C9" s="16">
        <f t="shared" si="4"/>
        <v>48.406304347826101</v>
      </c>
      <c r="D9" s="30">
        <v>46</v>
      </c>
      <c r="E9" s="30">
        <v>0</v>
      </c>
      <c r="F9" s="31">
        <v>2226.6900000000005</v>
      </c>
      <c r="G9" s="31">
        <v>-40.74</v>
      </c>
      <c r="H9" s="32">
        <f t="shared" si="1"/>
        <v>1.8296215458820039E-2</v>
      </c>
      <c r="I9" s="32">
        <f t="shared" si="2"/>
        <v>0.17437423060936078</v>
      </c>
      <c r="J9" s="33">
        <f t="shared" si="5"/>
        <v>388.27735555555762</v>
      </c>
      <c r="K9" s="33">
        <f t="shared" si="3"/>
        <v>8.4408120772947317</v>
      </c>
      <c r="L9" s="30">
        <v>161</v>
      </c>
      <c r="M9" s="34">
        <f t="shared" si="6"/>
        <v>0.2857142857142857</v>
      </c>
      <c r="N9" s="30">
        <v>107</v>
      </c>
      <c r="O9" s="35">
        <f t="shared" ref="O9:P9" si="17">D9/7</f>
        <v>6.5714285714285712</v>
      </c>
      <c r="P9" s="35">
        <f t="shared" si="17"/>
        <v>0</v>
      </c>
      <c r="Q9" s="30">
        <f t="shared" si="8"/>
        <v>16</v>
      </c>
      <c r="R9" s="30"/>
      <c r="S9" s="36">
        <v>1.6321559074299601</v>
      </c>
      <c r="T9" s="29">
        <v>696</v>
      </c>
      <c r="U9" s="37">
        <v>200</v>
      </c>
      <c r="V9" s="38" t="s">
        <v>575</v>
      </c>
      <c r="W9" s="29">
        <v>3</v>
      </c>
      <c r="X9" s="39">
        <f t="shared" si="9"/>
        <v>6.5217391304347824E-2</v>
      </c>
      <c r="Y9" s="40">
        <f t="shared" si="10"/>
        <v>6.79</v>
      </c>
      <c r="Z9" s="29">
        <v>3</v>
      </c>
      <c r="AA9" s="29" t="s">
        <v>163</v>
      </c>
      <c r="AB9" s="41">
        <f t="shared" si="11"/>
        <v>-0.48</v>
      </c>
      <c r="AC9" s="42">
        <v>1.0305740740740741</v>
      </c>
      <c r="AD9" s="40">
        <f t="shared" si="12"/>
        <v>-45.510151111111107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54</v>
      </c>
      <c r="C10" s="16">
        <f t="shared" si="4"/>
        <v>48.812222222222232</v>
      </c>
      <c r="D10" s="30">
        <v>36</v>
      </c>
      <c r="E10" s="30">
        <v>0</v>
      </c>
      <c r="F10" s="31">
        <v>1757.2400000000002</v>
      </c>
      <c r="G10" s="31">
        <v>-34.9</v>
      </c>
      <c r="H10" s="32">
        <f t="shared" si="1"/>
        <v>1.9860690628485576E-2</v>
      </c>
      <c r="I10" s="32">
        <f t="shared" si="2"/>
        <v>0.17827604652750983</v>
      </c>
      <c r="J10" s="33">
        <f t="shared" si="5"/>
        <v>313.27380000000142</v>
      </c>
      <c r="K10" s="33">
        <f t="shared" si="3"/>
        <v>8.7020500000000389</v>
      </c>
      <c r="L10" s="30">
        <v>161</v>
      </c>
      <c r="M10" s="34">
        <f t="shared" si="6"/>
        <v>0.2236024844720497</v>
      </c>
      <c r="N10" s="30">
        <v>270</v>
      </c>
      <c r="O10" s="35">
        <f t="shared" ref="O10:P10" si="18">D10/7</f>
        <v>5.1428571428571432</v>
      </c>
      <c r="P10" s="35">
        <f t="shared" si="18"/>
        <v>0</v>
      </c>
      <c r="Q10" s="30">
        <f t="shared" si="8"/>
        <v>52</v>
      </c>
      <c r="R10" s="30"/>
      <c r="S10" s="36">
        <v>1.5159817351598099</v>
      </c>
      <c r="T10" s="29">
        <v>150</v>
      </c>
      <c r="U10" s="37">
        <v>150</v>
      </c>
      <c r="V10" s="38" t="s">
        <v>576</v>
      </c>
      <c r="W10" s="29">
        <v>2</v>
      </c>
      <c r="X10" s="39">
        <f t="shared" si="9"/>
        <v>5.5555555555555552E-2</v>
      </c>
      <c r="Y10" s="40">
        <f t="shared" si="10"/>
        <v>11.633333333333333</v>
      </c>
      <c r="Z10" s="29">
        <v>1</v>
      </c>
      <c r="AA10" s="29" t="s">
        <v>163</v>
      </c>
      <c r="AB10" s="41">
        <f t="shared" si="11"/>
        <v>-0.48</v>
      </c>
      <c r="AC10" s="42">
        <v>1.0305740740740741</v>
      </c>
      <c r="AD10" s="40">
        <f t="shared" si="12"/>
        <v>-35.616639999999997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54</v>
      </c>
      <c r="C11" s="16">
        <f t="shared" si="4"/>
        <v>49.134999999999998</v>
      </c>
      <c r="D11" s="30">
        <v>24</v>
      </c>
      <c r="E11" s="30">
        <v>0</v>
      </c>
      <c r="F11" s="31">
        <v>1179.24</v>
      </c>
      <c r="G11" s="31">
        <v>-37.539999999999992</v>
      </c>
      <c r="H11" s="32">
        <f t="shared" si="1"/>
        <v>3.1834062616600517E-2</v>
      </c>
      <c r="I11" s="32">
        <f t="shared" si="2"/>
        <v>0.17058489648700367</v>
      </c>
      <c r="J11" s="33">
        <f t="shared" si="5"/>
        <v>201.1605333333342</v>
      </c>
      <c r="K11" s="33">
        <f t="shared" si="3"/>
        <v>8.3816888888889256</v>
      </c>
      <c r="L11" s="30">
        <v>127</v>
      </c>
      <c r="M11" s="34">
        <f t="shared" si="6"/>
        <v>0.1889763779527559</v>
      </c>
      <c r="N11" s="30">
        <v>241</v>
      </c>
      <c r="O11" s="35">
        <f t="shared" ref="O11:P11" si="19">D11/7</f>
        <v>3.4285714285714284</v>
      </c>
      <c r="P11" s="35">
        <f t="shared" si="19"/>
        <v>0</v>
      </c>
      <c r="Q11" s="30">
        <f t="shared" si="8"/>
        <v>70</v>
      </c>
      <c r="R11" s="30"/>
      <c r="S11" s="36">
        <v>1.6861702127659499</v>
      </c>
      <c r="T11" s="29">
        <v>150</v>
      </c>
      <c r="U11" s="37">
        <v>150</v>
      </c>
      <c r="V11" s="38" t="s">
        <v>576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163</v>
      </c>
      <c r="AB11" s="41">
        <f t="shared" si="11"/>
        <v>-0.48</v>
      </c>
      <c r="AC11" s="42">
        <v>1.0305740740740741</v>
      </c>
      <c r="AD11" s="40">
        <f t="shared" si="12"/>
        <v>-23.744426666666666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541</v>
      </c>
      <c r="C12" s="16">
        <f t="shared" si="4"/>
        <v>49.676949152542335</v>
      </c>
      <c r="D12" s="30">
        <v>59</v>
      </c>
      <c r="E12" s="30">
        <v>2</v>
      </c>
      <c r="F12" s="31">
        <v>2930.9399999999978</v>
      </c>
      <c r="G12" s="31">
        <v>-28.229999999999997</v>
      </c>
      <c r="H12" s="32">
        <f t="shared" si="1"/>
        <v>9.6317222461053519E-3</v>
      </c>
      <c r="I12" s="32">
        <f t="shared" si="2"/>
        <v>0.19985200235343556</v>
      </c>
      <c r="J12" s="33">
        <f t="shared" si="5"/>
        <v>585.75422777777794</v>
      </c>
      <c r="K12" s="33">
        <f t="shared" si="3"/>
        <v>9.9280377589453881</v>
      </c>
      <c r="L12" s="30">
        <v>126</v>
      </c>
      <c r="M12" s="34">
        <f t="shared" si="6"/>
        <v>0.46825396825396826</v>
      </c>
      <c r="N12" s="30">
        <v>179</v>
      </c>
      <c r="O12" s="35">
        <f t="shared" ref="O12:P12" si="20">D12/7</f>
        <v>8.4285714285714288</v>
      </c>
      <c r="P12" s="35">
        <f t="shared" si="20"/>
        <v>0.2857142857142857</v>
      </c>
      <c r="Q12" s="30">
        <f t="shared" si="8"/>
        <v>20</v>
      </c>
      <c r="R12" s="30"/>
      <c r="S12" s="36">
        <v>2.2857142857142798</v>
      </c>
      <c r="T12" s="29">
        <v>605</v>
      </c>
      <c r="U12" s="37">
        <v>150</v>
      </c>
      <c r="V12" s="38" t="s">
        <v>577</v>
      </c>
      <c r="W12" s="29">
        <v>1</v>
      </c>
      <c r="X12" s="39">
        <f t="shared" si="9"/>
        <v>1.6949152542372881E-2</v>
      </c>
      <c r="Y12" s="40">
        <f t="shared" si="10"/>
        <v>9.4099999999999984</v>
      </c>
      <c r="Z12" s="29">
        <v>2</v>
      </c>
      <c r="AA12" s="29" t="s">
        <v>163</v>
      </c>
      <c r="AB12" s="41">
        <f t="shared" si="11"/>
        <v>-0.48</v>
      </c>
      <c r="AC12" s="42">
        <v>1.0305740740740741</v>
      </c>
      <c r="AD12" s="40">
        <f t="shared" si="12"/>
        <v>-58.371715555555554</v>
      </c>
      <c r="AE12" s="40">
        <v>-13.2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398</v>
      </c>
      <c r="C13" s="16">
        <f t="shared" si="4"/>
        <v>52.545128205128186</v>
      </c>
      <c r="D13" s="30">
        <v>39</v>
      </c>
      <c r="E13" s="30">
        <v>0</v>
      </c>
      <c r="F13" s="33">
        <v>2049.2599999999993</v>
      </c>
      <c r="G13" s="31">
        <v>-31.430000000000003</v>
      </c>
      <c r="H13" s="32">
        <f t="shared" si="1"/>
        <v>1.5337243687965419E-2</v>
      </c>
      <c r="I13" s="32">
        <f t="shared" si="2"/>
        <v>0.21947135388709396</v>
      </c>
      <c r="J13" s="33">
        <f t="shared" si="5"/>
        <v>449.753866666666</v>
      </c>
      <c r="K13" s="33">
        <f t="shared" si="3"/>
        <v>11.532150427350411</v>
      </c>
      <c r="L13" s="30">
        <v>95</v>
      </c>
      <c r="M13" s="34">
        <f t="shared" si="6"/>
        <v>0.41052631578947368</v>
      </c>
      <c r="N13" s="30">
        <v>140</v>
      </c>
      <c r="O13" s="35">
        <f t="shared" ref="O13:P13" si="21">D13/7</f>
        <v>5.5714285714285712</v>
      </c>
      <c r="P13" s="35">
        <f t="shared" si="21"/>
        <v>0</v>
      </c>
      <c r="Q13" s="30">
        <f t="shared" si="8"/>
        <v>25</v>
      </c>
      <c r="R13" s="30"/>
      <c r="S13" s="36">
        <v>2.4636209813874701</v>
      </c>
      <c r="T13" s="29">
        <v>1060</v>
      </c>
      <c r="U13" s="37">
        <v>150</v>
      </c>
      <c r="V13" s="38" t="s">
        <v>578</v>
      </c>
      <c r="W13" s="29">
        <v>1</v>
      </c>
      <c r="X13" s="39">
        <f t="shared" si="9"/>
        <v>2.564102564102564E-2</v>
      </c>
      <c r="Y13" s="40">
        <f t="shared" si="10"/>
        <v>10.476666666666668</v>
      </c>
      <c r="Z13" s="29">
        <v>2</v>
      </c>
      <c r="AA13" s="29" t="s">
        <v>163</v>
      </c>
      <c r="AB13" s="41">
        <f t="shared" si="11"/>
        <v>-0.48</v>
      </c>
      <c r="AC13" s="42">
        <v>1.0305740740740741</v>
      </c>
      <c r="AD13" s="40">
        <f t="shared" si="12"/>
        <v>-38.584693333333334</v>
      </c>
      <c r="AE13" s="40">
        <v>-13.2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525</v>
      </c>
      <c r="C14" s="16">
        <f t="shared" si="4"/>
        <v>53.896129032258074</v>
      </c>
      <c r="D14" s="30">
        <v>31</v>
      </c>
      <c r="E14" s="30">
        <v>0</v>
      </c>
      <c r="F14" s="33">
        <v>1670.7800000000002</v>
      </c>
      <c r="G14" s="31">
        <v>-33.92</v>
      </c>
      <c r="H14" s="32">
        <f t="shared" si="1"/>
        <v>2.0301894923329223E-2</v>
      </c>
      <c r="I14" s="32">
        <f t="shared" si="2"/>
        <v>0.22992755213466501</v>
      </c>
      <c r="J14" s="33">
        <f t="shared" si="5"/>
        <v>384.15835555555566</v>
      </c>
      <c r="K14" s="33">
        <f t="shared" si="3"/>
        <v>12.39220501792115</v>
      </c>
      <c r="L14" s="30">
        <v>124</v>
      </c>
      <c r="M14" s="34">
        <f t="shared" si="6"/>
        <v>0.25</v>
      </c>
      <c r="N14" s="30">
        <v>260</v>
      </c>
      <c r="O14" s="35">
        <f t="shared" ref="O14:P14" si="22">D14/7</f>
        <v>4.4285714285714288</v>
      </c>
      <c r="P14" s="35">
        <f t="shared" si="22"/>
        <v>0</v>
      </c>
      <c r="Q14" s="30">
        <f t="shared" si="8"/>
        <v>58</v>
      </c>
      <c r="R14" s="30"/>
      <c r="S14" s="36">
        <v>1.5512690355329899</v>
      </c>
      <c r="T14" s="29">
        <v>910</v>
      </c>
      <c r="U14" s="37">
        <v>455</v>
      </c>
      <c r="V14" s="38" t="s">
        <v>579</v>
      </c>
      <c r="W14" s="29">
        <v>0</v>
      </c>
      <c r="X14" s="39">
        <f t="shared" si="9"/>
        <v>0</v>
      </c>
      <c r="Y14" s="40">
        <f t="shared" si="10"/>
        <v>11.306666666666667</v>
      </c>
      <c r="Z14" s="29">
        <v>3</v>
      </c>
      <c r="AA14" s="29" t="s">
        <v>163</v>
      </c>
      <c r="AB14" s="41">
        <f t="shared" si="11"/>
        <v>-0.48</v>
      </c>
      <c r="AC14" s="42">
        <v>1.0305740740740741</v>
      </c>
      <c r="AD14" s="40">
        <f t="shared" si="12"/>
        <v>-30.669884444444442</v>
      </c>
      <c r="AE14" s="40">
        <v>-13.2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54</v>
      </c>
      <c r="C15" s="16">
        <f t="shared" si="4"/>
        <v>54.836153846153849</v>
      </c>
      <c r="D15" s="30">
        <v>26</v>
      </c>
      <c r="E15" s="30">
        <v>0</v>
      </c>
      <c r="F15" s="33">
        <v>1425.74</v>
      </c>
      <c r="G15" s="31">
        <v>-31.8</v>
      </c>
      <c r="H15" s="32">
        <f t="shared" si="1"/>
        <v>2.2304206938151418E-2</v>
      </c>
      <c r="I15" s="32">
        <f t="shared" si="2"/>
        <v>0.2382067635831997</v>
      </c>
      <c r="J15" s="33">
        <f t="shared" si="5"/>
        <v>339.62091111111113</v>
      </c>
      <c r="K15" s="33">
        <f t="shared" si="3"/>
        <v>13.062342735042735</v>
      </c>
      <c r="L15" s="30">
        <v>122</v>
      </c>
      <c r="M15" s="34">
        <f t="shared" si="6"/>
        <v>0.21311475409836064</v>
      </c>
      <c r="N15" s="30">
        <v>235</v>
      </c>
      <c r="O15" s="35">
        <f t="shared" ref="O15:P15" si="23">D15/7</f>
        <v>3.7142857142857144</v>
      </c>
      <c r="P15" s="35">
        <f t="shared" si="23"/>
        <v>0</v>
      </c>
      <c r="Q15" s="30">
        <f t="shared" si="8"/>
        <v>63</v>
      </c>
      <c r="R15" s="30"/>
      <c r="S15" s="36">
        <v>1.7290033594624801</v>
      </c>
      <c r="T15" s="29">
        <v>455</v>
      </c>
      <c r="U15" s="37">
        <v>455</v>
      </c>
      <c r="V15" s="38" t="s">
        <v>580</v>
      </c>
      <c r="W15" s="29">
        <v>0</v>
      </c>
      <c r="X15" s="39">
        <f t="shared" si="9"/>
        <v>0</v>
      </c>
      <c r="Y15" s="40">
        <f t="shared" si="10"/>
        <v>7.95</v>
      </c>
      <c r="Z15" s="29">
        <v>4</v>
      </c>
      <c r="AA15" s="29" t="s">
        <v>163</v>
      </c>
      <c r="AB15" s="41">
        <f t="shared" si="11"/>
        <v>-0.48</v>
      </c>
      <c r="AC15" s="42">
        <v>1.0305740740740741</v>
      </c>
      <c r="AD15" s="40">
        <f t="shared" si="12"/>
        <v>-25.723128888888887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494</v>
      </c>
      <c r="C16" s="16">
        <f t="shared" si="4"/>
        <v>55.04113636363634</v>
      </c>
      <c r="D16" s="30">
        <v>44</v>
      </c>
      <c r="E16" s="30">
        <v>0</v>
      </c>
      <c r="F16" s="33">
        <v>2421.809999999999</v>
      </c>
      <c r="G16" s="31">
        <v>-34.6</v>
      </c>
      <c r="H16" s="32">
        <f t="shared" si="1"/>
        <v>1.4286835053121432E-2</v>
      </c>
      <c r="I16" s="32">
        <f t="shared" si="2"/>
        <v>0.24841949249161191</v>
      </c>
      <c r="J16" s="33">
        <f t="shared" si="5"/>
        <v>601.62481111111038</v>
      </c>
      <c r="K16" s="33">
        <f t="shared" si="3"/>
        <v>13.673291161616145</v>
      </c>
      <c r="L16" s="30">
        <v>119</v>
      </c>
      <c r="M16" s="34">
        <f t="shared" si="6"/>
        <v>0.36974789915966388</v>
      </c>
      <c r="N16" s="30">
        <v>198</v>
      </c>
      <c r="O16" s="35">
        <f t="shared" ref="O16:P16" si="24">D16/7</f>
        <v>6.2857142857142856</v>
      </c>
      <c r="P16" s="35">
        <f t="shared" si="24"/>
        <v>0</v>
      </c>
      <c r="Q16" s="30">
        <f t="shared" si="8"/>
        <v>31</v>
      </c>
      <c r="R16" s="30"/>
      <c r="S16" s="36">
        <v>2.3342776203966</v>
      </c>
      <c r="T16" s="29">
        <v>455</v>
      </c>
      <c r="U16" s="37">
        <v>455</v>
      </c>
      <c r="V16" s="38" t="s">
        <v>580</v>
      </c>
      <c r="W16" s="29">
        <v>6</v>
      </c>
      <c r="X16" s="39">
        <f t="shared" si="9"/>
        <v>0.13636363636363635</v>
      </c>
      <c r="Y16" s="40">
        <f t="shared" si="10"/>
        <v>3.46</v>
      </c>
      <c r="Z16" s="29">
        <v>4</v>
      </c>
      <c r="AA16" s="29" t="s">
        <v>163</v>
      </c>
      <c r="AB16" s="41">
        <f t="shared" si="11"/>
        <v>-0.48</v>
      </c>
      <c r="AC16" s="42">
        <v>1.0305740740740741</v>
      </c>
      <c r="AD16" s="40">
        <f t="shared" si="12"/>
        <v>-43.531448888888889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54</v>
      </c>
      <c r="C17" s="16">
        <f t="shared" si="4"/>
        <v>54.899687499999992</v>
      </c>
      <c r="D17" s="30">
        <v>32</v>
      </c>
      <c r="E17" s="30">
        <v>0</v>
      </c>
      <c r="F17" s="33">
        <v>1756.7899999999997</v>
      </c>
      <c r="G17" s="31">
        <v>-33.880000000000003</v>
      </c>
      <c r="H17" s="32">
        <f t="shared" si="1"/>
        <v>1.9285173526716343E-2</v>
      </c>
      <c r="I17" s="32">
        <f t="shared" si="2"/>
        <v>0.24190799380941619</v>
      </c>
      <c r="J17" s="33">
        <f t="shared" si="5"/>
        <v>424.98154444444418</v>
      </c>
      <c r="K17" s="33">
        <f t="shared" si="3"/>
        <v>13.280673263888881</v>
      </c>
      <c r="L17" s="30">
        <v>97</v>
      </c>
      <c r="M17" s="34">
        <f t="shared" si="6"/>
        <v>0.32989690721649484</v>
      </c>
      <c r="N17" s="30">
        <v>166</v>
      </c>
      <c r="O17" s="35">
        <f t="shared" ref="O17:P17" si="25">D17/7</f>
        <v>4.5714285714285712</v>
      </c>
      <c r="P17" s="35">
        <f t="shared" si="25"/>
        <v>0</v>
      </c>
      <c r="Q17" s="30">
        <f t="shared" si="8"/>
        <v>36</v>
      </c>
      <c r="R17" s="30"/>
      <c r="S17" s="36">
        <v>2.6852713178294501</v>
      </c>
      <c r="T17" s="29">
        <v>455</v>
      </c>
      <c r="U17" s="37">
        <v>455</v>
      </c>
      <c r="V17" s="38" t="s">
        <v>580</v>
      </c>
      <c r="W17" s="29">
        <v>1</v>
      </c>
      <c r="X17" s="39">
        <f t="shared" si="9"/>
        <v>3.125E-2</v>
      </c>
      <c r="Y17" s="40">
        <f t="shared" si="10"/>
        <v>8.4700000000000006</v>
      </c>
      <c r="Z17" s="29">
        <v>3</v>
      </c>
      <c r="AA17" s="29" t="s">
        <v>163</v>
      </c>
      <c r="AB17" s="41">
        <f t="shared" si="11"/>
        <v>-0.48</v>
      </c>
      <c r="AC17" s="42">
        <v>1.0305740740740741</v>
      </c>
      <c r="AD17" s="40">
        <f t="shared" si="12"/>
        <v>-31.659235555555554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54</v>
      </c>
      <c r="C18" s="16">
        <f t="shared" si="4"/>
        <v>56.99</v>
      </c>
      <c r="D18" s="30">
        <v>25</v>
      </c>
      <c r="E18" s="30">
        <v>0</v>
      </c>
      <c r="F18" s="33">
        <v>1424.75</v>
      </c>
      <c r="G18" s="31">
        <v>-35.49</v>
      </c>
      <c r="H18" s="32">
        <f t="shared" si="1"/>
        <v>2.4909633268994563E-2</v>
      </c>
      <c r="I18" s="32">
        <f t="shared" si="2"/>
        <v>0.257880134916457</v>
      </c>
      <c r="J18" s="33">
        <f t="shared" si="5"/>
        <v>367.41472222222211</v>
      </c>
      <c r="K18" s="33">
        <f t="shared" si="3"/>
        <v>14.696588888888884</v>
      </c>
      <c r="L18" s="30">
        <v>131</v>
      </c>
      <c r="M18" s="34">
        <f t="shared" si="6"/>
        <v>0.19083969465648856</v>
      </c>
      <c r="N18" s="30">
        <v>139</v>
      </c>
      <c r="O18" s="35">
        <f t="shared" ref="O18:P18" si="26">D18/7</f>
        <v>3.5714285714285716</v>
      </c>
      <c r="P18" s="35">
        <f t="shared" si="26"/>
        <v>0</v>
      </c>
      <c r="Q18" s="30">
        <f t="shared" si="8"/>
        <v>38</v>
      </c>
      <c r="R18" s="30"/>
      <c r="S18" s="36">
        <v>2.1314217443249701</v>
      </c>
      <c r="T18" s="29">
        <v>455</v>
      </c>
      <c r="U18" s="37">
        <v>455</v>
      </c>
      <c r="V18" s="38" t="s">
        <v>581</v>
      </c>
      <c r="W18" s="29">
        <v>0</v>
      </c>
      <c r="X18" s="39">
        <f t="shared" si="9"/>
        <v>0</v>
      </c>
      <c r="Y18" s="40">
        <f t="shared" si="10"/>
        <v>8.8725000000000005</v>
      </c>
      <c r="Z18" s="29">
        <v>4</v>
      </c>
      <c r="AA18" s="29" t="s">
        <v>163</v>
      </c>
      <c r="AB18" s="41">
        <f t="shared" si="11"/>
        <v>-0.48</v>
      </c>
      <c r="AC18" s="42">
        <v>1.0305740740740741</v>
      </c>
      <c r="AD18" s="40">
        <f t="shared" si="12"/>
        <v>-24.733777777777778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54</v>
      </c>
      <c r="C19" s="16">
        <f t="shared" si="4"/>
        <v>56.99</v>
      </c>
      <c r="D19" s="30">
        <v>33</v>
      </c>
      <c r="E19" s="30">
        <v>0</v>
      </c>
      <c r="F19" s="33">
        <v>1880.67</v>
      </c>
      <c r="G19" s="31">
        <v>-35.06</v>
      </c>
      <c r="H19" s="32">
        <f t="shared" si="1"/>
        <v>1.8642292374526099E-2</v>
      </c>
      <c r="I19" s="32">
        <f t="shared" si="2"/>
        <v>0.26414747581092562</v>
      </c>
      <c r="J19" s="33">
        <f t="shared" si="5"/>
        <v>496.77423333333354</v>
      </c>
      <c r="K19" s="33">
        <f t="shared" si="3"/>
        <v>15.053764646464654</v>
      </c>
      <c r="L19" s="30">
        <v>144</v>
      </c>
      <c r="M19" s="34">
        <f t="shared" si="6"/>
        <v>0.22916666666666666</v>
      </c>
      <c r="N19" s="30">
        <v>109</v>
      </c>
      <c r="O19" s="35">
        <f t="shared" ref="O19:P19" si="27">D19/7</f>
        <v>4.7142857142857144</v>
      </c>
      <c r="P19" s="35">
        <f t="shared" si="27"/>
        <v>0</v>
      </c>
      <c r="Q19" s="30">
        <f t="shared" si="8"/>
        <v>23</v>
      </c>
      <c r="R19" s="30"/>
      <c r="S19" s="36">
        <v>1.96209587513935</v>
      </c>
      <c r="T19" s="29">
        <v>1239</v>
      </c>
      <c r="U19" s="37">
        <v>455</v>
      </c>
      <c r="V19" s="38" t="s">
        <v>581</v>
      </c>
      <c r="W19" s="29">
        <v>1</v>
      </c>
      <c r="X19" s="39">
        <f t="shared" si="9"/>
        <v>3.0303030303030304E-2</v>
      </c>
      <c r="Y19" s="40">
        <f t="shared" si="10"/>
        <v>11.686666666666667</v>
      </c>
      <c r="Z19" s="29">
        <v>2</v>
      </c>
      <c r="AA19" s="29" t="s">
        <v>163</v>
      </c>
      <c r="AB19" s="41">
        <f t="shared" si="11"/>
        <v>-0.48</v>
      </c>
      <c r="AC19" s="42">
        <v>1.0305740740740741</v>
      </c>
      <c r="AD19" s="40">
        <f t="shared" si="12"/>
        <v>-32.648586666666667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582</v>
      </c>
      <c r="C20" s="16">
        <f t="shared" si="4"/>
        <v>56.066486486486454</v>
      </c>
      <c r="D20" s="30">
        <v>37</v>
      </c>
      <c r="E20" s="30">
        <v>0</v>
      </c>
      <c r="F20" s="33">
        <v>2074.4599999999987</v>
      </c>
      <c r="G20" s="31">
        <v>-38.4</v>
      </c>
      <c r="H20" s="32">
        <f t="shared" si="1"/>
        <v>1.8510841375586912E-2</v>
      </c>
      <c r="I20" s="32">
        <f t="shared" si="2"/>
        <v>0.25493597798409606</v>
      </c>
      <c r="J20" s="33">
        <f t="shared" si="5"/>
        <v>528.85448888888754</v>
      </c>
      <c r="K20" s="33">
        <f t="shared" si="3"/>
        <v>14.293364564564529</v>
      </c>
      <c r="L20" s="30">
        <v>167</v>
      </c>
      <c r="M20" s="34">
        <f t="shared" si="6"/>
        <v>0.22155688622754491</v>
      </c>
      <c r="N20" s="30">
        <v>74</v>
      </c>
      <c r="O20" s="35">
        <f t="shared" ref="O20:P20" si="28">D20/7</f>
        <v>5.2857142857142856</v>
      </c>
      <c r="P20" s="35">
        <f t="shared" si="28"/>
        <v>0</v>
      </c>
      <c r="Q20" s="30">
        <f t="shared" si="8"/>
        <v>14</v>
      </c>
      <c r="R20" s="30"/>
      <c r="S20" s="36">
        <v>2.3790849673202601</v>
      </c>
      <c r="T20" s="29">
        <v>1239</v>
      </c>
      <c r="U20" s="37">
        <v>455</v>
      </c>
      <c r="V20" s="38" t="s">
        <v>583</v>
      </c>
      <c r="W20" s="29">
        <v>0</v>
      </c>
      <c r="X20" s="39">
        <f t="shared" si="9"/>
        <v>0</v>
      </c>
      <c r="Y20" s="40">
        <f t="shared" si="10"/>
        <v>6.3999999999999995</v>
      </c>
      <c r="Z20" s="29">
        <v>6</v>
      </c>
      <c r="AA20" s="29" t="s">
        <v>163</v>
      </c>
      <c r="AB20" s="41">
        <f t="shared" si="11"/>
        <v>-0.48</v>
      </c>
      <c r="AC20" s="42">
        <v>1.0305740740740741</v>
      </c>
      <c r="AD20" s="40">
        <f t="shared" si="12"/>
        <v>-36.605991111111109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556</v>
      </c>
      <c r="C21" s="16">
        <f t="shared" si="4"/>
        <v>58.543999999999997</v>
      </c>
      <c r="D21" s="30">
        <v>40</v>
      </c>
      <c r="E21" s="30">
        <v>0</v>
      </c>
      <c r="F21" s="33">
        <v>2341.7599999999998</v>
      </c>
      <c r="G21" s="31">
        <v>-34.980000000000004</v>
      </c>
      <c r="H21" s="32">
        <f t="shared" si="1"/>
        <v>1.4937482918830285E-2</v>
      </c>
      <c r="I21" s="32">
        <f t="shared" si="2"/>
        <v>0.28290839178889177</v>
      </c>
      <c r="J21" s="33">
        <f t="shared" si="5"/>
        <v>662.50355555555518</v>
      </c>
      <c r="K21" s="33">
        <f t="shared" si="3"/>
        <v>16.562588888888879</v>
      </c>
      <c r="L21" s="30">
        <v>110</v>
      </c>
      <c r="M21" s="34">
        <f t="shared" si="6"/>
        <v>0.36363636363636365</v>
      </c>
      <c r="N21" s="30">
        <v>34</v>
      </c>
      <c r="O21" s="35">
        <f t="shared" ref="O21:P21" si="29">D21/7</f>
        <v>5.7142857142857144</v>
      </c>
      <c r="P21" s="35">
        <f t="shared" si="29"/>
        <v>0</v>
      </c>
      <c r="Q21" s="30">
        <f t="shared" si="8"/>
        <v>5</v>
      </c>
      <c r="R21" s="30"/>
      <c r="S21" s="36">
        <v>3.2296819787985802</v>
      </c>
      <c r="T21" s="29">
        <v>1239</v>
      </c>
      <c r="U21" s="37">
        <v>455</v>
      </c>
      <c r="V21" s="38" t="s">
        <v>584</v>
      </c>
      <c r="W21" s="29">
        <v>2</v>
      </c>
      <c r="X21" s="39">
        <f t="shared" si="9"/>
        <v>0.05</v>
      </c>
      <c r="Y21" s="40">
        <f t="shared" si="10"/>
        <v>8.745000000000001</v>
      </c>
      <c r="Z21" s="29">
        <v>2</v>
      </c>
      <c r="AA21" s="29" t="s">
        <v>163</v>
      </c>
      <c r="AB21" s="41">
        <f t="shared" si="11"/>
        <v>-0.48</v>
      </c>
      <c r="AC21" s="42">
        <v>1.0305740740740741</v>
      </c>
      <c r="AD21" s="40">
        <f t="shared" si="12"/>
        <v>-39.574044444444439</v>
      </c>
      <c r="AE21" s="40">
        <v>-13.2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172</v>
      </c>
      <c r="C22" s="16">
        <f t="shared" si="4"/>
        <v>58.932916666666671</v>
      </c>
      <c r="D22" s="30">
        <v>24</v>
      </c>
      <c r="E22" s="30">
        <v>0</v>
      </c>
      <c r="F22" s="31">
        <v>1414.39</v>
      </c>
      <c r="G22" s="31">
        <v>-14.489999999999998</v>
      </c>
      <c r="H22" s="32">
        <f t="shared" si="1"/>
        <v>1.0244699128246097E-2</v>
      </c>
      <c r="I22" s="32">
        <f t="shared" si="2"/>
        <v>0.291245012573147</v>
      </c>
      <c r="J22" s="33">
        <f t="shared" si="5"/>
        <v>411.93403333333345</v>
      </c>
      <c r="K22" s="33">
        <f t="shared" si="3"/>
        <v>17.163918055555559</v>
      </c>
      <c r="L22" s="30">
        <v>51</v>
      </c>
      <c r="M22" s="34">
        <f t="shared" si="6"/>
        <v>0.47058823529411764</v>
      </c>
      <c r="N22" s="30">
        <v>3</v>
      </c>
      <c r="O22" s="35">
        <f t="shared" ref="O22:P22" si="30">D22/7</f>
        <v>3.4285714285714284</v>
      </c>
      <c r="P22" s="35">
        <f t="shared" si="30"/>
        <v>0</v>
      </c>
      <c r="Q22" s="30">
        <f t="shared" si="8"/>
        <v>0</v>
      </c>
      <c r="R22" s="30"/>
      <c r="S22" s="36">
        <v>4.2755344418052204</v>
      </c>
      <c r="T22" s="29">
        <v>1239</v>
      </c>
      <c r="U22" s="37">
        <v>455</v>
      </c>
      <c r="V22" s="38" t="s">
        <v>584</v>
      </c>
      <c r="W22" s="29">
        <v>0</v>
      </c>
      <c r="X22" s="39">
        <f t="shared" si="9"/>
        <v>0</v>
      </c>
      <c r="Y22" s="40">
        <f t="shared" si="10"/>
        <v>4.8299999999999992</v>
      </c>
      <c r="Z22" s="29">
        <v>3</v>
      </c>
      <c r="AA22" s="29" t="s">
        <v>163</v>
      </c>
      <c r="AB22" s="41">
        <f t="shared" si="11"/>
        <v>-0.48</v>
      </c>
      <c r="AC22" s="42">
        <v>1.0305740740740741</v>
      </c>
      <c r="AD22" s="40">
        <f t="shared" si="12"/>
        <v>-23.744426666666666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172</v>
      </c>
      <c r="C23" s="16">
        <f t="shared" si="4"/>
        <v>59.99</v>
      </c>
      <c r="D23" s="30">
        <v>1</v>
      </c>
      <c r="E23" s="30">
        <v>0</v>
      </c>
      <c r="F23" s="33">
        <v>59.99</v>
      </c>
      <c r="G23" s="31">
        <v>-5.5600000000000005</v>
      </c>
      <c r="H23" s="32">
        <f t="shared" si="1"/>
        <v>9.268211368561427E-2</v>
      </c>
      <c r="I23" s="32">
        <f t="shared" si="2"/>
        <v>0.2349648274712452</v>
      </c>
      <c r="J23" s="33">
        <f t="shared" si="5"/>
        <v>14.09554</v>
      </c>
      <c r="K23" s="33">
        <f t="shared" si="3"/>
        <v>14.09554</v>
      </c>
      <c r="L23" s="30">
        <v>9</v>
      </c>
      <c r="M23" s="34">
        <f t="shared" si="6"/>
        <v>0.1111111111111111</v>
      </c>
      <c r="N23" s="30">
        <v>1</v>
      </c>
      <c r="O23" s="35">
        <f t="shared" ref="O23:P23" si="31">D23/7</f>
        <v>0.14285714285714285</v>
      </c>
      <c r="P23" s="35">
        <f t="shared" si="31"/>
        <v>0</v>
      </c>
      <c r="Q23" s="30">
        <f t="shared" si="8"/>
        <v>7</v>
      </c>
      <c r="R23" s="30"/>
      <c r="S23" s="36">
        <v>2.4610866372980902</v>
      </c>
      <c r="T23" s="29">
        <v>784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 t="e">
        <v>#N/A</v>
      </c>
      <c r="AD23" s="40">
        <f t="shared" si="12"/>
        <v>0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507</v>
      </c>
      <c r="C24" s="16">
        <f t="shared" si="4"/>
        <v>59.99</v>
      </c>
      <c r="D24" s="30">
        <v>6</v>
      </c>
      <c r="E24" s="30">
        <v>0</v>
      </c>
      <c r="F24" s="33">
        <v>359.94</v>
      </c>
      <c r="G24" s="33">
        <v>-23.569999999999993</v>
      </c>
      <c r="H24" s="32">
        <f t="shared" si="1"/>
        <v>6.5483136078235249E-2</v>
      </c>
      <c r="I24" s="32">
        <f t="shared" si="2"/>
        <v>0.24567187123779896</v>
      </c>
      <c r="J24" s="33">
        <f t="shared" si="5"/>
        <v>88.427133333333359</v>
      </c>
      <c r="K24" s="33">
        <f t="shared" si="3"/>
        <v>14.73785555555556</v>
      </c>
      <c r="L24" s="30">
        <v>38</v>
      </c>
      <c r="M24" s="34">
        <f t="shared" si="6"/>
        <v>0.15789473684210525</v>
      </c>
      <c r="N24" s="30">
        <v>456</v>
      </c>
      <c r="O24" s="35">
        <f t="shared" ref="O24:P24" si="32">D24/7</f>
        <v>0.8571428571428571</v>
      </c>
      <c r="P24" s="35">
        <f t="shared" si="32"/>
        <v>0</v>
      </c>
      <c r="Q24" s="30">
        <f t="shared" si="8"/>
        <v>532</v>
      </c>
      <c r="R24" s="30"/>
      <c r="S24" s="36">
        <v>1.5076335877862499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Summary!A1:AD5000""),9,FALSE),"""")"),1064)</f>
        <v>1064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Summary!A1:AD5000""),28,FALSE),"""")"),280)</f>
        <v>280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AGL229: 280 - 08/22/21")</f>
        <v xml:space="preserve"> | AGL229: 280 - 08/22/21</v>
      </c>
      <c r="W24" s="29">
        <v>0</v>
      </c>
      <c r="X24" s="39">
        <f t="shared" si="9"/>
        <v>0</v>
      </c>
      <c r="Y24" s="40">
        <f t="shared" si="10"/>
        <v>23.569999999999993</v>
      </c>
      <c r="Z24" s="29">
        <v>1</v>
      </c>
      <c r="AA24" s="29" t="s">
        <v>163</v>
      </c>
      <c r="AB24" s="41">
        <f t="shared" si="11"/>
        <v>-0.48</v>
      </c>
      <c r="AC24" s="42">
        <v>1.0305740740740741</v>
      </c>
      <c r="AD24" s="40">
        <f t="shared" si="12"/>
        <v>-5.9361066666666664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585</v>
      </c>
      <c r="C25" s="16">
        <f t="shared" si="4"/>
        <v>59.051000000000002</v>
      </c>
      <c r="D25" s="17">
        <v>10</v>
      </c>
      <c r="E25" s="17">
        <v>0</v>
      </c>
      <c r="F25" s="18">
        <v>590.51</v>
      </c>
      <c r="G25" s="18">
        <v>-40.369999999999997</v>
      </c>
      <c r="H25" s="32">
        <f t="shared" si="1"/>
        <v>6.8364633960474847E-2</v>
      </c>
      <c r="I25" s="32">
        <f t="shared" si="2"/>
        <v>0.23415350948991362</v>
      </c>
      <c r="J25" s="33">
        <f t="shared" si="5"/>
        <v>138.26998888888889</v>
      </c>
      <c r="K25" s="33">
        <f t="shared" si="3"/>
        <v>13.826998888888889</v>
      </c>
      <c r="L25" s="17">
        <v>129</v>
      </c>
      <c r="M25" s="34">
        <f t="shared" si="6"/>
        <v>7.7519379844961239E-2</v>
      </c>
      <c r="N25" s="17">
        <v>445</v>
      </c>
      <c r="O25" s="35">
        <f t="shared" ref="O25:P25" si="33">D25/7</f>
        <v>1.4285714285714286</v>
      </c>
      <c r="P25" s="35">
        <f t="shared" si="33"/>
        <v>0</v>
      </c>
      <c r="Q25" s="30">
        <f t="shared" si="8"/>
        <v>311</v>
      </c>
      <c r="R25" s="30"/>
      <c r="S25" s="36">
        <v>1.5076335877862499</v>
      </c>
      <c r="T25" s="29">
        <v>784</v>
      </c>
      <c r="U25" s="37" t="s">
        <v>34</v>
      </c>
      <c r="V25" s="38" t="s">
        <v>34</v>
      </c>
      <c r="W25" s="15">
        <v>1</v>
      </c>
      <c r="X25" s="39">
        <f t="shared" si="9"/>
        <v>0.1</v>
      </c>
      <c r="Y25" s="40">
        <f t="shared" si="10"/>
        <v>10.092499999999999</v>
      </c>
      <c r="Z25" s="15">
        <v>3</v>
      </c>
      <c r="AA25" s="29" t="s">
        <v>163</v>
      </c>
      <c r="AB25" s="41">
        <f t="shared" si="11"/>
        <v>-0.48</v>
      </c>
      <c r="AC25" s="42">
        <v>1.0305740740740741</v>
      </c>
      <c r="AD25" s="40">
        <f t="shared" si="12"/>
        <v>-9.8935111111111098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586</v>
      </c>
      <c r="C26" s="16">
        <f t="shared" si="4"/>
        <v>56.954999999999998</v>
      </c>
      <c r="D26" s="17">
        <v>2</v>
      </c>
      <c r="E26" s="17">
        <v>1</v>
      </c>
      <c r="F26" s="18">
        <v>113.91</v>
      </c>
      <c r="G26" s="18">
        <v>-23.35</v>
      </c>
      <c r="H26" s="32">
        <f t="shared" si="1"/>
        <v>0.20498639276621897</v>
      </c>
      <c r="I26" s="32">
        <f t="shared" si="2"/>
        <v>7.0431724851003241E-2</v>
      </c>
      <c r="J26" s="33">
        <f t="shared" si="5"/>
        <v>8.0228777777777793</v>
      </c>
      <c r="K26" s="33">
        <f t="shared" si="3"/>
        <v>4.0114388888888897</v>
      </c>
      <c r="L26" s="17">
        <v>129</v>
      </c>
      <c r="M26" s="34">
        <f t="shared" si="6"/>
        <v>1.5503875968992248E-2</v>
      </c>
      <c r="N26" s="17">
        <v>445</v>
      </c>
      <c r="O26" s="35">
        <f t="shared" ref="O26:P26" si="34">D26/7</f>
        <v>0.2857142857142857</v>
      </c>
      <c r="P26" s="35">
        <f t="shared" si="34"/>
        <v>0.14285714285714285</v>
      </c>
      <c r="Q26" s="30">
        <f t="shared" si="8"/>
        <v>1038</v>
      </c>
      <c r="R26" s="30"/>
      <c r="S26" s="22">
        <v>1.5088607594936709</v>
      </c>
      <c r="T26" s="29">
        <v>1064</v>
      </c>
      <c r="U26" s="37">
        <v>280</v>
      </c>
      <c r="V26" s="38" t="s">
        <v>587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1.0305740740740741</v>
      </c>
      <c r="AD26" s="40">
        <f t="shared" si="12"/>
        <v>-1.9787022222222221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588</v>
      </c>
      <c r="C27" s="16">
        <f t="shared" si="4"/>
        <v>53.997142857142862</v>
      </c>
      <c r="D27" s="17">
        <v>7</v>
      </c>
      <c r="E27" s="17">
        <v>0</v>
      </c>
      <c r="F27" s="18">
        <v>377.98</v>
      </c>
      <c r="G27" s="18">
        <v>-18.82</v>
      </c>
      <c r="H27" s="32">
        <f t="shared" si="1"/>
        <v>4.9790994232499074E-2</v>
      </c>
      <c r="I27" s="32">
        <f t="shared" si="2"/>
        <v>0.19415265945876028</v>
      </c>
      <c r="J27" s="33">
        <f t="shared" si="5"/>
        <v>73.385822222222217</v>
      </c>
      <c r="K27" s="33">
        <f t="shared" si="3"/>
        <v>10.483688888888889</v>
      </c>
      <c r="L27" s="17">
        <v>145</v>
      </c>
      <c r="M27" s="34">
        <f t="shared" si="6"/>
        <v>4.8275862068965517E-2</v>
      </c>
      <c r="N27" s="17">
        <v>439</v>
      </c>
      <c r="O27" s="35">
        <f t="shared" ref="O27:P27" si="35">D27/7</f>
        <v>1</v>
      </c>
      <c r="P27" s="35">
        <f t="shared" si="35"/>
        <v>0</v>
      </c>
      <c r="Q27" s="30">
        <f t="shared" si="8"/>
        <v>439</v>
      </c>
      <c r="R27" s="30"/>
      <c r="S27" s="22">
        <v>1.213379469434833</v>
      </c>
      <c r="T27" s="29">
        <v>1064</v>
      </c>
      <c r="U27" s="37">
        <v>280</v>
      </c>
      <c r="V27" s="38" t="s">
        <v>587</v>
      </c>
      <c r="W27" s="15">
        <v>0</v>
      </c>
      <c r="X27" s="39">
        <f t="shared" si="9"/>
        <v>0</v>
      </c>
      <c r="Y27" s="40">
        <f t="shared" si="10"/>
        <v>9.41</v>
      </c>
      <c r="Z27" s="15">
        <v>2</v>
      </c>
      <c r="AA27" s="29" t="s">
        <v>163</v>
      </c>
      <c r="AB27" s="41">
        <f t="shared" si="11"/>
        <v>-0.48</v>
      </c>
      <c r="AC27" s="42">
        <v>1.0305740740740741</v>
      </c>
      <c r="AD27" s="40">
        <f t="shared" si="12"/>
        <v>-6.9254577777777779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412</v>
      </c>
      <c r="C28" s="16">
        <f t="shared" si="4"/>
        <v>51.197128712871283</v>
      </c>
      <c r="D28" s="17">
        <v>101</v>
      </c>
      <c r="E28" s="17">
        <v>0</v>
      </c>
      <c r="F28" s="18">
        <v>5170.91</v>
      </c>
      <c r="G28" s="18">
        <v>-16.3</v>
      </c>
      <c r="H28" s="32">
        <f t="shared" si="1"/>
        <v>3.1522497974244379E-3</v>
      </c>
      <c r="I28" s="32">
        <f t="shared" si="2"/>
        <v>0.2076456712218501</v>
      </c>
      <c r="J28" s="33">
        <f t="shared" si="5"/>
        <v>1073.7170777777769</v>
      </c>
      <c r="K28" s="33">
        <f t="shared" si="3"/>
        <v>10.630862156215613</v>
      </c>
      <c r="L28" s="17">
        <v>318</v>
      </c>
      <c r="M28" s="34">
        <f t="shared" si="6"/>
        <v>0.31761006289308175</v>
      </c>
      <c r="N28" s="17">
        <v>379</v>
      </c>
      <c r="O28" s="35">
        <f t="shared" ref="O28:P28" si="36">D28/7</f>
        <v>14.428571428571429</v>
      </c>
      <c r="P28" s="35">
        <f t="shared" si="36"/>
        <v>0</v>
      </c>
      <c r="Q28" s="30">
        <f t="shared" si="8"/>
        <v>26</v>
      </c>
      <c r="R28" s="30"/>
      <c r="S28" s="22">
        <v>1.6890080428954419</v>
      </c>
      <c r="T28" s="15" t="s">
        <v>34</v>
      </c>
      <c r="U28" s="23">
        <v>280</v>
      </c>
      <c r="V28" s="1" t="s">
        <v>589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163</v>
      </c>
      <c r="AB28" s="41">
        <f t="shared" si="11"/>
        <v>-0.48</v>
      </c>
      <c r="AC28" s="42">
        <v>1.0305740740740741</v>
      </c>
      <c r="AD28" s="40">
        <f t="shared" si="12"/>
        <v>-99.924462222222218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590</v>
      </c>
      <c r="C29" s="16">
        <f t="shared" si="4"/>
        <v>56.293846153846154</v>
      </c>
      <c r="D29" s="17">
        <v>65</v>
      </c>
      <c r="E29" s="17">
        <v>0</v>
      </c>
      <c r="F29" s="18">
        <v>3659.1</v>
      </c>
      <c r="G29" s="18">
        <v>-12.1</v>
      </c>
      <c r="H29" s="32">
        <f t="shared" si="1"/>
        <v>3.3068240824246399E-3</v>
      </c>
      <c r="I29" s="32">
        <f t="shared" si="2"/>
        <v>0.2294145264246065</v>
      </c>
      <c r="J29" s="33">
        <f t="shared" si="5"/>
        <v>839.45069364027756</v>
      </c>
      <c r="K29" s="33">
        <f t="shared" si="3"/>
        <v>12.91462605600427</v>
      </c>
      <c r="L29" s="17">
        <v>230</v>
      </c>
      <c r="M29" s="34">
        <f t="shared" si="6"/>
        <v>0.28260869565217389</v>
      </c>
      <c r="N29" s="17">
        <v>279</v>
      </c>
      <c r="O29" s="35">
        <f t="shared" ref="O29:P29" si="37">D29/7</f>
        <v>9.2857142857142865</v>
      </c>
      <c r="P29" s="35">
        <f t="shared" si="37"/>
        <v>0</v>
      </c>
      <c r="Q29" s="30">
        <f t="shared" si="8"/>
        <v>30</v>
      </c>
      <c r="R29" s="30"/>
      <c r="S29" s="22">
        <v>1.43859649122807</v>
      </c>
      <c r="T29" s="15" t="s">
        <v>34</v>
      </c>
      <c r="U29" s="23">
        <v>280</v>
      </c>
      <c r="V29" s="1" t="s">
        <v>589</v>
      </c>
      <c r="W29" s="15">
        <v>0</v>
      </c>
      <c r="X29" s="39">
        <f t="shared" si="9"/>
        <v>0</v>
      </c>
      <c r="Y29" s="40">
        <f t="shared" si="10"/>
        <v>6.05</v>
      </c>
      <c r="Z29" s="15">
        <v>2</v>
      </c>
      <c r="AA29" s="29" t="s">
        <v>163</v>
      </c>
      <c r="AB29" s="41">
        <f t="shared" si="11"/>
        <v>-0.48</v>
      </c>
      <c r="AC29" s="42">
        <v>1.0305740740740741</v>
      </c>
      <c r="AD29" s="40">
        <f t="shared" si="12"/>
        <v>-64.307822222222214</v>
      </c>
      <c r="AE29" s="26">
        <v>-13.6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485</v>
      </c>
      <c r="C30" s="16">
        <f t="shared" si="4"/>
        <v>68.146216216216189</v>
      </c>
      <c r="D30" s="17">
        <v>37</v>
      </c>
      <c r="E30" s="17">
        <v>0</v>
      </c>
      <c r="F30" s="18">
        <v>2521.4099999999989</v>
      </c>
      <c r="G30" s="18">
        <v>0</v>
      </c>
      <c r="H30" s="32">
        <f t="shared" si="1"/>
        <v>0</v>
      </c>
      <c r="I30" s="32">
        <f t="shared" si="2"/>
        <v>0.31188550264093834</v>
      </c>
      <c r="J30" s="33">
        <f t="shared" si="5"/>
        <v>786.39122521388799</v>
      </c>
      <c r="K30" s="33">
        <f t="shared" si="3"/>
        <v>21.25381689767265</v>
      </c>
      <c r="L30" s="17">
        <v>98</v>
      </c>
      <c r="M30" s="34">
        <f t="shared" si="6"/>
        <v>0.37755102040816324</v>
      </c>
      <c r="N30" s="17">
        <v>243</v>
      </c>
      <c r="O30" s="35">
        <f t="shared" ref="O30:P30" si="38">D30/7</f>
        <v>5.2857142857142856</v>
      </c>
      <c r="P30" s="35">
        <f t="shared" si="38"/>
        <v>0</v>
      </c>
      <c r="Q30" s="30">
        <f t="shared" si="8"/>
        <v>45</v>
      </c>
      <c r="R30" s="30"/>
      <c r="S30" s="22">
        <v>1.591534391534392</v>
      </c>
      <c r="T30" s="15" t="s">
        <v>34</v>
      </c>
      <c r="U30" s="23">
        <v>280</v>
      </c>
      <c r="V30" s="1" t="s">
        <v>589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1.0305740740740741</v>
      </c>
      <c r="AD30" s="40">
        <f t="shared" si="12"/>
        <v>-36.605991111111109</v>
      </c>
      <c r="AE30" s="26">
        <v>-13.6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29" t="s">
        <v>484</v>
      </c>
      <c r="C31" s="16">
        <f t="shared" si="4"/>
        <v>71.168333333333337</v>
      </c>
      <c r="D31" s="17">
        <v>18</v>
      </c>
      <c r="E31" s="17">
        <v>1</v>
      </c>
      <c r="F31" s="18">
        <v>1281.03</v>
      </c>
      <c r="G31" s="18">
        <v>-0.22</v>
      </c>
      <c r="H31" s="32">
        <f t="shared" si="1"/>
        <v>1.717368055392926E-4</v>
      </c>
      <c r="I31" s="32">
        <f t="shared" si="2"/>
        <v>0.33456444895904069</v>
      </c>
      <c r="J31" s="33">
        <f t="shared" si="5"/>
        <v>428.5870960499999</v>
      </c>
      <c r="K31" s="33">
        <f t="shared" si="3"/>
        <v>23.810394224999996</v>
      </c>
      <c r="L31" s="17">
        <v>113</v>
      </c>
      <c r="M31" s="34">
        <f t="shared" si="6"/>
        <v>0.15929203539823009</v>
      </c>
      <c r="N31" s="17">
        <v>220</v>
      </c>
      <c r="O31" s="35">
        <f t="shared" ref="O31:P31" si="39">D31/7</f>
        <v>2.5714285714285716</v>
      </c>
      <c r="P31" s="35">
        <f t="shared" si="39"/>
        <v>0.14285714285714285</v>
      </c>
      <c r="Q31" s="30">
        <f t="shared" si="8"/>
        <v>81</v>
      </c>
      <c r="R31" s="30"/>
      <c r="S31" s="22">
        <v>1.77935943060498</v>
      </c>
      <c r="T31" s="15">
        <v>504</v>
      </c>
      <c r="U31" s="23">
        <v>280</v>
      </c>
      <c r="V31" s="1" t="s">
        <v>591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1.0305740740740741</v>
      </c>
      <c r="AD31" s="40">
        <f t="shared" si="12"/>
        <v>-17.808319999999998</v>
      </c>
      <c r="AE31" s="26">
        <v>-13.6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44" t="s">
        <v>54</v>
      </c>
      <c r="C32" s="16">
        <f t="shared" si="4"/>
        <v>68.007777777777775</v>
      </c>
      <c r="D32" s="17">
        <v>27</v>
      </c>
      <c r="E32" s="17">
        <v>0</v>
      </c>
      <c r="F32" s="18">
        <v>1836.21</v>
      </c>
      <c r="G32" s="18">
        <v>-0.16</v>
      </c>
      <c r="H32" s="32">
        <f t="shared" si="1"/>
        <v>8.7136002962624097E-5</v>
      </c>
      <c r="I32" s="32">
        <f t="shared" si="2"/>
        <v>0.31070296647714568</v>
      </c>
      <c r="J32" s="33">
        <f t="shared" si="5"/>
        <v>570.51589407499966</v>
      </c>
      <c r="K32" s="33">
        <f t="shared" si="3"/>
        <v>21.130218299074063</v>
      </c>
      <c r="L32" s="17">
        <v>186</v>
      </c>
      <c r="M32" s="34">
        <f t="shared" si="6"/>
        <v>0.14516129032258066</v>
      </c>
      <c r="N32" s="17">
        <v>199</v>
      </c>
      <c r="O32" s="35">
        <f t="shared" ref="O32:P32" si="40">D32/7</f>
        <v>3.8571428571428572</v>
      </c>
      <c r="P32" s="35">
        <f t="shared" si="40"/>
        <v>0</v>
      </c>
      <c r="Q32" s="30">
        <f t="shared" si="8"/>
        <v>51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2.024691358024691</v>
      </c>
      <c r="T32" s="15">
        <f ca="1">IFERROR(__xludf.DUMMYFUNCTION("IFERROR(VLOOKUP($B$2,IMPORTRANGE(""https://docs.google.com/spreadsheets/d/1KiWZV1ko8G7lnRucBRBd29jj3Be6ltMfljMDqzOkQmI/edit#gid=1381463014"",""Lookup!A:D""),4,FALSE),"""")"),504)</f>
        <v>504</v>
      </c>
      <c r="U32" s="23">
        <f ca="1">IFERROR(__xludf.DUMMYFUNCTION("IFERROR(VLOOKUP($B$2,IMPORTRANGE(""https://docs.google.com/spreadsheets/d/1KiWZV1ko8G7lnRucBRBd29jj3Be6ltMfljMDqzOkQmI/edit#gid=1381463014"",""Lookup!A:D""),3,FALSE),"""")"),280)</f>
        <v>280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- 280 units 08/22")</f>
        <v>| AGL229  - 280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1.0305740740740741</v>
      </c>
      <c r="AD32" s="40">
        <f t="shared" si="12"/>
        <v>-26.712479999999999</v>
      </c>
      <c r="AE32" s="26">
        <v>-13.6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11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47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2.1640625" customWidth="1"/>
    <col min="28" max="28" width="11.1640625" customWidth="1"/>
    <col min="29" max="29" width="8.1640625" customWidth="1"/>
    <col min="30" max="30" width="12.5" customWidth="1"/>
    <col min="31" max="31" width="8.6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Info!B1:BJ5000""),3,FALSE),"""")"),"Wooden A-Frame Sign with Eraser &amp; Chalk - 40"" x 20"" Magnetic Sidewalk Chalkboard – Sturdy Freestanding White Sandwich Board Menu Display for Restaurant, Business or Wedding")</f>
        <v>Wooden A-Frame Sign with Eraser &amp; Chalk - 40" x 20" Magnetic Sidewalk Chalkboard – Sturdy Freestanding White Sandwich Board Menu Display for Restaurant, Business or Wedding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Info!B1:BJ5000""),2,FALSE),"""")"),"B07CN9RQ7C")</f>
        <v>B07CN9RQ7C</v>
      </c>
      <c r="B2" s="3" t="s">
        <v>592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92" x14ac:dyDescent="0.2">
      <c r="A3" s="57" t="s">
        <v>31</v>
      </c>
      <c r="B3" s="58"/>
      <c r="C3" s="4">
        <f>((AE32+AF32)/0.85)*-1</f>
        <v>41.977783264705884</v>
      </c>
      <c r="D3" s="5">
        <f>SUM(D4:D99519)</f>
        <v>916</v>
      </c>
      <c r="E3" s="5"/>
      <c r="F3" s="6">
        <f t="shared" ref="F3:G3" si="0">SUM(F4:F99519)</f>
        <v>51852.639999999985</v>
      </c>
      <c r="G3" s="6">
        <f t="shared" si="0"/>
        <v>-312.41999999999985</v>
      </c>
      <c r="H3" s="7">
        <f t="shared" ref="H3:H32" si="1">G3/F3*-1</f>
        <v>6.0251512748434781E-3</v>
      </c>
      <c r="I3" s="8">
        <f t="shared" ref="I3:I32" si="2">J3/F3</f>
        <v>0.26465733070151004</v>
      </c>
      <c r="J3" s="6">
        <f>SUM(J4:J99519)</f>
        <v>13723.181292226343</v>
      </c>
      <c r="K3" s="6">
        <f t="shared" ref="K3:K32" si="3">J3/D3</f>
        <v>14.981638965312602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Sheet!a1:g5000""),2,FALSE),"""")"),"5 - March
6 - April
7 - May
8 - June
8 - July
7 - Aug
7 - Sept
5 - Oct
2 - Nov
2 - Dec
5 - Jan
5 - Feb")</f>
        <v>5 - March
6 - April
7 - May
8 - June
8 - July
7 - Aug
7 - Sept
5 - Oct
2 - Nov
2 - Dec
5 - Jan
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24</v>
      </c>
      <c r="X3" s="7">
        <f>W3/D3</f>
        <v>2.6200873362445413E-2</v>
      </c>
      <c r="Y3" s="6"/>
      <c r="Z3" s="5"/>
      <c r="AA3" s="5"/>
      <c r="AB3" s="5"/>
      <c r="AC3" s="5"/>
      <c r="AD3" s="6">
        <f>SUM(AD4:AD99519)</f>
        <v>-980.59555686365366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Info!B2:BZ3000""),37,FALSE)),"""")*-1"),-22.081115775)</f>
        <v>-22.081115775000001</v>
      </c>
      <c r="AG3" s="6">
        <f>SUM(AG4:AG99519)</f>
        <v>0</v>
      </c>
    </row>
    <row r="4" spans="1:33" x14ac:dyDescent="0.2">
      <c r="A4" s="15" t="s">
        <v>32</v>
      </c>
      <c r="B4" s="15" t="s">
        <v>593</v>
      </c>
      <c r="C4" s="16">
        <f t="shared" ref="C4:C32" si="4">IFERROR(F4/D4," - ")</f>
        <v>54.056111111111107</v>
      </c>
      <c r="D4" s="17">
        <v>18</v>
      </c>
      <c r="E4" s="17">
        <v>0</v>
      </c>
      <c r="F4" s="18">
        <v>973.01</v>
      </c>
      <c r="G4" s="18">
        <v>-15.36</v>
      </c>
      <c r="H4" s="19">
        <f t="shared" si="1"/>
        <v>1.5786065919158074E-2</v>
      </c>
      <c r="I4" s="19">
        <f t="shared" si="2"/>
        <v>0.26188570518288601</v>
      </c>
      <c r="J4" s="18">
        <f t="shared" ref="J4:J32" si="5">F4*0.85+G4+AF4*D4+D4*AE4+AG4+AD4</f>
        <v>254.81740999999994</v>
      </c>
      <c r="K4" s="18">
        <f t="shared" si="3"/>
        <v>14.156522777777774</v>
      </c>
      <c r="L4" s="17">
        <v>44</v>
      </c>
      <c r="M4" s="20">
        <f t="shared" ref="M4:M32" si="6">IFERROR(D4/L4,"-")</f>
        <v>0.40909090909090912</v>
      </c>
      <c r="N4" s="17">
        <v>108</v>
      </c>
      <c r="O4" s="21">
        <f t="shared" ref="O4:P4" si="7">D4/7</f>
        <v>2.5714285714285716</v>
      </c>
      <c r="P4" s="21">
        <f t="shared" si="7"/>
        <v>0</v>
      </c>
      <c r="Q4" s="17">
        <f t="shared" ref="Q4:Q32" si="8">ROUNDDOWN(N4/(O4+P4),0)</f>
        <v>42</v>
      </c>
      <c r="R4" s="17"/>
      <c r="S4" s="22">
        <v>2.4635761589403899</v>
      </c>
      <c r="T4" s="15">
        <v>481</v>
      </c>
      <c r="U4" s="23">
        <v>200</v>
      </c>
      <c r="V4" s="24" t="s">
        <v>388</v>
      </c>
      <c r="W4" s="15">
        <v>1</v>
      </c>
      <c r="X4" s="25">
        <f t="shared" ref="X4:X32" si="9">IFERROR(W4/D4,0)</f>
        <v>5.5555555555555552E-2</v>
      </c>
      <c r="Y4" s="26">
        <f t="shared" ref="Y4:Y32" si="10">IFERROR(G4/(W4+Z4)*-1,0)</f>
        <v>15.36</v>
      </c>
      <c r="Z4" s="15">
        <v>0</v>
      </c>
      <c r="AA4" s="2" t="s">
        <v>163</v>
      </c>
      <c r="AB4" s="27">
        <f t="shared" ref="AB4:AB32" si="11">IF(OR(AA4="UsLargeStandardSize",AA4="UsSmallStandardSize"),-0.69,-0.48)</f>
        <v>-0.48</v>
      </c>
      <c r="AC4" s="28">
        <v>1.1150902777777778</v>
      </c>
      <c r="AD4" s="26">
        <f t="shared" ref="AD4:AD32" si="12">IFERROR(AB4*AC4*D4*2,0)</f>
        <v>-19.26876</v>
      </c>
      <c r="AE4" s="26">
        <v>-13.2</v>
      </c>
      <c r="AF4" s="26">
        <v>-16.667351666666669</v>
      </c>
      <c r="AG4" s="26">
        <v>0</v>
      </c>
    </row>
    <row r="5" spans="1:33" ht="15.75" customHeight="1" x14ac:dyDescent="0.2">
      <c r="A5" s="29" t="s">
        <v>36</v>
      </c>
      <c r="B5" s="15" t="s">
        <v>569</v>
      </c>
      <c r="C5" s="16">
        <f t="shared" si="4"/>
        <v>50.434999999999995</v>
      </c>
      <c r="D5" s="30">
        <v>24</v>
      </c>
      <c r="E5" s="30">
        <v>0</v>
      </c>
      <c r="F5" s="31">
        <v>1210.4399999999998</v>
      </c>
      <c r="G5" s="31">
        <v>-12.330000000000002</v>
      </c>
      <c r="H5" s="32">
        <f t="shared" si="1"/>
        <v>1.0186378506989197E-2</v>
      </c>
      <c r="I5" s="32">
        <f t="shared" si="2"/>
        <v>0.22636901441047275</v>
      </c>
      <c r="J5" s="33">
        <f t="shared" si="5"/>
        <v>274.00610980301258</v>
      </c>
      <c r="K5" s="33">
        <f t="shared" si="3"/>
        <v>11.41692124179219</v>
      </c>
      <c r="L5" s="30">
        <v>89</v>
      </c>
      <c r="M5" s="34">
        <f t="shared" si="6"/>
        <v>0.2696629213483146</v>
      </c>
      <c r="N5" s="30">
        <v>270</v>
      </c>
      <c r="O5" s="35">
        <f t="shared" ref="O5:P5" si="13">D5/7</f>
        <v>3.4285714285714284</v>
      </c>
      <c r="P5" s="35">
        <f t="shared" si="13"/>
        <v>0</v>
      </c>
      <c r="Q5" s="30">
        <f t="shared" si="8"/>
        <v>78</v>
      </c>
      <c r="R5" s="30"/>
      <c r="S5" s="36">
        <v>1.79179810725552</v>
      </c>
      <c r="T5" s="29">
        <v>481</v>
      </c>
      <c r="U5" s="37">
        <v>200</v>
      </c>
      <c r="V5" s="38" t="s">
        <v>388</v>
      </c>
      <c r="W5" s="29">
        <v>0</v>
      </c>
      <c r="X5" s="39">
        <f t="shared" si="9"/>
        <v>0</v>
      </c>
      <c r="Y5" s="40">
        <f t="shared" si="10"/>
        <v>12.330000000000002</v>
      </c>
      <c r="Z5" s="29">
        <v>1</v>
      </c>
      <c r="AA5" s="29" t="s">
        <v>163</v>
      </c>
      <c r="AB5" s="41">
        <f t="shared" si="11"/>
        <v>-0.48</v>
      </c>
      <c r="AC5" s="42">
        <v>1.1163823870220164</v>
      </c>
      <c r="AD5" s="40">
        <f t="shared" si="12"/>
        <v>-25.721450196987256</v>
      </c>
      <c r="AE5" s="40">
        <v>-13.2</v>
      </c>
      <c r="AF5" s="40">
        <v>-16.667351666666669</v>
      </c>
      <c r="AG5" s="40">
        <v>0</v>
      </c>
    </row>
    <row r="6" spans="1:33" ht="15.75" customHeight="1" x14ac:dyDescent="0.2">
      <c r="A6" s="29" t="s">
        <v>38</v>
      </c>
      <c r="B6" s="29" t="s">
        <v>571</v>
      </c>
      <c r="C6" s="16">
        <f t="shared" si="4"/>
        <v>49.99</v>
      </c>
      <c r="D6" s="30">
        <v>37</v>
      </c>
      <c r="E6" s="30">
        <v>0</v>
      </c>
      <c r="F6" s="31">
        <v>1849.63</v>
      </c>
      <c r="G6" s="31">
        <v>-8.92</v>
      </c>
      <c r="H6" s="32">
        <f t="shared" si="1"/>
        <v>4.8225861388493914E-3</v>
      </c>
      <c r="I6" s="32">
        <f t="shared" si="2"/>
        <v>0.22629687108592883</v>
      </c>
      <c r="J6" s="33">
        <f t="shared" si="5"/>
        <v>418.56548166666659</v>
      </c>
      <c r="K6" s="33">
        <f t="shared" si="3"/>
        <v>11.312580585585584</v>
      </c>
      <c r="L6" s="30">
        <v>91</v>
      </c>
      <c r="M6" s="34">
        <f t="shared" si="6"/>
        <v>0.40659340659340659</v>
      </c>
      <c r="N6" s="30">
        <v>244</v>
      </c>
      <c r="O6" s="35">
        <f t="shared" ref="O6:P6" si="14">D6/7</f>
        <v>5.2857142857142856</v>
      </c>
      <c r="P6" s="35">
        <f t="shared" si="14"/>
        <v>0</v>
      </c>
      <c r="Q6" s="30">
        <f t="shared" si="8"/>
        <v>46</v>
      </c>
      <c r="R6" s="30"/>
      <c r="S6" s="36">
        <v>1.5980024968788999</v>
      </c>
      <c r="T6" s="29">
        <v>481</v>
      </c>
      <c r="U6" s="37">
        <v>200</v>
      </c>
      <c r="V6" s="47" t="s">
        <v>388</v>
      </c>
      <c r="W6" s="29">
        <v>0</v>
      </c>
      <c r="X6" s="39">
        <f t="shared" si="9"/>
        <v>0</v>
      </c>
      <c r="Y6" s="40">
        <f t="shared" si="10"/>
        <v>8.92</v>
      </c>
      <c r="Z6" s="29">
        <v>1</v>
      </c>
      <c r="AA6" s="29" t="s">
        <v>163</v>
      </c>
      <c r="AB6" s="41">
        <f t="shared" si="11"/>
        <v>-0.48</v>
      </c>
      <c r="AC6" s="42">
        <v>1.1150902777777778</v>
      </c>
      <c r="AD6" s="40">
        <f t="shared" si="12"/>
        <v>-39.608006666666661</v>
      </c>
      <c r="AE6" s="40">
        <v>-13.2</v>
      </c>
      <c r="AF6" s="40">
        <v>-16.667351666666669</v>
      </c>
      <c r="AG6" s="40">
        <v>0</v>
      </c>
    </row>
    <row r="7" spans="1:33" ht="15.75" customHeight="1" x14ac:dyDescent="0.2">
      <c r="A7" s="29" t="s">
        <v>41</v>
      </c>
      <c r="B7" s="29" t="s">
        <v>54</v>
      </c>
      <c r="C7" s="16">
        <f t="shared" si="4"/>
        <v>50.946969696969703</v>
      </c>
      <c r="D7" s="30">
        <v>33</v>
      </c>
      <c r="E7" s="30">
        <v>0</v>
      </c>
      <c r="F7" s="31">
        <v>1681.2500000000002</v>
      </c>
      <c r="G7" s="31">
        <v>-18.329999999999998</v>
      </c>
      <c r="H7" s="32">
        <f t="shared" si="1"/>
        <v>1.0902602230483269E-2</v>
      </c>
      <c r="I7" s="32">
        <f t="shared" si="2"/>
        <v>0.23184168624535326</v>
      </c>
      <c r="J7" s="33">
        <f t="shared" si="5"/>
        <v>389.78383500000024</v>
      </c>
      <c r="K7" s="33">
        <f t="shared" si="3"/>
        <v>11.811631363636371</v>
      </c>
      <c r="L7" s="30">
        <v>126</v>
      </c>
      <c r="M7" s="34">
        <f t="shared" si="6"/>
        <v>0.26190476190476192</v>
      </c>
      <c r="N7" s="30">
        <v>196</v>
      </c>
      <c r="O7" s="35">
        <f t="shared" ref="O7:P7" si="15">D7/7</f>
        <v>4.7142857142857144</v>
      </c>
      <c r="P7" s="35">
        <f t="shared" si="15"/>
        <v>0</v>
      </c>
      <c r="Q7" s="30">
        <f t="shared" si="8"/>
        <v>41</v>
      </c>
      <c r="R7" s="30"/>
      <c r="S7" s="36">
        <v>1.9077809798270799</v>
      </c>
      <c r="T7" s="29">
        <v>572</v>
      </c>
      <c r="U7" s="37">
        <v>200</v>
      </c>
      <c r="V7" s="38" t="s">
        <v>594</v>
      </c>
      <c r="W7" s="29">
        <v>3</v>
      </c>
      <c r="X7" s="39">
        <f t="shared" si="9"/>
        <v>9.0909090909090912E-2</v>
      </c>
      <c r="Y7" s="40">
        <f t="shared" si="10"/>
        <v>6.1099999999999994</v>
      </c>
      <c r="Z7" s="29">
        <v>0</v>
      </c>
      <c r="AA7" s="29" t="s">
        <v>163</v>
      </c>
      <c r="AB7" s="41">
        <f t="shared" si="11"/>
        <v>-0.48</v>
      </c>
      <c r="AC7" s="42">
        <v>1.1150902777777778</v>
      </c>
      <c r="AD7" s="40">
        <f t="shared" si="12"/>
        <v>-35.326059999999998</v>
      </c>
      <c r="AE7" s="40">
        <v>-13.2</v>
      </c>
      <c r="AF7" s="40">
        <v>-16.667351666666669</v>
      </c>
      <c r="AG7" s="40">
        <v>0</v>
      </c>
    </row>
    <row r="8" spans="1:33" ht="15.75" customHeight="1" x14ac:dyDescent="0.2">
      <c r="A8" s="29" t="s">
        <v>44</v>
      </c>
      <c r="B8" s="29" t="s">
        <v>54</v>
      </c>
      <c r="C8" s="16">
        <f t="shared" si="4"/>
        <v>48.41407407407408</v>
      </c>
      <c r="D8" s="30">
        <v>27</v>
      </c>
      <c r="E8" s="30">
        <v>0</v>
      </c>
      <c r="F8" s="31">
        <v>1307.18</v>
      </c>
      <c r="G8" s="31">
        <v>-25.200000000000003</v>
      </c>
      <c r="H8" s="32">
        <f t="shared" si="1"/>
        <v>1.9278140730427332E-2</v>
      </c>
      <c r="I8" s="32">
        <f t="shared" si="2"/>
        <v>0.19164144188252574</v>
      </c>
      <c r="J8" s="33">
        <f t="shared" si="5"/>
        <v>250.50986</v>
      </c>
      <c r="K8" s="33">
        <f t="shared" si="3"/>
        <v>9.2781429629629635</v>
      </c>
      <c r="L8" s="30">
        <v>126</v>
      </c>
      <c r="M8" s="34">
        <f t="shared" si="6"/>
        <v>0.21428571428571427</v>
      </c>
      <c r="N8" s="30">
        <v>176</v>
      </c>
      <c r="O8" s="35">
        <f t="shared" ref="O8:P8" si="16">D8/7</f>
        <v>3.8571428571428572</v>
      </c>
      <c r="P8" s="35">
        <f t="shared" si="16"/>
        <v>0</v>
      </c>
      <c r="Q8" s="30">
        <f t="shared" si="8"/>
        <v>45</v>
      </c>
      <c r="R8" s="30"/>
      <c r="S8" s="36">
        <v>2.2146507666098798</v>
      </c>
      <c r="T8" s="29">
        <v>572</v>
      </c>
      <c r="U8" s="37">
        <v>200</v>
      </c>
      <c r="V8" s="38" t="s">
        <v>594</v>
      </c>
      <c r="W8" s="29">
        <v>2</v>
      </c>
      <c r="X8" s="39">
        <f t="shared" si="9"/>
        <v>7.407407407407407E-2</v>
      </c>
      <c r="Y8" s="40">
        <f t="shared" si="10"/>
        <v>3.6000000000000005</v>
      </c>
      <c r="Z8" s="29">
        <v>5</v>
      </c>
      <c r="AA8" s="29" t="s">
        <v>163</v>
      </c>
      <c r="AB8" s="41">
        <f t="shared" si="11"/>
        <v>-0.48</v>
      </c>
      <c r="AC8" s="42">
        <v>1.1150902777777778</v>
      </c>
      <c r="AD8" s="40">
        <f t="shared" si="12"/>
        <v>-28.903139999999997</v>
      </c>
      <c r="AE8" s="40">
        <v>-13.2</v>
      </c>
      <c r="AF8" s="40">
        <v>-16.670000000000002</v>
      </c>
      <c r="AG8" s="40">
        <v>0</v>
      </c>
    </row>
    <row r="9" spans="1:33" ht="15.75" customHeight="1" x14ac:dyDescent="0.2">
      <c r="A9" s="29" t="s">
        <v>47</v>
      </c>
      <c r="B9" s="29" t="s">
        <v>393</v>
      </c>
      <c r="C9" s="16">
        <f t="shared" si="4"/>
        <v>48.67978723404255</v>
      </c>
      <c r="D9" s="30">
        <v>47</v>
      </c>
      <c r="E9" s="30">
        <v>0</v>
      </c>
      <c r="F9" s="31">
        <v>2287.9499999999998</v>
      </c>
      <c r="G9" s="31">
        <v>-30.91</v>
      </c>
      <c r="H9" s="32">
        <f t="shared" si="1"/>
        <v>1.3509910618676109E-2</v>
      </c>
      <c r="I9" s="32">
        <f t="shared" si="2"/>
        <v>0.18118669114272659</v>
      </c>
      <c r="J9" s="33">
        <f t="shared" si="5"/>
        <v>414.5460900000013</v>
      </c>
      <c r="K9" s="33">
        <f t="shared" si="3"/>
        <v>8.8201295744681136</v>
      </c>
      <c r="L9" s="30">
        <v>109</v>
      </c>
      <c r="M9" s="34">
        <f t="shared" si="6"/>
        <v>0.43119266055045874</v>
      </c>
      <c r="N9" s="30">
        <v>131</v>
      </c>
      <c r="O9" s="35">
        <f t="shared" ref="O9:P9" si="17">D9/7</f>
        <v>6.7142857142857144</v>
      </c>
      <c r="P9" s="35">
        <f t="shared" si="17"/>
        <v>0</v>
      </c>
      <c r="Q9" s="30">
        <f t="shared" si="8"/>
        <v>19</v>
      </c>
      <c r="R9" s="30"/>
      <c r="S9" s="36">
        <v>1.7989130434782601</v>
      </c>
      <c r="T9" s="29">
        <v>572</v>
      </c>
      <c r="U9" s="37">
        <v>200</v>
      </c>
      <c r="V9" s="38" t="s">
        <v>595</v>
      </c>
      <c r="W9" s="29">
        <v>4</v>
      </c>
      <c r="X9" s="39">
        <f t="shared" si="9"/>
        <v>8.5106382978723402E-2</v>
      </c>
      <c r="Y9" s="40">
        <f t="shared" si="10"/>
        <v>6.1820000000000004</v>
      </c>
      <c r="Z9" s="29">
        <v>1</v>
      </c>
      <c r="AA9" s="29" t="s">
        <v>163</v>
      </c>
      <c r="AB9" s="41">
        <f t="shared" si="11"/>
        <v>-0.48</v>
      </c>
      <c r="AC9" s="42">
        <v>1.1150902777777778</v>
      </c>
      <c r="AD9" s="40">
        <f t="shared" si="12"/>
        <v>-50.312873333333329</v>
      </c>
      <c r="AE9" s="40">
        <v>-13.2</v>
      </c>
      <c r="AF9" s="40">
        <v>-17.629543333333299</v>
      </c>
      <c r="AG9" s="40">
        <v>0</v>
      </c>
    </row>
    <row r="10" spans="1:33" ht="15.75" customHeight="1" x14ac:dyDescent="0.2">
      <c r="A10" s="29" t="s">
        <v>50</v>
      </c>
      <c r="B10" s="29" t="s">
        <v>54</v>
      </c>
      <c r="C10" s="16">
        <f t="shared" si="4"/>
        <v>50.463939393939398</v>
      </c>
      <c r="D10" s="30">
        <v>33</v>
      </c>
      <c r="E10" s="30">
        <v>0</v>
      </c>
      <c r="F10" s="31">
        <v>1665.3100000000002</v>
      </c>
      <c r="G10" s="31">
        <v>-35.700000000000003</v>
      </c>
      <c r="H10" s="32">
        <f t="shared" si="1"/>
        <v>2.1437450084368675E-2</v>
      </c>
      <c r="I10" s="32">
        <f t="shared" si="2"/>
        <v>0.19642739790189279</v>
      </c>
      <c r="J10" s="33">
        <f t="shared" si="5"/>
        <v>327.11251000000112</v>
      </c>
      <c r="K10" s="33">
        <f t="shared" si="3"/>
        <v>9.9125003030303365</v>
      </c>
      <c r="L10" s="30">
        <v>143</v>
      </c>
      <c r="M10" s="34">
        <f t="shared" si="6"/>
        <v>0.23076923076923078</v>
      </c>
      <c r="N10" s="30">
        <v>300</v>
      </c>
      <c r="O10" s="35">
        <f t="shared" ref="O10:P10" si="18">D10/7</f>
        <v>4.7142857142857144</v>
      </c>
      <c r="P10" s="35">
        <f t="shared" si="18"/>
        <v>0</v>
      </c>
      <c r="Q10" s="30">
        <f t="shared" si="8"/>
        <v>63</v>
      </c>
      <c r="R10" s="30"/>
      <c r="S10" s="36">
        <v>1.5924617196702</v>
      </c>
      <c r="T10" s="29">
        <v>91</v>
      </c>
      <c r="U10" s="37">
        <v>91</v>
      </c>
      <c r="V10" s="38" t="s">
        <v>596</v>
      </c>
      <c r="W10" s="29">
        <v>3</v>
      </c>
      <c r="X10" s="39">
        <f t="shared" si="9"/>
        <v>9.0909090909090912E-2</v>
      </c>
      <c r="Y10" s="40">
        <f t="shared" si="10"/>
        <v>8.9250000000000007</v>
      </c>
      <c r="Z10" s="29">
        <v>1</v>
      </c>
      <c r="AA10" s="29" t="s">
        <v>163</v>
      </c>
      <c r="AB10" s="41">
        <f t="shared" si="11"/>
        <v>-0.48</v>
      </c>
      <c r="AC10" s="42">
        <v>1.1150902777777778</v>
      </c>
      <c r="AD10" s="40">
        <f t="shared" si="12"/>
        <v>-35.326059999999998</v>
      </c>
      <c r="AE10" s="40">
        <v>-13.2</v>
      </c>
      <c r="AF10" s="40">
        <v>-17.629543333333299</v>
      </c>
      <c r="AG10" s="40">
        <v>0</v>
      </c>
    </row>
    <row r="11" spans="1:33" ht="15.75" customHeight="1" x14ac:dyDescent="0.2">
      <c r="A11" s="29" t="s">
        <v>53</v>
      </c>
      <c r="B11" s="29" t="s">
        <v>378</v>
      </c>
      <c r="C11" s="16">
        <f t="shared" si="4"/>
        <v>49.166818181818172</v>
      </c>
      <c r="D11" s="30">
        <v>44</v>
      </c>
      <c r="E11" s="30">
        <v>0</v>
      </c>
      <c r="F11" s="31">
        <v>2163.3399999999997</v>
      </c>
      <c r="G11" s="31">
        <v>-34.19</v>
      </c>
      <c r="H11" s="32">
        <f t="shared" si="1"/>
        <v>1.5804265626300076E-2</v>
      </c>
      <c r="I11" s="32">
        <f t="shared" si="2"/>
        <v>0.18538356430334638</v>
      </c>
      <c r="J11" s="33">
        <f t="shared" si="5"/>
        <v>401.04768000000126</v>
      </c>
      <c r="K11" s="33">
        <f t="shared" si="3"/>
        <v>9.1147200000000286</v>
      </c>
      <c r="L11" s="30">
        <v>116</v>
      </c>
      <c r="M11" s="34">
        <f t="shared" si="6"/>
        <v>0.37931034482758619</v>
      </c>
      <c r="N11" s="30">
        <v>243</v>
      </c>
      <c r="O11" s="35">
        <f t="shared" ref="O11:P11" si="19">D11/7</f>
        <v>6.2857142857142856</v>
      </c>
      <c r="P11" s="35">
        <f t="shared" si="19"/>
        <v>0</v>
      </c>
      <c r="Q11" s="30">
        <f t="shared" si="8"/>
        <v>38</v>
      </c>
      <c r="R11" s="30"/>
      <c r="S11" s="36">
        <v>1.9154929577464701</v>
      </c>
      <c r="T11" s="29">
        <v>91</v>
      </c>
      <c r="U11" s="37">
        <v>91</v>
      </c>
      <c r="V11" s="38" t="s">
        <v>597</v>
      </c>
      <c r="W11" s="29">
        <v>3</v>
      </c>
      <c r="X11" s="39">
        <f t="shared" si="9"/>
        <v>6.8181818181818177E-2</v>
      </c>
      <c r="Y11" s="40">
        <f t="shared" si="10"/>
        <v>4.2737499999999997</v>
      </c>
      <c r="Z11" s="29">
        <v>5</v>
      </c>
      <c r="AA11" s="29" t="s">
        <v>163</v>
      </c>
      <c r="AB11" s="41">
        <f t="shared" si="11"/>
        <v>-0.48</v>
      </c>
      <c r="AC11" s="42">
        <v>1.1150902777777778</v>
      </c>
      <c r="AD11" s="40">
        <f t="shared" si="12"/>
        <v>-47.101413333333326</v>
      </c>
      <c r="AE11" s="40">
        <v>-13.2</v>
      </c>
      <c r="AF11" s="40">
        <v>-17.629543333333299</v>
      </c>
      <c r="AG11" s="40">
        <v>0</v>
      </c>
    </row>
    <row r="12" spans="1:33" ht="15.75" customHeight="1" x14ac:dyDescent="0.2">
      <c r="A12" s="29" t="s">
        <v>56</v>
      </c>
      <c r="B12" s="29" t="s">
        <v>541</v>
      </c>
      <c r="C12" s="16">
        <f t="shared" si="4"/>
        <v>49.496000000000002</v>
      </c>
      <c r="D12" s="30">
        <v>45</v>
      </c>
      <c r="E12" s="30">
        <v>0</v>
      </c>
      <c r="F12" s="31">
        <v>2227.3200000000002</v>
      </c>
      <c r="G12" s="31">
        <v>-32.39</v>
      </c>
      <c r="H12" s="32">
        <f t="shared" si="1"/>
        <v>1.454214033008279E-2</v>
      </c>
      <c r="I12" s="32">
        <f t="shared" si="2"/>
        <v>0.19096072858861837</v>
      </c>
      <c r="J12" s="33">
        <f t="shared" si="5"/>
        <v>425.33065000000153</v>
      </c>
      <c r="K12" s="33">
        <f t="shared" si="3"/>
        <v>9.4517922222222559</v>
      </c>
      <c r="L12" s="30">
        <v>110</v>
      </c>
      <c r="M12" s="34">
        <f t="shared" si="6"/>
        <v>0.40909090909090912</v>
      </c>
      <c r="N12" s="30">
        <v>200</v>
      </c>
      <c r="O12" s="35">
        <f t="shared" ref="O12:P12" si="20">D12/7</f>
        <v>6.4285714285714288</v>
      </c>
      <c r="P12" s="35">
        <f t="shared" si="20"/>
        <v>0</v>
      </c>
      <c r="Q12" s="30">
        <f t="shared" si="8"/>
        <v>31</v>
      </c>
      <c r="R12" s="30"/>
      <c r="S12" s="36">
        <v>2.5136986301369801</v>
      </c>
      <c r="T12" s="29">
        <v>461</v>
      </c>
      <c r="U12" s="37">
        <v>91</v>
      </c>
      <c r="V12" s="38" t="s">
        <v>596</v>
      </c>
      <c r="W12" s="29">
        <v>2</v>
      </c>
      <c r="X12" s="39">
        <f t="shared" si="9"/>
        <v>4.4444444444444446E-2</v>
      </c>
      <c r="Y12" s="40">
        <f t="shared" si="10"/>
        <v>10.796666666666667</v>
      </c>
      <c r="Z12" s="29">
        <v>1</v>
      </c>
      <c r="AA12" s="29" t="s">
        <v>163</v>
      </c>
      <c r="AB12" s="41">
        <f t="shared" si="11"/>
        <v>-0.48</v>
      </c>
      <c r="AC12" s="42">
        <v>1.1150902777777778</v>
      </c>
      <c r="AD12" s="40">
        <f t="shared" si="12"/>
        <v>-48.171899999999994</v>
      </c>
      <c r="AE12" s="40">
        <v>-13.2</v>
      </c>
      <c r="AF12" s="40">
        <v>-17.629543333333299</v>
      </c>
      <c r="AG12" s="40">
        <v>0</v>
      </c>
    </row>
    <row r="13" spans="1:33" ht="15.75" customHeight="1" x14ac:dyDescent="0.2">
      <c r="A13" s="29" t="s">
        <v>57</v>
      </c>
      <c r="B13" s="29" t="s">
        <v>525</v>
      </c>
      <c r="C13" s="16">
        <f t="shared" si="4"/>
        <v>53.260408163265332</v>
      </c>
      <c r="D13" s="30">
        <v>49</v>
      </c>
      <c r="E13" s="30">
        <v>0</v>
      </c>
      <c r="F13" s="33">
        <v>2609.7600000000011</v>
      </c>
      <c r="G13" s="31">
        <v>-27.460000000000004</v>
      </c>
      <c r="H13" s="32">
        <f t="shared" si="1"/>
        <v>1.0522040340874254E-2</v>
      </c>
      <c r="I13" s="32">
        <f t="shared" si="2"/>
        <v>0.2310251185294179</v>
      </c>
      <c r="J13" s="33">
        <f t="shared" si="5"/>
        <v>602.92011333333392</v>
      </c>
      <c r="K13" s="33">
        <f t="shared" si="3"/>
        <v>12.304492108843549</v>
      </c>
      <c r="L13" s="30">
        <v>139</v>
      </c>
      <c r="M13" s="34">
        <f t="shared" si="6"/>
        <v>0.35251798561151076</v>
      </c>
      <c r="N13" s="30">
        <v>149</v>
      </c>
      <c r="O13" s="35">
        <f t="shared" ref="O13:P13" si="21">D13/7</f>
        <v>7</v>
      </c>
      <c r="P13" s="35">
        <f t="shared" si="21"/>
        <v>0</v>
      </c>
      <c r="Q13" s="30">
        <f t="shared" si="8"/>
        <v>21</v>
      </c>
      <c r="R13" s="30"/>
      <c r="S13" s="36">
        <v>2.6713043478260801</v>
      </c>
      <c r="T13" s="29">
        <v>831</v>
      </c>
      <c r="U13" s="37">
        <v>91</v>
      </c>
      <c r="V13" s="38" t="s">
        <v>598</v>
      </c>
      <c r="W13" s="29">
        <v>2</v>
      </c>
      <c r="X13" s="39">
        <f t="shared" si="9"/>
        <v>4.0816326530612242E-2</v>
      </c>
      <c r="Y13" s="40">
        <f t="shared" si="10"/>
        <v>4.5766666666666671</v>
      </c>
      <c r="Z13" s="29">
        <v>4</v>
      </c>
      <c r="AA13" s="29" t="s">
        <v>163</v>
      </c>
      <c r="AB13" s="41">
        <f t="shared" si="11"/>
        <v>-0.48</v>
      </c>
      <c r="AC13" s="42">
        <v>1.1150902777777778</v>
      </c>
      <c r="AD13" s="40">
        <f t="shared" si="12"/>
        <v>-52.453846666666664</v>
      </c>
      <c r="AE13" s="40">
        <v>-13.2</v>
      </c>
      <c r="AF13" s="40">
        <v>-18.135960000000001</v>
      </c>
      <c r="AG13" s="40">
        <v>0</v>
      </c>
    </row>
    <row r="14" spans="1:33" ht="15.75" customHeight="1" x14ac:dyDescent="0.2">
      <c r="A14" s="29" t="s">
        <v>59</v>
      </c>
      <c r="B14" s="29" t="s">
        <v>599</v>
      </c>
      <c r="C14" s="16">
        <f t="shared" si="4"/>
        <v>55.12134615384609</v>
      </c>
      <c r="D14" s="30">
        <v>52</v>
      </c>
      <c r="E14" s="30">
        <v>0</v>
      </c>
      <c r="F14" s="33">
        <v>2866.3099999999968</v>
      </c>
      <c r="G14" s="31">
        <v>-33.230000000000004</v>
      </c>
      <c r="H14" s="32">
        <f t="shared" si="1"/>
        <v>1.1593302887684877E-2</v>
      </c>
      <c r="I14" s="32">
        <f t="shared" si="2"/>
        <v>0.25049568027649888</v>
      </c>
      <c r="J14" s="33">
        <f t="shared" si="5"/>
        <v>717.99827333333064</v>
      </c>
      <c r="K14" s="33">
        <f t="shared" si="3"/>
        <v>13.807659102564051</v>
      </c>
      <c r="L14" s="30">
        <v>203</v>
      </c>
      <c r="M14" s="34">
        <f t="shared" si="6"/>
        <v>0.25615763546798032</v>
      </c>
      <c r="N14" s="30">
        <v>102</v>
      </c>
      <c r="O14" s="35">
        <f t="shared" ref="O14:P14" si="22">D14/7</f>
        <v>7.4285714285714288</v>
      </c>
      <c r="P14" s="35">
        <f t="shared" si="22"/>
        <v>0</v>
      </c>
      <c r="Q14" s="30">
        <f t="shared" si="8"/>
        <v>13</v>
      </c>
      <c r="R14" s="30"/>
      <c r="S14" s="36">
        <v>1.9534883720930201</v>
      </c>
      <c r="T14" s="29">
        <v>740</v>
      </c>
      <c r="U14" s="37">
        <v>370</v>
      </c>
      <c r="V14" s="38" t="s">
        <v>600</v>
      </c>
      <c r="W14" s="29">
        <v>2</v>
      </c>
      <c r="X14" s="39">
        <f t="shared" si="9"/>
        <v>3.8461538461538464E-2</v>
      </c>
      <c r="Y14" s="40">
        <f t="shared" si="10"/>
        <v>8.307500000000001</v>
      </c>
      <c r="Z14" s="29">
        <v>2</v>
      </c>
      <c r="AA14" s="29" t="s">
        <v>163</v>
      </c>
      <c r="AB14" s="41">
        <f t="shared" si="11"/>
        <v>-0.48</v>
      </c>
      <c r="AC14" s="42">
        <v>1.1150902777777778</v>
      </c>
      <c r="AD14" s="40">
        <f t="shared" si="12"/>
        <v>-55.665306666666666</v>
      </c>
      <c r="AE14" s="40">
        <v>-13.2</v>
      </c>
      <c r="AF14" s="40">
        <v>-18.135960000000001</v>
      </c>
      <c r="AG14" s="40">
        <v>0</v>
      </c>
    </row>
    <row r="15" spans="1:33" ht="15.75" customHeight="1" x14ac:dyDescent="0.2">
      <c r="A15" s="29" t="s">
        <v>61</v>
      </c>
      <c r="B15" s="29" t="s">
        <v>496</v>
      </c>
      <c r="C15" s="16">
        <f t="shared" si="4"/>
        <v>55.356046511627895</v>
      </c>
      <c r="D15" s="30">
        <v>43</v>
      </c>
      <c r="E15" s="30">
        <v>0</v>
      </c>
      <c r="F15" s="33">
        <v>2380.3099999999995</v>
      </c>
      <c r="G15" s="31">
        <v>-2.7699999999999996</v>
      </c>
      <c r="H15" s="32">
        <f t="shared" si="1"/>
        <v>1.1637139700291139E-3</v>
      </c>
      <c r="I15" s="32">
        <f t="shared" si="2"/>
        <v>0.2634179133530225</v>
      </c>
      <c r="J15" s="33">
        <f t="shared" si="5"/>
        <v>627.0162933333329</v>
      </c>
      <c r="K15" s="33">
        <f t="shared" si="3"/>
        <v>14.581774263565881</v>
      </c>
      <c r="L15" s="30">
        <v>113</v>
      </c>
      <c r="M15" s="34">
        <f t="shared" si="6"/>
        <v>0.38053097345132741</v>
      </c>
      <c r="N15" s="30">
        <v>153</v>
      </c>
      <c r="O15" s="35">
        <f t="shared" ref="O15:P15" si="23">D15/7</f>
        <v>6.1428571428571432</v>
      </c>
      <c r="P15" s="35">
        <f t="shared" si="23"/>
        <v>0</v>
      </c>
      <c r="Q15" s="30">
        <f t="shared" si="8"/>
        <v>24</v>
      </c>
      <c r="R15" s="30"/>
      <c r="S15" s="36">
        <v>2.2456140350877098</v>
      </c>
      <c r="T15" s="29">
        <v>427</v>
      </c>
      <c r="U15" s="37">
        <v>370</v>
      </c>
      <c r="V15" s="38" t="s">
        <v>601</v>
      </c>
      <c r="W15" s="29">
        <v>1</v>
      </c>
      <c r="X15" s="39">
        <f t="shared" si="9"/>
        <v>2.3255813953488372E-2</v>
      </c>
      <c r="Y15" s="40">
        <f t="shared" si="10"/>
        <v>2.7699999999999996</v>
      </c>
      <c r="Z15" s="29">
        <v>0</v>
      </c>
      <c r="AA15" s="29" t="s">
        <v>163</v>
      </c>
      <c r="AB15" s="41">
        <f t="shared" si="11"/>
        <v>-0.48</v>
      </c>
      <c r="AC15" s="42">
        <v>1.1150902777777778</v>
      </c>
      <c r="AD15" s="40">
        <f t="shared" si="12"/>
        <v>-46.030926666666666</v>
      </c>
      <c r="AE15" s="40">
        <v>-13.2</v>
      </c>
      <c r="AF15" s="40">
        <v>-18.135960000000001</v>
      </c>
      <c r="AG15" s="40">
        <v>0</v>
      </c>
    </row>
    <row r="16" spans="1:33" ht="15.75" customHeight="1" x14ac:dyDescent="0.2">
      <c r="A16" s="29" t="s">
        <v>64</v>
      </c>
      <c r="B16" s="29" t="s">
        <v>54</v>
      </c>
      <c r="C16" s="16">
        <f t="shared" si="4"/>
        <v>58.331904761904752</v>
      </c>
      <c r="D16" s="30">
        <v>21</v>
      </c>
      <c r="E16" s="30">
        <v>0</v>
      </c>
      <c r="F16" s="33">
        <v>1224.9699999999998</v>
      </c>
      <c r="G16" s="31">
        <v>-0.08</v>
      </c>
      <c r="H16" s="32">
        <f t="shared" si="1"/>
        <v>6.5307721821758916E-5</v>
      </c>
      <c r="I16" s="32">
        <f t="shared" si="2"/>
        <v>0.29438200119186586</v>
      </c>
      <c r="J16" s="33">
        <f t="shared" si="5"/>
        <v>360.60911999999985</v>
      </c>
      <c r="K16" s="33">
        <f t="shared" si="3"/>
        <v>17.171862857142848</v>
      </c>
      <c r="L16" s="30">
        <v>114</v>
      </c>
      <c r="M16" s="34">
        <f t="shared" si="6"/>
        <v>0.18421052631578946</v>
      </c>
      <c r="N16" s="30">
        <v>133</v>
      </c>
      <c r="O16" s="35">
        <f t="shared" ref="O16:P16" si="24">D16/7</f>
        <v>3</v>
      </c>
      <c r="P16" s="35">
        <f t="shared" si="24"/>
        <v>0</v>
      </c>
      <c r="Q16" s="30">
        <f t="shared" si="8"/>
        <v>44</v>
      </c>
      <c r="R16" s="30"/>
      <c r="S16" s="36">
        <v>2.9887999999999999</v>
      </c>
      <c r="T16" s="29">
        <v>427</v>
      </c>
      <c r="U16" s="37">
        <v>370</v>
      </c>
      <c r="V16" s="38" t="s">
        <v>601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163</v>
      </c>
      <c r="AB16" s="41">
        <f t="shared" si="11"/>
        <v>-0.48</v>
      </c>
      <c r="AC16" s="42">
        <v>1.1150902777777778</v>
      </c>
      <c r="AD16" s="40">
        <f t="shared" si="12"/>
        <v>-22.480219999999999</v>
      </c>
      <c r="AE16" s="40">
        <v>-13.2</v>
      </c>
      <c r="AF16" s="40">
        <v>-18.135960000000001</v>
      </c>
      <c r="AG16" s="40">
        <v>0</v>
      </c>
    </row>
    <row r="17" spans="1:33" ht="15.75" customHeight="1" x14ac:dyDescent="0.2">
      <c r="A17" s="29" t="s">
        <v>66</v>
      </c>
      <c r="B17" s="29" t="s">
        <v>498</v>
      </c>
      <c r="C17" s="16">
        <f t="shared" si="4"/>
        <v>58.434473684210531</v>
      </c>
      <c r="D17" s="30">
        <v>38</v>
      </c>
      <c r="E17" s="30">
        <v>0</v>
      </c>
      <c r="F17" s="33">
        <v>2220.5100000000002</v>
      </c>
      <c r="G17" s="31">
        <v>0</v>
      </c>
      <c r="H17" s="32">
        <f t="shared" si="1"/>
        <v>0</v>
      </c>
      <c r="I17" s="32">
        <f t="shared" si="2"/>
        <v>0.29542246000543432</v>
      </c>
      <c r="J17" s="33">
        <f t="shared" si="5"/>
        <v>655.98852666666698</v>
      </c>
      <c r="K17" s="33">
        <f t="shared" si="3"/>
        <v>17.262855964912291</v>
      </c>
      <c r="L17" s="30">
        <v>112</v>
      </c>
      <c r="M17" s="34">
        <f t="shared" si="6"/>
        <v>0.3392857142857143</v>
      </c>
      <c r="N17" s="30">
        <v>105</v>
      </c>
      <c r="O17" s="35">
        <f t="shared" ref="O17:P17" si="25">D17/7</f>
        <v>5.4285714285714288</v>
      </c>
      <c r="P17" s="35">
        <f t="shared" si="25"/>
        <v>0</v>
      </c>
      <c r="Q17" s="30">
        <f t="shared" si="8"/>
        <v>19</v>
      </c>
      <c r="R17" s="30"/>
      <c r="S17" s="36">
        <v>3.2312925170067999</v>
      </c>
      <c r="T17" s="29">
        <v>427</v>
      </c>
      <c r="U17" s="37">
        <v>370</v>
      </c>
      <c r="V17" s="38" t="s">
        <v>601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163</v>
      </c>
      <c r="AB17" s="41">
        <f t="shared" si="11"/>
        <v>-0.48</v>
      </c>
      <c r="AC17" s="42">
        <v>1.1150902777777778</v>
      </c>
      <c r="AD17" s="40">
        <f t="shared" si="12"/>
        <v>-40.678493333333329</v>
      </c>
      <c r="AE17" s="40">
        <v>-13.2</v>
      </c>
      <c r="AF17" s="40">
        <v>-18.135960000000001</v>
      </c>
      <c r="AG17" s="40">
        <v>0</v>
      </c>
    </row>
    <row r="18" spans="1:33" ht="15.75" customHeight="1" x14ac:dyDescent="0.2">
      <c r="A18" s="29" t="s">
        <v>69</v>
      </c>
      <c r="B18" s="29" t="s">
        <v>602</v>
      </c>
      <c r="C18" s="16">
        <f t="shared" si="4"/>
        <v>58.25</v>
      </c>
      <c r="D18" s="30">
        <v>36</v>
      </c>
      <c r="E18" s="30">
        <v>0</v>
      </c>
      <c r="F18" s="33">
        <v>2097</v>
      </c>
      <c r="G18" s="31">
        <v>-0.08</v>
      </c>
      <c r="H18" s="32">
        <f t="shared" si="1"/>
        <v>3.8149737720553174E-5</v>
      </c>
      <c r="I18" s="32">
        <f t="shared" si="2"/>
        <v>0.29362800190748695</v>
      </c>
      <c r="J18" s="33">
        <f t="shared" si="5"/>
        <v>615.73792000000014</v>
      </c>
      <c r="K18" s="33">
        <f t="shared" si="3"/>
        <v>17.103831111111116</v>
      </c>
      <c r="L18" s="30">
        <v>131</v>
      </c>
      <c r="M18" s="34">
        <f t="shared" si="6"/>
        <v>0.27480916030534353</v>
      </c>
      <c r="N18" s="30">
        <v>62</v>
      </c>
      <c r="O18" s="35">
        <f t="shared" ref="O18:P18" si="26">D18/7</f>
        <v>5.1428571428571432</v>
      </c>
      <c r="P18" s="35">
        <f t="shared" si="26"/>
        <v>0</v>
      </c>
      <c r="Q18" s="30">
        <f t="shared" si="8"/>
        <v>12</v>
      </c>
      <c r="R18" s="30"/>
      <c r="S18" s="36">
        <v>2.4769038701622899</v>
      </c>
      <c r="T18" s="29">
        <v>427</v>
      </c>
      <c r="U18" s="37">
        <v>370</v>
      </c>
      <c r="V18" s="38" t="s">
        <v>603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163</v>
      </c>
      <c r="AB18" s="41">
        <f t="shared" si="11"/>
        <v>-0.48</v>
      </c>
      <c r="AC18" s="42">
        <v>1.1150902777777778</v>
      </c>
      <c r="AD18" s="40">
        <f t="shared" si="12"/>
        <v>-38.537520000000001</v>
      </c>
      <c r="AE18" s="40">
        <v>-13.2</v>
      </c>
      <c r="AF18" s="40">
        <v>-18.135960000000001</v>
      </c>
      <c r="AG18" s="40">
        <v>0</v>
      </c>
    </row>
    <row r="19" spans="1:33" ht="15.75" customHeight="1" x14ac:dyDescent="0.2">
      <c r="A19" s="29" t="s">
        <v>71</v>
      </c>
      <c r="B19" s="29" t="s">
        <v>604</v>
      </c>
      <c r="C19" s="16">
        <f t="shared" si="4"/>
        <v>62.184285714285707</v>
      </c>
      <c r="D19" s="30">
        <v>42</v>
      </c>
      <c r="E19" s="30">
        <v>0</v>
      </c>
      <c r="F19" s="33">
        <v>2611.7399999999998</v>
      </c>
      <c r="G19" s="31">
        <v>-0.15000000000000002</v>
      </c>
      <c r="H19" s="32">
        <f t="shared" si="1"/>
        <v>5.743297571733788E-5</v>
      </c>
      <c r="I19" s="32">
        <f t="shared" si="2"/>
        <v>0.3288069409665586</v>
      </c>
      <c r="J19" s="33">
        <f t="shared" si="5"/>
        <v>858.75823999999966</v>
      </c>
      <c r="K19" s="33">
        <f t="shared" si="3"/>
        <v>20.446624761904754</v>
      </c>
      <c r="L19" s="30">
        <v>155</v>
      </c>
      <c r="M19" s="34">
        <f t="shared" si="6"/>
        <v>0.2709677419354839</v>
      </c>
      <c r="N19" s="30">
        <v>23</v>
      </c>
      <c r="O19" s="35">
        <f t="shared" ref="O19:P19" si="27">D19/7</f>
        <v>6</v>
      </c>
      <c r="P19" s="35">
        <f t="shared" si="27"/>
        <v>0</v>
      </c>
      <c r="Q19" s="30">
        <f t="shared" si="8"/>
        <v>3</v>
      </c>
      <c r="R19" s="30"/>
      <c r="S19" s="36">
        <v>2.52061855670103</v>
      </c>
      <c r="T19" s="29">
        <v>1071</v>
      </c>
      <c r="U19" s="37">
        <v>370</v>
      </c>
      <c r="V19" s="38" t="s">
        <v>603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163</v>
      </c>
      <c r="AB19" s="41">
        <f t="shared" si="11"/>
        <v>-0.48</v>
      </c>
      <c r="AC19" s="42">
        <v>1.1150902777777778</v>
      </c>
      <c r="AD19" s="40">
        <f t="shared" si="12"/>
        <v>-44.960439999999998</v>
      </c>
      <c r="AE19" s="40">
        <v>-13.2</v>
      </c>
      <c r="AF19" s="40">
        <v>-18.135960000000001</v>
      </c>
      <c r="AG19" s="40">
        <v>0</v>
      </c>
    </row>
    <row r="20" spans="1:33" ht="15.75" customHeight="1" x14ac:dyDescent="0.2">
      <c r="A20" s="29" t="s">
        <v>74</v>
      </c>
      <c r="B20" s="29" t="s">
        <v>172</v>
      </c>
      <c r="C20" s="16">
        <f t="shared" si="4"/>
        <v>63.836153846153849</v>
      </c>
      <c r="D20" s="30">
        <v>13</v>
      </c>
      <c r="E20" s="30">
        <v>0</v>
      </c>
      <c r="F20" s="33">
        <v>829.87</v>
      </c>
      <c r="G20" s="31">
        <v>-0.03</v>
      </c>
      <c r="H20" s="32">
        <f t="shared" si="1"/>
        <v>3.6150240399098649E-5</v>
      </c>
      <c r="I20" s="32">
        <f t="shared" si="2"/>
        <v>0.34231348685135421</v>
      </c>
      <c r="J20" s="33">
        <f t="shared" si="5"/>
        <v>284.07569333333333</v>
      </c>
      <c r="K20" s="33">
        <f t="shared" si="3"/>
        <v>21.851976410256409</v>
      </c>
      <c r="L20" s="30">
        <v>72</v>
      </c>
      <c r="M20" s="34">
        <f t="shared" si="6"/>
        <v>0.18055555555555555</v>
      </c>
      <c r="N20" s="30">
        <v>1</v>
      </c>
      <c r="O20" s="35">
        <f t="shared" ref="O20:P20" si="28">D20/7</f>
        <v>1.8571428571428572</v>
      </c>
      <c r="P20" s="35">
        <f t="shared" si="28"/>
        <v>0</v>
      </c>
      <c r="Q20" s="30">
        <f t="shared" si="8"/>
        <v>0</v>
      </c>
      <c r="R20" s="30"/>
      <c r="S20" s="36">
        <v>3.2929292929292902</v>
      </c>
      <c r="T20" s="29">
        <v>1014</v>
      </c>
      <c r="U20" s="37">
        <v>370</v>
      </c>
      <c r="V20" s="38" t="s">
        <v>605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163</v>
      </c>
      <c r="AB20" s="41">
        <f t="shared" si="11"/>
        <v>-0.48</v>
      </c>
      <c r="AC20" s="42">
        <v>1.1150902777777778</v>
      </c>
      <c r="AD20" s="40">
        <f t="shared" si="12"/>
        <v>-13.916326666666667</v>
      </c>
      <c r="AE20" s="40">
        <v>-13.2</v>
      </c>
      <c r="AF20" s="40">
        <v>-18.135960000000001</v>
      </c>
      <c r="AG20" s="40">
        <v>0</v>
      </c>
    </row>
    <row r="21" spans="1:33" ht="15.75" customHeight="1" x14ac:dyDescent="0.2">
      <c r="A21" s="29" t="s">
        <v>75</v>
      </c>
      <c r="B21" s="29" t="s">
        <v>172</v>
      </c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1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>
        <v>3.6972111553784801</v>
      </c>
      <c r="T21" s="29">
        <v>1014</v>
      </c>
      <c r="U21" s="37">
        <v>370</v>
      </c>
      <c r="V21" s="38" t="s">
        <v>606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e">
        <v>#N/A</v>
      </c>
      <c r="AB21" s="41" t="e">
        <f t="shared" si="11"/>
        <v>#N/A</v>
      </c>
      <c r="AC21" s="42" t="e">
        <v>#N/A</v>
      </c>
      <c r="AD21" s="40">
        <f t="shared" si="12"/>
        <v>0</v>
      </c>
      <c r="AE21" s="40">
        <v>0</v>
      </c>
      <c r="AF21" s="40">
        <v>-18.135960000000001</v>
      </c>
      <c r="AG21" s="40">
        <v>0</v>
      </c>
    </row>
    <row r="22" spans="1:33" ht="15.75" customHeight="1" x14ac:dyDescent="0.2">
      <c r="A22" s="29" t="s">
        <v>76</v>
      </c>
      <c r="B22" s="29" t="s">
        <v>412</v>
      </c>
      <c r="C22" s="16">
        <f t="shared" si="4"/>
        <v>65.773333333333341</v>
      </c>
      <c r="D22" s="30">
        <v>6</v>
      </c>
      <c r="E22" s="30">
        <v>0</v>
      </c>
      <c r="F22" s="31">
        <v>394.64000000000004</v>
      </c>
      <c r="G22" s="31">
        <v>0</v>
      </c>
      <c r="H22" s="32">
        <f t="shared" si="1"/>
        <v>0</v>
      </c>
      <c r="I22" s="32">
        <f t="shared" si="2"/>
        <v>0.35730113521183865</v>
      </c>
      <c r="J22" s="33">
        <f t="shared" si="5"/>
        <v>141.00532000000001</v>
      </c>
      <c r="K22" s="33">
        <f t="shared" si="3"/>
        <v>23.50088666666667</v>
      </c>
      <c r="L22" s="30">
        <v>28</v>
      </c>
      <c r="M22" s="34">
        <f t="shared" si="6"/>
        <v>0.21428571428571427</v>
      </c>
      <c r="N22" s="30">
        <v>86</v>
      </c>
      <c r="O22" s="35">
        <f t="shared" ref="O22:P22" si="30">D22/7</f>
        <v>0.8571428571428571</v>
      </c>
      <c r="P22" s="35">
        <f t="shared" si="30"/>
        <v>0</v>
      </c>
      <c r="Q22" s="30">
        <f t="shared" si="8"/>
        <v>100</v>
      </c>
      <c r="R22" s="30"/>
      <c r="S22" s="36">
        <v>3.7333333333333298</v>
      </c>
      <c r="T22" s="29">
        <v>1046</v>
      </c>
      <c r="U22" s="37">
        <v>370</v>
      </c>
      <c r="V22" s="38" t="s">
        <v>607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163</v>
      </c>
      <c r="AB22" s="41">
        <f t="shared" si="11"/>
        <v>-0.48</v>
      </c>
      <c r="AC22" s="42">
        <v>1.1150902777777778</v>
      </c>
      <c r="AD22" s="40">
        <f t="shared" si="12"/>
        <v>-6.4229199999999995</v>
      </c>
      <c r="AE22" s="40">
        <v>-13.2</v>
      </c>
      <c r="AF22" s="40">
        <v>-18.135960000000001</v>
      </c>
      <c r="AG22" s="40">
        <v>0</v>
      </c>
    </row>
    <row r="23" spans="1:33" ht="15.75" customHeight="1" x14ac:dyDescent="0.2">
      <c r="A23" s="29" t="s">
        <v>77</v>
      </c>
      <c r="B23" s="29" t="s">
        <v>54</v>
      </c>
      <c r="C23" s="16">
        <f t="shared" si="4"/>
        <v>67.789166666666674</v>
      </c>
      <c r="D23" s="30">
        <v>24</v>
      </c>
      <c r="E23" s="30">
        <v>1</v>
      </c>
      <c r="F23" s="33">
        <v>1626.94</v>
      </c>
      <c r="G23" s="31">
        <v>0</v>
      </c>
      <c r="H23" s="32">
        <f t="shared" si="1"/>
        <v>0</v>
      </c>
      <c r="I23" s="32">
        <f t="shared" si="2"/>
        <v>0.37195242602677425</v>
      </c>
      <c r="J23" s="33">
        <f t="shared" si="5"/>
        <v>605.14428000000009</v>
      </c>
      <c r="K23" s="33">
        <f t="shared" si="3"/>
        <v>25.214345000000005</v>
      </c>
      <c r="L23" s="30">
        <v>80</v>
      </c>
      <c r="M23" s="34">
        <f t="shared" si="6"/>
        <v>0.3</v>
      </c>
      <c r="N23" s="30">
        <v>61</v>
      </c>
      <c r="O23" s="35">
        <f t="shared" ref="O23:P23" si="31">D23/7</f>
        <v>3.4285714285714284</v>
      </c>
      <c r="P23" s="35">
        <f t="shared" si="31"/>
        <v>0.14285714285714285</v>
      </c>
      <c r="Q23" s="30">
        <f t="shared" si="8"/>
        <v>17</v>
      </c>
      <c r="R23" s="30"/>
      <c r="S23" s="36">
        <v>2.93862815884476</v>
      </c>
      <c r="T23" s="29">
        <v>676</v>
      </c>
      <c r="U23" s="37" t="s">
        <v>34</v>
      </c>
      <c r="V23" s="38" t="s">
        <v>608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163</v>
      </c>
      <c r="AB23" s="41">
        <f t="shared" si="11"/>
        <v>-0.48</v>
      </c>
      <c r="AC23" s="42">
        <v>1.1150902777777778</v>
      </c>
      <c r="AD23" s="40">
        <f t="shared" si="12"/>
        <v>-25.691679999999998</v>
      </c>
      <c r="AE23" s="40">
        <v>-13.2</v>
      </c>
      <c r="AF23" s="40">
        <v>-18.135960000000001</v>
      </c>
      <c r="AG23" s="40">
        <v>0</v>
      </c>
    </row>
    <row r="24" spans="1:33" ht="15.75" customHeight="1" x14ac:dyDescent="0.2">
      <c r="A24" s="29" t="s">
        <v>79</v>
      </c>
      <c r="B24" s="29" t="s">
        <v>415</v>
      </c>
      <c r="C24" s="16">
        <f t="shared" si="4"/>
        <v>67.989999999999995</v>
      </c>
      <c r="D24" s="30">
        <v>1</v>
      </c>
      <c r="E24" s="30">
        <v>0</v>
      </c>
      <c r="F24" s="33">
        <v>67.989999999999995</v>
      </c>
      <c r="G24" s="33">
        <v>0</v>
      </c>
      <c r="H24" s="32">
        <f t="shared" si="1"/>
        <v>0</v>
      </c>
      <c r="I24" s="32">
        <f t="shared" si="2"/>
        <v>0.37336451438937085</v>
      </c>
      <c r="J24" s="33">
        <f t="shared" si="5"/>
        <v>25.385053333333321</v>
      </c>
      <c r="K24" s="33">
        <f t="shared" si="3"/>
        <v>25.385053333333321</v>
      </c>
      <c r="L24" s="30">
        <v>29</v>
      </c>
      <c r="M24" s="34">
        <f t="shared" si="6"/>
        <v>3.4482758620689655E-2</v>
      </c>
      <c r="N24" s="30">
        <v>331</v>
      </c>
      <c r="O24" s="35">
        <f t="shared" ref="O24:P24" si="32">D24/7</f>
        <v>0.14285714285714285</v>
      </c>
      <c r="P24" s="35">
        <f t="shared" si="32"/>
        <v>0</v>
      </c>
      <c r="Q24" s="30">
        <f t="shared" si="8"/>
        <v>2317</v>
      </c>
      <c r="R24" s="30"/>
      <c r="S24" s="36">
        <v>1.8768472906403899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Summary!A1:AD5000""),9,FALSE),"""")"),896)</f>
        <v>896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Summary!A1:AD5000""),28,FALSE),"""")"),32)</f>
        <v>32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AGL195: 32 - 07/01/21 | AGL229: 220 - 08/22/21")</f>
        <v xml:space="preserve"> | AGL195: 32 - 07/01/21 | AGL229: 220 - 08/22/21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163</v>
      </c>
      <c r="AB24" s="41">
        <f t="shared" si="11"/>
        <v>-0.48</v>
      </c>
      <c r="AC24" s="42">
        <v>1.1150902777777778</v>
      </c>
      <c r="AD24" s="40">
        <f t="shared" si="12"/>
        <v>-1.0704866666666666</v>
      </c>
      <c r="AE24" s="40">
        <v>-13.2</v>
      </c>
      <c r="AF24" s="40">
        <v>-18.135960000000001</v>
      </c>
      <c r="AG24" s="40">
        <v>0</v>
      </c>
    </row>
    <row r="25" spans="1:33" ht="15.75" customHeight="1" x14ac:dyDescent="0.2">
      <c r="A25" s="15" t="s">
        <v>81</v>
      </c>
      <c r="B25" s="15" t="s">
        <v>609</v>
      </c>
      <c r="C25" s="16">
        <f t="shared" si="4"/>
        <v>67.724999999999994</v>
      </c>
      <c r="D25" s="17">
        <v>4</v>
      </c>
      <c r="E25" s="17">
        <v>0</v>
      </c>
      <c r="F25" s="18">
        <v>270.89999999999998</v>
      </c>
      <c r="G25" s="18">
        <v>0</v>
      </c>
      <c r="H25" s="32">
        <f t="shared" si="1"/>
        <v>0</v>
      </c>
      <c r="I25" s="32">
        <f t="shared" si="2"/>
        <v>0.37143984250030759</v>
      </c>
      <c r="J25" s="33">
        <f t="shared" si="5"/>
        <v>100.62305333333332</v>
      </c>
      <c r="K25" s="33">
        <f t="shared" si="3"/>
        <v>25.155763333333329</v>
      </c>
      <c r="L25" s="17">
        <v>104</v>
      </c>
      <c r="M25" s="34">
        <f t="shared" si="6"/>
        <v>3.8461538461538464E-2</v>
      </c>
      <c r="N25" s="17">
        <v>328</v>
      </c>
      <c r="O25" s="35">
        <f t="shared" ref="O25:P25" si="33">D25/7</f>
        <v>0.5714285714285714</v>
      </c>
      <c r="P25" s="35">
        <f t="shared" si="33"/>
        <v>0</v>
      </c>
      <c r="Q25" s="30">
        <f t="shared" si="8"/>
        <v>574</v>
      </c>
      <c r="R25" s="30"/>
      <c r="S25" s="36">
        <v>1.8768472906403899</v>
      </c>
      <c r="T25" s="29">
        <v>676</v>
      </c>
      <c r="U25" s="37">
        <v>32</v>
      </c>
      <c r="V25" s="38" t="s">
        <v>610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163</v>
      </c>
      <c r="AB25" s="41">
        <f t="shared" si="11"/>
        <v>-0.48</v>
      </c>
      <c r="AC25" s="42">
        <v>1.1150902777777778</v>
      </c>
      <c r="AD25" s="40">
        <f t="shared" si="12"/>
        <v>-4.2819466666666663</v>
      </c>
      <c r="AE25" s="26">
        <v>-13.2</v>
      </c>
      <c r="AF25" s="26">
        <v>-18.14</v>
      </c>
      <c r="AG25" s="26">
        <v>0</v>
      </c>
    </row>
    <row r="26" spans="1:33" ht="15.75" customHeight="1" x14ac:dyDescent="0.2">
      <c r="A26" s="15" t="s">
        <v>83</v>
      </c>
      <c r="B26" s="15" t="s">
        <v>611</v>
      </c>
      <c r="C26" s="16">
        <f t="shared" si="4"/>
        <v>58.77</v>
      </c>
      <c r="D26" s="17">
        <v>10</v>
      </c>
      <c r="E26" s="17">
        <v>0</v>
      </c>
      <c r="F26" s="18">
        <v>587.70000000000005</v>
      </c>
      <c r="G26" s="18">
        <v>-7.19</v>
      </c>
      <c r="H26" s="32">
        <f t="shared" si="1"/>
        <v>1.2234133061085587E-2</v>
      </c>
      <c r="I26" s="32">
        <f t="shared" si="2"/>
        <v>0.2795482956156769</v>
      </c>
      <c r="J26" s="33">
        <f t="shared" si="5"/>
        <v>164.29053333333334</v>
      </c>
      <c r="K26" s="33">
        <f t="shared" si="3"/>
        <v>16.429053333333336</v>
      </c>
      <c r="L26" s="17">
        <v>105</v>
      </c>
      <c r="M26" s="34">
        <f t="shared" si="6"/>
        <v>9.5238095238095233E-2</v>
      </c>
      <c r="N26" s="17">
        <v>291</v>
      </c>
      <c r="O26" s="35">
        <f t="shared" ref="O26:P26" si="34">D26/7</f>
        <v>1.4285714285714286</v>
      </c>
      <c r="P26" s="35">
        <f t="shared" si="34"/>
        <v>0</v>
      </c>
      <c r="Q26" s="30">
        <f t="shared" si="8"/>
        <v>203</v>
      </c>
      <c r="R26" s="30"/>
      <c r="S26" s="22">
        <v>1.7222222222222221</v>
      </c>
      <c r="T26" s="29">
        <v>896</v>
      </c>
      <c r="U26" s="37">
        <v>32</v>
      </c>
      <c r="V26" s="38" t="s">
        <v>612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163</v>
      </c>
      <c r="AB26" s="41">
        <f t="shared" si="11"/>
        <v>-0.48</v>
      </c>
      <c r="AC26" s="42">
        <v>1.1150902777777778</v>
      </c>
      <c r="AD26" s="40">
        <f t="shared" si="12"/>
        <v>-10.704866666666666</v>
      </c>
      <c r="AE26" s="26">
        <v>-13.6</v>
      </c>
      <c r="AF26" s="26">
        <v>-18.135960000000001</v>
      </c>
      <c r="AG26" s="26">
        <v>0</v>
      </c>
    </row>
    <row r="27" spans="1:33" ht="15.75" customHeight="1" x14ac:dyDescent="0.2">
      <c r="A27" s="15" t="s">
        <v>84</v>
      </c>
      <c r="B27" s="15" t="s">
        <v>420</v>
      </c>
      <c r="C27" s="16">
        <f t="shared" si="4"/>
        <v>54.281428571428577</v>
      </c>
      <c r="D27" s="17">
        <v>14</v>
      </c>
      <c r="E27" s="17">
        <v>0</v>
      </c>
      <c r="F27" s="18">
        <v>759.94</v>
      </c>
      <c r="G27" s="18">
        <v>-11.42</v>
      </c>
      <c r="H27" s="32">
        <f t="shared" si="1"/>
        <v>1.5027502171224043E-2</v>
      </c>
      <c r="I27" s="32">
        <f t="shared" si="2"/>
        <v>0.23059550315375779</v>
      </c>
      <c r="J27" s="33">
        <f t="shared" si="5"/>
        <v>175.23874666666671</v>
      </c>
      <c r="K27" s="33">
        <f t="shared" si="3"/>
        <v>12.517053333333337</v>
      </c>
      <c r="L27" s="17">
        <v>149</v>
      </c>
      <c r="M27" s="34">
        <f t="shared" si="6"/>
        <v>9.3959731543624164E-2</v>
      </c>
      <c r="N27" s="17">
        <v>0</v>
      </c>
      <c r="O27" s="35">
        <f t="shared" ref="O27:P27" si="35">D27/7</f>
        <v>2</v>
      </c>
      <c r="P27" s="35">
        <f t="shared" si="35"/>
        <v>0</v>
      </c>
      <c r="Q27" s="30">
        <f t="shared" si="8"/>
        <v>0</v>
      </c>
      <c r="R27" s="30"/>
      <c r="S27" s="22">
        <v>2.9306930693069311</v>
      </c>
      <c r="T27" s="29">
        <v>896</v>
      </c>
      <c r="U27" s="37">
        <v>32</v>
      </c>
      <c r="V27" s="38" t="s">
        <v>612</v>
      </c>
      <c r="W27" s="15">
        <v>0</v>
      </c>
      <c r="X27" s="39">
        <f t="shared" si="9"/>
        <v>0</v>
      </c>
      <c r="Y27" s="40">
        <f t="shared" si="10"/>
        <v>11.42</v>
      </c>
      <c r="Z27" s="15">
        <v>1</v>
      </c>
      <c r="AA27" s="29" t="s">
        <v>163</v>
      </c>
      <c r="AB27" s="41">
        <f t="shared" si="11"/>
        <v>-0.48</v>
      </c>
      <c r="AC27" s="42">
        <v>1.1150902777777778</v>
      </c>
      <c r="AD27" s="40">
        <f t="shared" si="12"/>
        <v>-14.986813333333332</v>
      </c>
      <c r="AE27" s="26">
        <v>-13.6</v>
      </c>
      <c r="AF27" s="26">
        <v>-18.135960000000001</v>
      </c>
      <c r="AG27" s="26">
        <v>0</v>
      </c>
    </row>
    <row r="28" spans="1:33" ht="15.75" customHeight="1" x14ac:dyDescent="0.2">
      <c r="A28" s="15" t="s">
        <v>85</v>
      </c>
      <c r="B28" s="15" t="s">
        <v>412</v>
      </c>
      <c r="C28" s="16">
        <f t="shared" si="4"/>
        <v>54.723249999999993</v>
      </c>
      <c r="D28" s="17">
        <v>80</v>
      </c>
      <c r="E28" s="17">
        <v>0</v>
      </c>
      <c r="F28" s="18">
        <v>4377.8599999999997</v>
      </c>
      <c r="G28" s="18">
        <v>-8.870000000000001</v>
      </c>
      <c r="H28" s="32">
        <f t="shared" si="1"/>
        <v>2.0261040782482771E-3</v>
      </c>
      <c r="I28" s="32">
        <f t="shared" si="2"/>
        <v>0.24847648546702417</v>
      </c>
      <c r="J28" s="33">
        <f t="shared" si="5"/>
        <v>1087.7952666666663</v>
      </c>
      <c r="K28" s="33">
        <f t="shared" si="3"/>
        <v>13.597440833333328</v>
      </c>
      <c r="L28" s="17">
        <v>237</v>
      </c>
      <c r="M28" s="34">
        <f t="shared" si="6"/>
        <v>0.33755274261603374</v>
      </c>
      <c r="N28" s="17">
        <v>224</v>
      </c>
      <c r="O28" s="35">
        <f t="shared" ref="O28:P28" si="36">D28/7</f>
        <v>11.428571428571429</v>
      </c>
      <c r="P28" s="35">
        <f t="shared" si="36"/>
        <v>0</v>
      </c>
      <c r="Q28" s="30">
        <f t="shared" si="8"/>
        <v>19</v>
      </c>
      <c r="R28" s="30"/>
      <c r="S28" s="22">
        <v>1.906191369606004</v>
      </c>
      <c r="T28" s="15" t="s">
        <v>34</v>
      </c>
      <c r="U28" s="23">
        <v>252</v>
      </c>
      <c r="V28" s="1" t="s">
        <v>613</v>
      </c>
      <c r="W28" s="15">
        <v>0</v>
      </c>
      <c r="X28" s="39">
        <f t="shared" si="9"/>
        <v>0</v>
      </c>
      <c r="Y28" s="40">
        <f t="shared" si="10"/>
        <v>8.870000000000001</v>
      </c>
      <c r="Z28" s="15">
        <v>1</v>
      </c>
      <c r="AA28" s="29" t="s">
        <v>163</v>
      </c>
      <c r="AB28" s="41">
        <f t="shared" si="11"/>
        <v>-0.48</v>
      </c>
      <c r="AC28" s="42">
        <v>1.1150902777777778</v>
      </c>
      <c r="AD28" s="40">
        <f t="shared" si="12"/>
        <v>-85.638933333333327</v>
      </c>
      <c r="AE28" s="26">
        <v>-13.6</v>
      </c>
      <c r="AF28" s="26">
        <v>-18.135960000000001</v>
      </c>
      <c r="AG28" s="26">
        <v>0</v>
      </c>
    </row>
    <row r="29" spans="1:33" ht="15.75" customHeight="1" x14ac:dyDescent="0.2">
      <c r="A29" s="15" t="s">
        <v>88</v>
      </c>
      <c r="B29" s="15" t="s">
        <v>590</v>
      </c>
      <c r="C29" s="16">
        <f t="shared" si="4"/>
        <v>60.777195121951216</v>
      </c>
      <c r="D29" s="17">
        <v>82</v>
      </c>
      <c r="E29" s="17">
        <v>0</v>
      </c>
      <c r="F29" s="18">
        <v>4983.7299999999996</v>
      </c>
      <c r="G29" s="18">
        <v>-7.6999999999999993</v>
      </c>
      <c r="H29" s="32">
        <f t="shared" si="1"/>
        <v>1.5450275195486112E-3</v>
      </c>
      <c r="I29" s="32">
        <f t="shared" si="2"/>
        <v>0.27537612581306231</v>
      </c>
      <c r="J29" s="33">
        <f t="shared" si="5"/>
        <v>1372.4002594983328</v>
      </c>
      <c r="K29" s="33">
        <f t="shared" si="3"/>
        <v>16.736588530467472</v>
      </c>
      <c r="L29" s="17">
        <v>225</v>
      </c>
      <c r="M29" s="34">
        <f t="shared" si="6"/>
        <v>0.36444444444444446</v>
      </c>
      <c r="N29" s="17">
        <v>135</v>
      </c>
      <c r="O29" s="35">
        <f t="shared" ref="O29:P29" si="37">D29/7</f>
        <v>11.714285714285714</v>
      </c>
      <c r="P29" s="35">
        <f t="shared" si="37"/>
        <v>0</v>
      </c>
      <c r="Q29" s="30">
        <f t="shared" si="8"/>
        <v>11</v>
      </c>
      <c r="R29" s="30"/>
      <c r="S29" s="22">
        <v>1.8307030129124819</v>
      </c>
      <c r="T29" s="15" t="s">
        <v>34</v>
      </c>
      <c r="U29" s="23">
        <v>252</v>
      </c>
      <c r="V29" s="1" t="s">
        <v>613</v>
      </c>
      <c r="W29" s="15">
        <v>1</v>
      </c>
      <c r="X29" s="39">
        <f t="shared" si="9"/>
        <v>1.2195121951219513E-2</v>
      </c>
      <c r="Y29" s="40">
        <f t="shared" si="10"/>
        <v>3.8499999999999996</v>
      </c>
      <c r="Z29" s="15">
        <v>1</v>
      </c>
      <c r="AA29" s="29" t="s">
        <v>163</v>
      </c>
      <c r="AB29" s="41">
        <f t="shared" si="11"/>
        <v>-0.48</v>
      </c>
      <c r="AC29" s="42">
        <v>1.1150902777777778</v>
      </c>
      <c r="AD29" s="40">
        <f t="shared" si="12"/>
        <v>-87.779906666666662</v>
      </c>
      <c r="AE29" s="26">
        <v>-13.6</v>
      </c>
      <c r="AF29" s="26">
        <v>-20.1596382175</v>
      </c>
      <c r="AG29" s="26">
        <v>0</v>
      </c>
    </row>
    <row r="30" spans="1:33" ht="15.75" customHeight="1" x14ac:dyDescent="0.2">
      <c r="A30" s="15" t="s">
        <v>90</v>
      </c>
      <c r="B30" s="15" t="s">
        <v>423</v>
      </c>
      <c r="C30" s="16">
        <f t="shared" si="4"/>
        <v>71.215217391304279</v>
      </c>
      <c r="D30" s="17">
        <v>46</v>
      </c>
      <c r="E30" s="17">
        <v>0</v>
      </c>
      <c r="F30" s="18">
        <v>3275.8999999999969</v>
      </c>
      <c r="G30" s="18">
        <v>0</v>
      </c>
      <c r="H30" s="32">
        <f t="shared" si="1"/>
        <v>0</v>
      </c>
      <c r="I30" s="32">
        <f t="shared" si="2"/>
        <v>0.33393610540105972</v>
      </c>
      <c r="J30" s="33">
        <f t="shared" si="5"/>
        <v>1093.9412876833305</v>
      </c>
      <c r="K30" s="33">
        <f t="shared" si="3"/>
        <v>23.781332340941969</v>
      </c>
      <c r="L30" s="17">
        <v>113</v>
      </c>
      <c r="M30" s="34">
        <f t="shared" si="6"/>
        <v>0.40707964601769914</v>
      </c>
      <c r="N30" s="17">
        <v>118</v>
      </c>
      <c r="O30" s="35">
        <f t="shared" ref="O30:P30" si="38">D30/7</f>
        <v>6.5714285714285712</v>
      </c>
      <c r="P30" s="35">
        <f t="shared" si="38"/>
        <v>0</v>
      </c>
      <c r="Q30" s="30">
        <f t="shared" si="8"/>
        <v>17</v>
      </c>
      <c r="R30" s="30"/>
      <c r="S30" s="22">
        <v>2.154330708661417</v>
      </c>
      <c r="T30" s="15" t="s">
        <v>34</v>
      </c>
      <c r="U30" s="23">
        <v>252</v>
      </c>
      <c r="V30" s="1" t="s">
        <v>613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163</v>
      </c>
      <c r="AB30" s="41">
        <f t="shared" si="11"/>
        <v>-0.48</v>
      </c>
      <c r="AC30" s="42">
        <v>1.1150902777777778</v>
      </c>
      <c r="AD30" s="40">
        <f t="shared" si="12"/>
        <v>-49.242386666666661</v>
      </c>
      <c r="AE30" s="26">
        <v>-13.6</v>
      </c>
      <c r="AF30" s="26">
        <v>-22.081115775000001</v>
      </c>
      <c r="AG30" s="26">
        <v>0</v>
      </c>
    </row>
    <row r="31" spans="1:33" ht="15.75" customHeight="1" x14ac:dyDescent="0.2">
      <c r="A31" s="29" t="s">
        <v>93</v>
      </c>
      <c r="B31" s="29" t="s">
        <v>54</v>
      </c>
      <c r="C31" s="16">
        <f t="shared" si="4"/>
        <v>69.092424242424258</v>
      </c>
      <c r="D31" s="17">
        <v>33</v>
      </c>
      <c r="E31" s="17">
        <v>0</v>
      </c>
      <c r="F31" s="18">
        <v>2280.0500000000006</v>
      </c>
      <c r="G31" s="18">
        <v>-0.03</v>
      </c>
      <c r="H31" s="32">
        <f t="shared" si="1"/>
        <v>1.3157606192846645E-5</v>
      </c>
      <c r="I31" s="32">
        <f t="shared" si="2"/>
        <v>0.31806741932194488</v>
      </c>
      <c r="J31" s="33">
        <f t="shared" si="5"/>
        <v>725.2096194250006</v>
      </c>
      <c r="K31" s="33">
        <f t="shared" si="3"/>
        <v>21.976049073484866</v>
      </c>
      <c r="L31" s="17">
        <v>120</v>
      </c>
      <c r="M31" s="34">
        <f t="shared" si="6"/>
        <v>0.27500000000000002</v>
      </c>
      <c r="N31" s="17">
        <v>81</v>
      </c>
      <c r="O31" s="35">
        <f t="shared" ref="O31:P31" si="39">D31/7</f>
        <v>4.7142857142857144</v>
      </c>
      <c r="P31" s="35">
        <f t="shared" si="39"/>
        <v>0</v>
      </c>
      <c r="Q31" s="30">
        <f t="shared" si="8"/>
        <v>17</v>
      </c>
      <c r="R31" s="30"/>
      <c r="S31" s="22">
        <v>2.1577287066245998</v>
      </c>
      <c r="T31" s="15">
        <v>449</v>
      </c>
      <c r="U31" s="23">
        <v>220</v>
      </c>
      <c r="V31" s="1" t="s">
        <v>614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163</v>
      </c>
      <c r="AB31" s="41">
        <f t="shared" si="11"/>
        <v>-0.48</v>
      </c>
      <c r="AC31" s="28">
        <v>1.1150902777777778</v>
      </c>
      <c r="AD31" s="40">
        <f t="shared" si="12"/>
        <v>-35.326059999999998</v>
      </c>
      <c r="AE31" s="26">
        <v>-13.6</v>
      </c>
      <c r="AF31" s="43">
        <v>-22.081115775000001</v>
      </c>
      <c r="AG31" s="26">
        <v>0</v>
      </c>
    </row>
    <row r="32" spans="1:33" ht="15.75" customHeight="1" x14ac:dyDescent="0.2">
      <c r="A32" s="15" t="s">
        <v>96</v>
      </c>
      <c r="B32" s="44" t="s">
        <v>615</v>
      </c>
      <c r="C32" s="16">
        <f t="shared" si="4"/>
        <v>72.935000000000002</v>
      </c>
      <c r="D32" s="17">
        <v>14</v>
      </c>
      <c r="E32" s="17">
        <v>0</v>
      </c>
      <c r="F32" s="18">
        <v>1021.09</v>
      </c>
      <c r="G32" s="18">
        <v>-0.08</v>
      </c>
      <c r="H32" s="32">
        <f t="shared" si="1"/>
        <v>7.8347648101538555E-5</v>
      </c>
      <c r="I32" s="32">
        <f t="shared" si="2"/>
        <v>0.34602636968011308</v>
      </c>
      <c r="J32" s="33">
        <f t="shared" si="5"/>
        <v>353.32406581666669</v>
      </c>
      <c r="K32" s="33">
        <f t="shared" si="3"/>
        <v>25.23743327261905</v>
      </c>
      <c r="L32" s="17">
        <v>114</v>
      </c>
      <c r="M32" s="34">
        <f t="shared" si="6"/>
        <v>0.12280701754385964</v>
      </c>
      <c r="N32" s="17">
        <v>67</v>
      </c>
      <c r="O32" s="35">
        <f t="shared" ref="O32:P32" si="40">D32/7</f>
        <v>2</v>
      </c>
      <c r="P32" s="35">
        <f t="shared" si="40"/>
        <v>0</v>
      </c>
      <c r="Q32" s="30">
        <f t="shared" si="8"/>
        <v>33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2.7765726681127978</v>
      </c>
      <c r="T32" s="15">
        <f ca="1">IFERROR(__xludf.DUMMYFUNCTION("IFERROR(VLOOKUP($B$2,IMPORTRANGE(""https://docs.google.com/spreadsheets/d/1KiWZV1ko8G7lnRucBRBd29jj3Be6ltMfljMDqzOkQmI/edit#gid=1381463014"",""Lookup!A:D""),4,FALSE),"""")"),449)</f>
        <v>449</v>
      </c>
      <c r="U32" s="23">
        <f ca="1">IFERROR(__xludf.DUMMYFUNCTION("IFERROR(VLOOKUP($B$2,IMPORTRANGE(""https://docs.google.com/spreadsheets/d/1KiWZV1ko8G7lnRucBRBd29jj3Be6ltMfljMDqzOkQmI/edit#gid=1381463014"",""Lookup!A:D""),3,FALSE),"""")"),220)</f>
        <v>220</v>
      </c>
      <c r="V32" s="1" t="str">
        <f ca="1">IFERROR(__xludf.DUMMYFUNCTION("IFERROR(VLOOKUP($B$2,IMPORTRANGE(""https://docs.google.com/spreadsheets/d/1KiWZV1ko8G7lnRucBRBd29jj3Be6ltMfljMDqzOkQmI/edit#gid=1381463014"",""Lookup!A:D""),2,FALSE),"""")"),"| AGL229  - 220 units 08/22")</f>
        <v>| AGL229  - 220 units 08/22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163</v>
      </c>
      <c r="AB32" s="41">
        <f t="shared" si="11"/>
        <v>-0.48</v>
      </c>
      <c r="AC32" s="28">
        <v>1.1150902777777778</v>
      </c>
      <c r="AD32" s="40">
        <f t="shared" si="12"/>
        <v>-14.986813333333332</v>
      </c>
      <c r="AE32" s="26">
        <v>-13.6</v>
      </c>
      <c r="AF32" s="26">
        <v>-22.081115775000001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5.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38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Chalkboard Signs for Tables, 8 Pack - Rustic 5x6 Inch Small Slate Tabletop Chalk Boards with Wood Stands Set")</f>
        <v>Mini Chalkboard Signs for Tables, 8 Pack - Rustic 5x6 Inch Small Slate Tabletop Chalk Boards with Wood Stands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Info!B1:BJ5000""),2,FALSE),"""")"),"B07WK6WN6H")</f>
        <v>B07WK6WN6H</v>
      </c>
      <c r="B2" s="3" t="s">
        <v>616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53.75" customHeight="1" x14ac:dyDescent="0.2">
      <c r="A3" s="57" t="s">
        <v>31</v>
      </c>
      <c r="B3" s="58"/>
      <c r="C3" s="4">
        <f>((AE32+AF32)/0.85)*-1</f>
        <v>16.679184203921565</v>
      </c>
      <c r="D3" s="5">
        <f>SUM(D4:D99519)</f>
        <v>312</v>
      </c>
      <c r="E3" s="5"/>
      <c r="F3" s="6">
        <f t="shared" ref="F3:G3" si="0">SUM(F4:F99519)</f>
        <v>8072.9</v>
      </c>
      <c r="G3" s="6">
        <f t="shared" si="0"/>
        <v>-1.3599999999999999</v>
      </c>
      <c r="H3" s="7">
        <f t="shared" ref="H3:H32" si="1">G3/F3*-1</f>
        <v>1.6846486392746102E-4</v>
      </c>
      <c r="I3" s="8">
        <f t="shared" ref="I3:I32" si="2">J3/F3</f>
        <v>0.29007769215399054</v>
      </c>
      <c r="J3" s="6">
        <f>SUM(J4:J99519)</f>
        <v>2341.7682009899499</v>
      </c>
      <c r="K3" s="6">
        <f t="shared" ref="K3:K32" si="3">J3/D3</f>
        <v>7.5056673108652241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Sheet!a1:g5000""),2,FALSE),"""")"),"3.0 - March
3.0 - April
3.0 - May
3.0 - June
3.0 - July
3.0 - Aug
3.0 - Sept
3.0 - Oct
3.0 - Nov
3.0 - Dec
3.0 - Jan
3.0 - Feb")</f>
        <v>3.0 - March
3.0 - April
3.0 - May
3.0 - June
3.0 - July
3.0 - Aug
3.0 - Sept
3.0 - Oct
3.0 - Nov
3.0 - Dec
3.0 - Jan
3.0 -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1</v>
      </c>
      <c r="X3" s="7">
        <f>W3/D3</f>
        <v>3.205128205128205E-3</v>
      </c>
      <c r="Y3" s="6"/>
      <c r="Z3" s="5"/>
      <c r="AA3" s="5"/>
      <c r="AB3" s="5"/>
      <c r="AC3" s="5"/>
      <c r="AD3" s="6">
        <f>SUM(AD4:AD99519)</f>
        <v>-83.795683625434521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Info!B2:BZ3000""),37,FALSE)),"""")*-1"),-7.89730657333333)</f>
        <v>-7.8973065733333296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617</v>
      </c>
      <c r="C4" s="16">
        <f t="shared" ref="C4:C32" si="4">IFERROR(F4/D4," - ")</f>
        <v>23.990000000000002</v>
      </c>
      <c r="D4" s="17">
        <v>13</v>
      </c>
      <c r="E4" s="17">
        <v>0</v>
      </c>
      <c r="F4" s="18">
        <v>311.87</v>
      </c>
      <c r="G4" s="18">
        <v>-0.18</v>
      </c>
      <c r="H4" s="19">
        <f t="shared" si="1"/>
        <v>5.7716356174046871E-4</v>
      </c>
      <c r="I4" s="19">
        <f t="shared" si="2"/>
        <v>0.25664930499887761</v>
      </c>
      <c r="J4" s="18">
        <f t="shared" ref="J4:J32" si="5">F4*0.85+G4+AF4*D4+D4*AE4+AG4+AD4</f>
        <v>80.04121874999997</v>
      </c>
      <c r="K4" s="18">
        <f t="shared" si="3"/>
        <v>6.1570168269230745</v>
      </c>
      <c r="L4" s="17">
        <v>48</v>
      </c>
      <c r="M4" s="20">
        <f t="shared" ref="M4:M32" si="6">IFERROR(D4/L4,"-")</f>
        <v>0.27083333333333331</v>
      </c>
      <c r="N4" s="17">
        <v>83</v>
      </c>
      <c r="O4" s="21">
        <f t="shared" ref="O4:P4" si="7">D4/7</f>
        <v>1.8571428571428572</v>
      </c>
      <c r="P4" s="21">
        <f t="shared" si="7"/>
        <v>0</v>
      </c>
      <c r="Q4" s="17">
        <f t="shared" ref="Q4:Q32" si="8">ROUNDDOWN(N4/(O4+P4),0)</f>
        <v>44</v>
      </c>
      <c r="R4" s="17"/>
      <c r="S4" s="22">
        <v>1.3596837944664</v>
      </c>
      <c r="T4" s="15">
        <v>306</v>
      </c>
      <c r="U4" s="23">
        <v>102</v>
      </c>
      <c r="V4" s="24" t="s">
        <v>618</v>
      </c>
      <c r="W4" s="15">
        <v>1</v>
      </c>
      <c r="X4" s="25">
        <f t="shared" ref="X4:X32" si="9">IFERROR(W4/D4,0)</f>
        <v>7.6923076923076927E-2</v>
      </c>
      <c r="Y4" s="26">
        <f t="shared" ref="Y4:Y32" si="10">IFERROR(G4/(W4+Z4)*-1,0)</f>
        <v>0.18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0.19461805555555556</v>
      </c>
      <c r="AD4" s="26">
        <f t="shared" ref="AD4:AD32" si="12">IFERROR(AB4*AC4*D4*2,0)</f>
        <v>-3.4914479166666665</v>
      </c>
      <c r="AE4" s="26">
        <v>-6.18</v>
      </c>
      <c r="AF4" s="26">
        <v>-7.7720641025641024</v>
      </c>
      <c r="AG4" s="26">
        <v>0</v>
      </c>
    </row>
    <row r="5" spans="1:33" ht="15.75" customHeight="1" x14ac:dyDescent="0.2">
      <c r="A5" s="29" t="s">
        <v>36</v>
      </c>
      <c r="B5" s="29" t="s">
        <v>619</v>
      </c>
      <c r="C5" s="16">
        <f t="shared" si="4"/>
        <v>25.709999999999997</v>
      </c>
      <c r="D5" s="30">
        <v>3</v>
      </c>
      <c r="E5" s="30">
        <v>0</v>
      </c>
      <c r="F5" s="31">
        <v>77.13</v>
      </c>
      <c r="G5" s="31">
        <v>0</v>
      </c>
      <c r="H5" s="32">
        <f t="shared" si="1"/>
        <v>0</v>
      </c>
      <c r="I5" s="32">
        <f t="shared" si="2"/>
        <v>0.29687093630070216</v>
      </c>
      <c r="J5" s="33">
        <f t="shared" si="5"/>
        <v>22.897655316873156</v>
      </c>
      <c r="K5" s="33">
        <f t="shared" si="3"/>
        <v>7.6325517722910519</v>
      </c>
      <c r="L5" s="30">
        <v>67</v>
      </c>
      <c r="M5" s="34">
        <f t="shared" si="6"/>
        <v>4.4776119402985072E-2</v>
      </c>
      <c r="N5" s="30">
        <v>78</v>
      </c>
      <c r="O5" s="35">
        <f t="shared" ref="O5:P5" si="13">D5/7</f>
        <v>0.42857142857142855</v>
      </c>
      <c r="P5" s="35">
        <f t="shared" si="13"/>
        <v>0</v>
      </c>
      <c r="Q5" s="30">
        <f t="shared" si="8"/>
        <v>182</v>
      </c>
      <c r="R5" s="30"/>
      <c r="S5" s="36">
        <v>1.26101694915254</v>
      </c>
      <c r="T5" s="29">
        <v>306</v>
      </c>
      <c r="U5" s="37">
        <v>102</v>
      </c>
      <c r="V5" s="38" t="s">
        <v>620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35</v>
      </c>
      <c r="AB5" s="41">
        <f t="shared" si="11"/>
        <v>-0.69</v>
      </c>
      <c r="AC5" s="42">
        <v>0.19484356894553884</v>
      </c>
      <c r="AD5" s="40">
        <f t="shared" si="12"/>
        <v>-0.80665237543453072</v>
      </c>
      <c r="AE5" s="40">
        <v>-6.18</v>
      </c>
      <c r="AF5" s="40">
        <v>-7.7720641025641024</v>
      </c>
      <c r="AG5" s="40">
        <v>0</v>
      </c>
    </row>
    <row r="6" spans="1:33" ht="15.75" customHeight="1" x14ac:dyDescent="0.2">
      <c r="A6" s="29" t="s">
        <v>38</v>
      </c>
      <c r="B6" s="29" t="s">
        <v>187</v>
      </c>
      <c r="C6" s="16">
        <f t="shared" si="4"/>
        <v>25.293750000000003</v>
      </c>
      <c r="D6" s="30">
        <v>8</v>
      </c>
      <c r="E6" s="30">
        <v>0</v>
      </c>
      <c r="F6" s="31">
        <v>202.35000000000002</v>
      </c>
      <c r="G6" s="31">
        <v>0</v>
      </c>
      <c r="H6" s="32">
        <f t="shared" si="1"/>
        <v>0</v>
      </c>
      <c r="I6" s="32">
        <f t="shared" si="2"/>
        <v>0.28778059721351051</v>
      </c>
      <c r="J6" s="33">
        <f t="shared" si="5"/>
        <v>58.232403846153858</v>
      </c>
      <c r="K6" s="33">
        <f t="shared" si="3"/>
        <v>7.2790504807692322</v>
      </c>
      <c r="L6" s="30">
        <v>77</v>
      </c>
      <c r="M6" s="34">
        <f t="shared" si="6"/>
        <v>0.1038961038961039</v>
      </c>
      <c r="N6" s="30">
        <v>71</v>
      </c>
      <c r="O6" s="35">
        <f t="shared" ref="O6:P6" si="14">D6/7</f>
        <v>1.1428571428571428</v>
      </c>
      <c r="P6" s="35">
        <f t="shared" si="14"/>
        <v>0</v>
      </c>
      <c r="Q6" s="30">
        <f t="shared" si="8"/>
        <v>62</v>
      </c>
      <c r="R6" s="30"/>
      <c r="S6" s="36">
        <v>1.5</v>
      </c>
      <c r="T6" s="29">
        <v>306</v>
      </c>
      <c r="U6" s="37">
        <v>102</v>
      </c>
      <c r="V6" s="38" t="s">
        <v>621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0.19461805555555556</v>
      </c>
      <c r="AD6" s="40">
        <f t="shared" si="12"/>
        <v>-2.1485833333333333</v>
      </c>
      <c r="AE6" s="40">
        <v>-6.18</v>
      </c>
      <c r="AF6" s="40">
        <v>-7.7720641025641024</v>
      </c>
      <c r="AG6" s="40">
        <v>0</v>
      </c>
    </row>
    <row r="7" spans="1:33" ht="15.75" customHeight="1" x14ac:dyDescent="0.2">
      <c r="A7" s="29" t="s">
        <v>41</v>
      </c>
      <c r="B7" s="29" t="s">
        <v>622</v>
      </c>
      <c r="C7" s="16">
        <f t="shared" si="4"/>
        <v>23.99</v>
      </c>
      <c r="D7" s="30">
        <v>3</v>
      </c>
      <c r="E7" s="30">
        <v>0</v>
      </c>
      <c r="F7" s="31">
        <v>71.97</v>
      </c>
      <c r="G7" s="31">
        <v>0</v>
      </c>
      <c r="H7" s="32">
        <f t="shared" si="1"/>
        <v>0</v>
      </c>
      <c r="I7" s="32">
        <f t="shared" si="2"/>
        <v>0.2572264685606182</v>
      </c>
      <c r="J7" s="33">
        <f t="shared" si="5"/>
        <v>18.512588942307691</v>
      </c>
      <c r="K7" s="33">
        <f t="shared" si="3"/>
        <v>6.1708629807692299</v>
      </c>
      <c r="L7" s="30">
        <v>74</v>
      </c>
      <c r="M7" s="34">
        <f t="shared" si="6"/>
        <v>4.0540540540540543E-2</v>
      </c>
      <c r="N7" s="30">
        <v>67</v>
      </c>
      <c r="O7" s="35">
        <f t="shared" ref="O7:P7" si="15">D7/7</f>
        <v>0.42857142857142855</v>
      </c>
      <c r="P7" s="35">
        <f t="shared" si="15"/>
        <v>0</v>
      </c>
      <c r="Q7" s="30">
        <f t="shared" si="8"/>
        <v>156</v>
      </c>
      <c r="R7" s="30"/>
      <c r="S7" s="36">
        <v>1.78354978354978</v>
      </c>
      <c r="T7" s="29">
        <v>510</v>
      </c>
      <c r="U7" s="37">
        <v>102</v>
      </c>
      <c r="V7" s="38" t="s">
        <v>623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0.19461805555555556</v>
      </c>
      <c r="AD7" s="40">
        <f t="shared" si="12"/>
        <v>-0.80571875000000004</v>
      </c>
      <c r="AE7" s="40">
        <v>-6.18</v>
      </c>
      <c r="AF7" s="40">
        <v>-7.7720641025641024</v>
      </c>
      <c r="AG7" s="40">
        <v>0</v>
      </c>
    </row>
    <row r="8" spans="1:33" ht="15.75" customHeight="1" x14ac:dyDescent="0.2">
      <c r="A8" s="29" t="s">
        <v>44</v>
      </c>
      <c r="B8" s="29" t="s">
        <v>624</v>
      </c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-0.03</v>
      </c>
      <c r="H8" s="32" t="e">
        <f t="shared" si="1"/>
        <v>#DIV/0!</v>
      </c>
      <c r="I8" s="32" t="e">
        <f t="shared" si="2"/>
        <v>#DIV/0!</v>
      </c>
      <c r="J8" s="33">
        <f t="shared" si="5"/>
        <v>-0.03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68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>
        <v>1.2919254658385</v>
      </c>
      <c r="T8" s="29">
        <v>510</v>
      </c>
      <c r="U8" s="37">
        <v>102</v>
      </c>
      <c r="V8" s="38" t="s">
        <v>625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0.19461805555555556</v>
      </c>
      <c r="AD8" s="40">
        <f t="shared" si="12"/>
        <v>0</v>
      </c>
      <c r="AE8" s="40">
        <v>-6.18</v>
      </c>
      <c r="AF8" s="40">
        <v>-7.77</v>
      </c>
      <c r="AG8" s="40">
        <v>0</v>
      </c>
    </row>
    <row r="9" spans="1:33" ht="15.75" customHeight="1" x14ac:dyDescent="0.2">
      <c r="A9" s="29" t="s">
        <v>47</v>
      </c>
      <c r="B9" s="29" t="s">
        <v>187</v>
      </c>
      <c r="C9" s="16">
        <f t="shared" si="4"/>
        <v>22.041250000000002</v>
      </c>
      <c r="D9" s="30">
        <v>8</v>
      </c>
      <c r="E9" s="30">
        <v>0</v>
      </c>
      <c r="F9" s="31">
        <v>176.33</v>
      </c>
      <c r="G9" s="31">
        <v>-0.03</v>
      </c>
      <c r="H9" s="32">
        <f t="shared" si="1"/>
        <v>1.7013554131458059E-4</v>
      </c>
      <c r="I9" s="32">
        <f t="shared" si="2"/>
        <v>0.19580575901536637</v>
      </c>
      <c r="J9" s="33">
        <f t="shared" si="5"/>
        <v>34.526429487179556</v>
      </c>
      <c r="K9" s="33">
        <f t="shared" si="3"/>
        <v>4.3158036858974445</v>
      </c>
      <c r="L9" s="30">
        <v>55</v>
      </c>
      <c r="M9" s="34">
        <f t="shared" si="6"/>
        <v>0.14545454545454545</v>
      </c>
      <c r="N9" s="30">
        <v>61</v>
      </c>
      <c r="O9" s="35">
        <f t="shared" ref="O9:P9" si="17">D9/7</f>
        <v>1.1428571428571428</v>
      </c>
      <c r="P9" s="35">
        <f t="shared" si="17"/>
        <v>0</v>
      </c>
      <c r="Q9" s="30">
        <f t="shared" si="8"/>
        <v>53</v>
      </c>
      <c r="R9" s="30"/>
      <c r="S9" s="36">
        <v>1.14600550964187</v>
      </c>
      <c r="T9" s="29">
        <v>510</v>
      </c>
      <c r="U9" s="37">
        <v>102</v>
      </c>
      <c r="V9" s="38" t="s">
        <v>626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0.19461805555555556</v>
      </c>
      <c r="AD9" s="40">
        <f t="shared" si="12"/>
        <v>-2.1485833333333333</v>
      </c>
      <c r="AE9" s="40">
        <v>-6.18</v>
      </c>
      <c r="AF9" s="40">
        <v>-7.9669358974358904</v>
      </c>
      <c r="AG9" s="40">
        <v>0</v>
      </c>
    </row>
    <row r="10" spans="1:33" ht="15.75" customHeight="1" x14ac:dyDescent="0.2">
      <c r="A10" s="29" t="s">
        <v>50</v>
      </c>
      <c r="B10" s="29" t="s">
        <v>627</v>
      </c>
      <c r="C10" s="16">
        <f t="shared" si="4"/>
        <v>21.990000000000002</v>
      </c>
      <c r="D10" s="30">
        <v>7</v>
      </c>
      <c r="E10" s="30">
        <v>0</v>
      </c>
      <c r="F10" s="31">
        <v>153.93</v>
      </c>
      <c r="G10" s="31">
        <v>0</v>
      </c>
      <c r="H10" s="32">
        <f t="shared" si="1"/>
        <v>0</v>
      </c>
      <c r="I10" s="32">
        <f t="shared" si="2"/>
        <v>0.19445162282389455</v>
      </c>
      <c r="J10" s="33">
        <f t="shared" si="5"/>
        <v>29.931938301282091</v>
      </c>
      <c r="K10" s="33">
        <f t="shared" si="3"/>
        <v>4.2759911858974418</v>
      </c>
      <c r="L10" s="30">
        <v>66</v>
      </c>
      <c r="M10" s="34">
        <f t="shared" si="6"/>
        <v>0.10606060606060606</v>
      </c>
      <c r="N10" s="30">
        <v>52</v>
      </c>
      <c r="O10" s="35">
        <f t="shared" ref="O10:P10" si="18">D10/7</f>
        <v>1</v>
      </c>
      <c r="P10" s="35">
        <f t="shared" si="18"/>
        <v>0</v>
      </c>
      <c r="Q10" s="30">
        <f t="shared" si="8"/>
        <v>52</v>
      </c>
      <c r="R10" s="30"/>
      <c r="S10" s="36">
        <v>1.24691358024691</v>
      </c>
      <c r="T10" s="29">
        <v>204</v>
      </c>
      <c r="U10" s="37">
        <v>204</v>
      </c>
      <c r="V10" s="38" t="s">
        <v>628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35</v>
      </c>
      <c r="AB10" s="41">
        <f t="shared" si="11"/>
        <v>-0.69</v>
      </c>
      <c r="AC10" s="42">
        <v>0.19461805555555556</v>
      </c>
      <c r="AD10" s="40">
        <f t="shared" si="12"/>
        <v>-1.8800104166666667</v>
      </c>
      <c r="AE10" s="40">
        <v>-6.18</v>
      </c>
      <c r="AF10" s="40">
        <v>-7.9669358974358904</v>
      </c>
      <c r="AG10" s="40">
        <v>0</v>
      </c>
    </row>
    <row r="11" spans="1:33" ht="15.75" customHeight="1" x14ac:dyDescent="0.2">
      <c r="A11" s="29" t="s">
        <v>53</v>
      </c>
      <c r="B11" s="29" t="s">
        <v>629</v>
      </c>
      <c r="C11" s="16">
        <f t="shared" si="4"/>
        <v>20.88</v>
      </c>
      <c r="D11" s="30">
        <v>6</v>
      </c>
      <c r="E11" s="30">
        <v>0</v>
      </c>
      <c r="F11" s="31">
        <v>125.28</v>
      </c>
      <c r="G11" s="31">
        <v>0</v>
      </c>
      <c r="H11" s="32">
        <f t="shared" si="1"/>
        <v>0</v>
      </c>
      <c r="I11" s="32">
        <f t="shared" si="2"/>
        <v>0.1596020682901074</v>
      </c>
      <c r="J11" s="33">
        <f t="shared" si="5"/>
        <v>19.994947115384655</v>
      </c>
      <c r="K11" s="33">
        <f t="shared" si="3"/>
        <v>3.3324911858974424</v>
      </c>
      <c r="L11" s="30">
        <v>57</v>
      </c>
      <c r="M11" s="34">
        <f t="shared" si="6"/>
        <v>0.10526315789473684</v>
      </c>
      <c r="N11" s="30">
        <v>50</v>
      </c>
      <c r="O11" s="35">
        <f t="shared" ref="O11:P11" si="19">D11/7</f>
        <v>0.8571428571428571</v>
      </c>
      <c r="P11" s="35">
        <f t="shared" si="19"/>
        <v>0</v>
      </c>
      <c r="Q11" s="30">
        <f t="shared" si="8"/>
        <v>58</v>
      </c>
      <c r="R11" s="30"/>
      <c r="S11" s="36">
        <v>1.0845070422535199</v>
      </c>
      <c r="T11" s="29">
        <v>204</v>
      </c>
      <c r="U11" s="37">
        <v>204</v>
      </c>
      <c r="V11" s="38" t="s">
        <v>630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0.19461805555555556</v>
      </c>
      <c r="AD11" s="40">
        <f t="shared" si="12"/>
        <v>-1.6114375000000001</v>
      </c>
      <c r="AE11" s="40">
        <v>-6.18</v>
      </c>
      <c r="AF11" s="40">
        <v>-7.9669358974358904</v>
      </c>
      <c r="AG11" s="40">
        <v>0</v>
      </c>
    </row>
    <row r="12" spans="1:33" ht="15.75" customHeight="1" x14ac:dyDescent="0.2">
      <c r="A12" s="29" t="s">
        <v>56</v>
      </c>
      <c r="B12" s="29" t="s">
        <v>518</v>
      </c>
      <c r="C12" s="16">
        <f t="shared" si="4"/>
        <v>20.011666666666667</v>
      </c>
      <c r="D12" s="30">
        <v>12</v>
      </c>
      <c r="E12" s="30">
        <v>1</v>
      </c>
      <c r="F12" s="31">
        <v>240.14000000000001</v>
      </c>
      <c r="G12" s="31">
        <v>0</v>
      </c>
      <c r="H12" s="32">
        <f t="shared" si="1"/>
        <v>0</v>
      </c>
      <c r="I12" s="32">
        <f t="shared" si="2"/>
        <v>0.12964476651440537</v>
      </c>
      <c r="J12" s="33">
        <f t="shared" si="5"/>
        <v>31.13289423076931</v>
      </c>
      <c r="K12" s="33">
        <f t="shared" si="3"/>
        <v>2.594407852564109</v>
      </c>
      <c r="L12" s="30">
        <v>53</v>
      </c>
      <c r="M12" s="34">
        <f t="shared" si="6"/>
        <v>0.22641509433962265</v>
      </c>
      <c r="N12" s="30">
        <v>35</v>
      </c>
      <c r="O12" s="35">
        <f t="shared" ref="O12:P12" si="20">D12/7</f>
        <v>1.7142857142857142</v>
      </c>
      <c r="P12" s="35">
        <f t="shared" si="20"/>
        <v>0.14285714285714285</v>
      </c>
      <c r="Q12" s="30">
        <f t="shared" si="8"/>
        <v>18</v>
      </c>
      <c r="R12" s="30"/>
      <c r="S12" s="36">
        <v>1.3178294573643401</v>
      </c>
      <c r="T12" s="29">
        <v>204</v>
      </c>
      <c r="U12" s="37">
        <v>204</v>
      </c>
      <c r="V12" s="38" t="s">
        <v>628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0.19461805555555556</v>
      </c>
      <c r="AD12" s="40">
        <f t="shared" si="12"/>
        <v>-3.2228750000000002</v>
      </c>
      <c r="AE12" s="40">
        <v>-6.18</v>
      </c>
      <c r="AF12" s="40">
        <v>-7.9669358974358904</v>
      </c>
      <c r="AG12" s="40">
        <v>0</v>
      </c>
    </row>
    <row r="13" spans="1:33" ht="15.75" customHeight="1" x14ac:dyDescent="0.2">
      <c r="A13" s="29" t="s">
        <v>57</v>
      </c>
      <c r="B13" s="29" t="s">
        <v>631</v>
      </c>
      <c r="C13" s="16">
        <f t="shared" si="4"/>
        <v>19.990000000000002</v>
      </c>
      <c r="D13" s="30">
        <v>14</v>
      </c>
      <c r="E13" s="30">
        <v>0</v>
      </c>
      <c r="F13" s="33">
        <v>279.86</v>
      </c>
      <c r="G13" s="31">
        <v>-0.16</v>
      </c>
      <c r="H13" s="32">
        <f t="shared" si="1"/>
        <v>5.7171442864289285E-4</v>
      </c>
      <c r="I13" s="32">
        <f t="shared" si="2"/>
        <v>0.12316150634841232</v>
      </c>
      <c r="J13" s="33">
        <f t="shared" si="5"/>
        <v>34.467979166666673</v>
      </c>
      <c r="K13" s="33">
        <f t="shared" si="3"/>
        <v>2.4619985119047625</v>
      </c>
      <c r="L13" s="30">
        <v>43</v>
      </c>
      <c r="M13" s="34">
        <f t="shared" si="6"/>
        <v>0.32558139534883723</v>
      </c>
      <c r="N13" s="30">
        <v>24</v>
      </c>
      <c r="O13" s="35">
        <f t="shared" ref="O13:P13" si="21">D13/7</f>
        <v>2</v>
      </c>
      <c r="P13" s="35">
        <f t="shared" si="21"/>
        <v>0</v>
      </c>
      <c r="Q13" s="30">
        <f t="shared" si="8"/>
        <v>12</v>
      </c>
      <c r="R13" s="30"/>
      <c r="S13" s="36">
        <v>1.38211382113821</v>
      </c>
      <c r="T13" s="29">
        <v>204</v>
      </c>
      <c r="U13" s="37">
        <v>204</v>
      </c>
      <c r="V13" s="38" t="s">
        <v>628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0.19461805555555556</v>
      </c>
      <c r="AD13" s="40">
        <f t="shared" si="12"/>
        <v>-3.7600208333333334</v>
      </c>
      <c r="AE13" s="40">
        <v>-6.18</v>
      </c>
      <c r="AF13" s="40">
        <v>-8.0694999999999997</v>
      </c>
      <c r="AG13" s="40">
        <v>0</v>
      </c>
    </row>
    <row r="14" spans="1:33" ht="15.75" customHeight="1" x14ac:dyDescent="0.2">
      <c r="A14" s="29" t="s">
        <v>59</v>
      </c>
      <c r="B14" s="29" t="s">
        <v>632</v>
      </c>
      <c r="C14" s="16">
        <f t="shared" si="4"/>
        <v>20.019090909090913</v>
      </c>
      <c r="D14" s="30">
        <v>11</v>
      </c>
      <c r="E14" s="30">
        <v>0</v>
      </c>
      <c r="F14" s="33">
        <v>220.21000000000004</v>
      </c>
      <c r="G14" s="31">
        <v>-0.08</v>
      </c>
      <c r="H14" s="32">
        <f t="shared" si="1"/>
        <v>3.6328958721220647E-4</v>
      </c>
      <c r="I14" s="32">
        <f t="shared" si="2"/>
        <v>0.12442531182356241</v>
      </c>
      <c r="J14" s="33">
        <f t="shared" si="5"/>
        <v>27.399697916666682</v>
      </c>
      <c r="K14" s="33">
        <f t="shared" si="3"/>
        <v>2.4908816287878803</v>
      </c>
      <c r="L14" s="30">
        <v>43</v>
      </c>
      <c r="M14" s="34">
        <f t="shared" si="6"/>
        <v>0.2558139534883721</v>
      </c>
      <c r="N14" s="30">
        <v>11</v>
      </c>
      <c r="O14" s="35">
        <f t="shared" ref="O14:P14" si="22">D14/7</f>
        <v>1.5714285714285714</v>
      </c>
      <c r="P14" s="35">
        <f t="shared" si="22"/>
        <v>0</v>
      </c>
      <c r="Q14" s="30">
        <f t="shared" si="8"/>
        <v>7</v>
      </c>
      <c r="R14" s="30"/>
      <c r="S14" s="36">
        <v>1.4198473282442701</v>
      </c>
      <c r="T14" s="29">
        <v>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35</v>
      </c>
      <c r="AB14" s="41">
        <f t="shared" si="11"/>
        <v>-0.69</v>
      </c>
      <c r="AC14" s="42">
        <v>0.19461805555555556</v>
      </c>
      <c r="AD14" s="40">
        <f t="shared" si="12"/>
        <v>-2.9543020833333333</v>
      </c>
      <c r="AE14" s="40">
        <v>-6.18</v>
      </c>
      <c r="AF14" s="40">
        <v>-8.0694999999999997</v>
      </c>
      <c r="AG14" s="40">
        <v>0</v>
      </c>
    </row>
    <row r="15" spans="1:33" ht="15.75" customHeight="1" x14ac:dyDescent="0.2">
      <c r="A15" s="29" t="s">
        <v>61</v>
      </c>
      <c r="B15" s="29" t="s">
        <v>633</v>
      </c>
      <c r="C15" s="16">
        <f t="shared" si="4"/>
        <v>19.990000000000002</v>
      </c>
      <c r="D15" s="30">
        <v>10</v>
      </c>
      <c r="E15" s="30">
        <v>0</v>
      </c>
      <c r="F15" s="33">
        <v>199.9</v>
      </c>
      <c r="G15" s="31">
        <v>-0.08</v>
      </c>
      <c r="H15" s="32">
        <f t="shared" si="1"/>
        <v>4.0020010005002498E-4</v>
      </c>
      <c r="I15" s="32">
        <f t="shared" si="2"/>
        <v>0.12333302067700511</v>
      </c>
      <c r="J15" s="33">
        <f t="shared" si="5"/>
        <v>24.654270833333321</v>
      </c>
      <c r="K15" s="33">
        <f t="shared" si="3"/>
        <v>2.4654270833333323</v>
      </c>
      <c r="L15" s="30">
        <v>56</v>
      </c>
      <c r="M15" s="34">
        <f t="shared" si="6"/>
        <v>0.17857142857142858</v>
      </c>
      <c r="N15" s="30">
        <v>2</v>
      </c>
      <c r="O15" s="35">
        <f t="shared" ref="O15:P15" si="23">D15/7</f>
        <v>1.4285714285714286</v>
      </c>
      <c r="P15" s="35">
        <f t="shared" si="23"/>
        <v>0</v>
      </c>
      <c r="Q15" s="30">
        <f t="shared" si="8"/>
        <v>1</v>
      </c>
      <c r="R15" s="30"/>
      <c r="S15" s="36">
        <v>1.6</v>
      </c>
      <c r="T15" s="29">
        <v>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35</v>
      </c>
      <c r="AB15" s="41">
        <f t="shared" si="11"/>
        <v>-0.69</v>
      </c>
      <c r="AC15" s="42">
        <v>0.19461805555555556</v>
      </c>
      <c r="AD15" s="40">
        <f t="shared" si="12"/>
        <v>-2.6857291666666665</v>
      </c>
      <c r="AE15" s="40">
        <v>-6.18</v>
      </c>
      <c r="AF15" s="40">
        <v>-8.0694999999999997</v>
      </c>
      <c r="AG15" s="40">
        <v>0</v>
      </c>
    </row>
    <row r="16" spans="1:33" ht="15.75" customHeight="1" x14ac:dyDescent="0.2">
      <c r="A16" s="29" t="s">
        <v>64</v>
      </c>
      <c r="B16" s="29" t="s">
        <v>634</v>
      </c>
      <c r="C16" s="16">
        <f t="shared" si="4"/>
        <v>19.989999999999998</v>
      </c>
      <c r="D16" s="30">
        <v>5</v>
      </c>
      <c r="E16" s="30">
        <v>0</v>
      </c>
      <c r="F16" s="33">
        <v>99.949999999999989</v>
      </c>
      <c r="G16" s="31">
        <v>-0.08</v>
      </c>
      <c r="H16" s="32">
        <f t="shared" si="1"/>
        <v>8.0040020010005018E-4</v>
      </c>
      <c r="I16" s="32">
        <f t="shared" si="2"/>
        <v>0.12293282057695504</v>
      </c>
      <c r="J16" s="33">
        <f t="shared" si="5"/>
        <v>12.287135416666654</v>
      </c>
      <c r="K16" s="33">
        <f t="shared" si="3"/>
        <v>2.4574270833333309</v>
      </c>
      <c r="L16" s="30">
        <v>51</v>
      </c>
      <c r="M16" s="34">
        <f t="shared" si="6"/>
        <v>9.8039215686274508E-2</v>
      </c>
      <c r="N16" s="30">
        <v>117</v>
      </c>
      <c r="O16" s="35">
        <f t="shared" ref="O16:P16" si="24">D16/7</f>
        <v>0.7142857142857143</v>
      </c>
      <c r="P16" s="35">
        <f t="shared" si="24"/>
        <v>0</v>
      </c>
      <c r="Q16" s="30">
        <f t="shared" si="8"/>
        <v>163</v>
      </c>
      <c r="R16" s="30"/>
      <c r="S16" s="36">
        <v>1.1722054380664599</v>
      </c>
      <c r="T16" s="29">
        <v>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35</v>
      </c>
      <c r="AB16" s="41">
        <f t="shared" si="11"/>
        <v>-0.69</v>
      </c>
      <c r="AC16" s="42">
        <v>0.19461805555555556</v>
      </c>
      <c r="AD16" s="40">
        <f t="shared" si="12"/>
        <v>-1.3428645833333333</v>
      </c>
      <c r="AE16" s="40">
        <v>-6.18</v>
      </c>
      <c r="AF16" s="40">
        <v>-8.0694999999999997</v>
      </c>
      <c r="AG16" s="40">
        <v>0</v>
      </c>
    </row>
    <row r="17" spans="1:33" ht="15.75" customHeight="1" x14ac:dyDescent="0.2">
      <c r="A17" s="29" t="s">
        <v>66</v>
      </c>
      <c r="B17" s="29" t="s">
        <v>635</v>
      </c>
      <c r="C17" s="16">
        <f t="shared" si="4"/>
        <v>20.1355</v>
      </c>
      <c r="D17" s="30">
        <v>20</v>
      </c>
      <c r="E17" s="30">
        <v>0</v>
      </c>
      <c r="F17" s="33">
        <v>402.71000000000004</v>
      </c>
      <c r="G17" s="31">
        <v>-0.08</v>
      </c>
      <c r="H17" s="32">
        <f t="shared" si="1"/>
        <v>1.9865411834819099E-4</v>
      </c>
      <c r="I17" s="32">
        <f t="shared" si="2"/>
        <v>0.12878260203786035</v>
      </c>
      <c r="J17" s="33">
        <f t="shared" si="5"/>
        <v>51.862041666666741</v>
      </c>
      <c r="K17" s="33">
        <f t="shared" si="3"/>
        <v>2.5931020833333371</v>
      </c>
      <c r="L17" s="30">
        <v>85</v>
      </c>
      <c r="M17" s="34">
        <f t="shared" si="6"/>
        <v>0.23529411764705882</v>
      </c>
      <c r="N17" s="30">
        <v>102</v>
      </c>
      <c r="O17" s="35">
        <f t="shared" ref="O17:P17" si="25">D17/7</f>
        <v>2.8571428571428572</v>
      </c>
      <c r="P17" s="35">
        <f t="shared" si="25"/>
        <v>0</v>
      </c>
      <c r="Q17" s="30">
        <f t="shared" si="8"/>
        <v>35</v>
      </c>
      <c r="R17" s="30"/>
      <c r="S17" s="36">
        <v>1.23472668810289</v>
      </c>
      <c r="T17" s="29">
        <v>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35</v>
      </c>
      <c r="AB17" s="41">
        <f t="shared" si="11"/>
        <v>-0.69</v>
      </c>
      <c r="AC17" s="42">
        <v>0.19461805555555556</v>
      </c>
      <c r="AD17" s="40">
        <f t="shared" si="12"/>
        <v>-5.371458333333333</v>
      </c>
      <c r="AE17" s="40">
        <v>-6.18</v>
      </c>
      <c r="AF17" s="40">
        <v>-8.0694999999999997</v>
      </c>
      <c r="AG17" s="40">
        <v>0</v>
      </c>
    </row>
    <row r="18" spans="1:33" ht="15.75" customHeight="1" x14ac:dyDescent="0.2">
      <c r="A18" s="29" t="s">
        <v>69</v>
      </c>
      <c r="B18" s="29" t="s">
        <v>636</v>
      </c>
      <c r="C18" s="16">
        <f t="shared" si="4"/>
        <v>21.73</v>
      </c>
      <c r="D18" s="30">
        <v>28</v>
      </c>
      <c r="E18" s="30">
        <v>0</v>
      </c>
      <c r="F18" s="33">
        <v>608.44000000000005</v>
      </c>
      <c r="G18" s="31">
        <v>-0.08</v>
      </c>
      <c r="H18" s="32">
        <f t="shared" si="1"/>
        <v>1.314837946223128E-4</v>
      </c>
      <c r="I18" s="32">
        <f t="shared" si="2"/>
        <v>0.18175655501501092</v>
      </c>
      <c r="J18" s="33">
        <f t="shared" si="5"/>
        <v>110.58795833333325</v>
      </c>
      <c r="K18" s="33">
        <f t="shared" si="3"/>
        <v>3.9495699404761875</v>
      </c>
      <c r="L18" s="30">
        <v>81</v>
      </c>
      <c r="M18" s="34">
        <f t="shared" si="6"/>
        <v>0.34567901234567899</v>
      </c>
      <c r="N18" s="30">
        <v>61</v>
      </c>
      <c r="O18" s="35">
        <f t="shared" ref="O18:P18" si="26">D18/7</f>
        <v>4</v>
      </c>
      <c r="P18" s="35">
        <f t="shared" si="26"/>
        <v>0</v>
      </c>
      <c r="Q18" s="30">
        <f t="shared" si="8"/>
        <v>15</v>
      </c>
      <c r="R18" s="30"/>
      <c r="S18" s="36">
        <v>2.0826446280991702</v>
      </c>
      <c r="T18" s="29">
        <v>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35</v>
      </c>
      <c r="AB18" s="41">
        <f t="shared" si="11"/>
        <v>-0.69</v>
      </c>
      <c r="AC18" s="42">
        <v>0.19461805555555556</v>
      </c>
      <c r="AD18" s="40">
        <f t="shared" si="12"/>
        <v>-7.5200416666666667</v>
      </c>
      <c r="AE18" s="40">
        <v>-6.18</v>
      </c>
      <c r="AF18" s="40">
        <v>-8.0694999999999997</v>
      </c>
      <c r="AG18" s="40">
        <v>0</v>
      </c>
    </row>
    <row r="19" spans="1:33" ht="15.75" customHeight="1" x14ac:dyDescent="0.2">
      <c r="A19" s="29" t="s">
        <v>71</v>
      </c>
      <c r="B19" s="29" t="s">
        <v>637</v>
      </c>
      <c r="C19" s="16">
        <f t="shared" si="4"/>
        <v>25.413750000000004</v>
      </c>
      <c r="D19" s="30">
        <v>24</v>
      </c>
      <c r="E19" s="30">
        <v>0</v>
      </c>
      <c r="F19" s="33">
        <v>609.93000000000006</v>
      </c>
      <c r="G19" s="31">
        <v>-0.08</v>
      </c>
      <c r="H19" s="32">
        <f t="shared" si="1"/>
        <v>1.3116259242863934E-4</v>
      </c>
      <c r="I19" s="32">
        <f t="shared" si="2"/>
        <v>0.27860041316216611</v>
      </c>
      <c r="J19" s="33">
        <f t="shared" si="5"/>
        <v>169.92675</v>
      </c>
      <c r="K19" s="33">
        <f t="shared" si="3"/>
        <v>7.0802812499999996</v>
      </c>
      <c r="L19" s="30">
        <v>70</v>
      </c>
      <c r="M19" s="34">
        <f t="shared" si="6"/>
        <v>0.34285714285714286</v>
      </c>
      <c r="N19" s="30">
        <v>103</v>
      </c>
      <c r="O19" s="35">
        <f t="shared" ref="O19:P19" si="27">D19/7</f>
        <v>3.4285714285714284</v>
      </c>
      <c r="P19" s="35">
        <f t="shared" si="27"/>
        <v>0</v>
      </c>
      <c r="Q19" s="30">
        <f t="shared" si="8"/>
        <v>30</v>
      </c>
      <c r="R19" s="30"/>
      <c r="S19" s="36">
        <v>2.8865979381443299</v>
      </c>
      <c r="T19" s="29">
        <v>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0.19461805555555556</v>
      </c>
      <c r="AD19" s="40">
        <f t="shared" si="12"/>
        <v>-6.4457500000000003</v>
      </c>
      <c r="AE19" s="40">
        <v>-6.18</v>
      </c>
      <c r="AF19" s="40">
        <v>-8.0694999999999997</v>
      </c>
      <c r="AG19" s="40">
        <v>0</v>
      </c>
    </row>
    <row r="20" spans="1:33" ht="15.75" customHeight="1" x14ac:dyDescent="0.2">
      <c r="A20" s="29" t="s">
        <v>74</v>
      </c>
      <c r="B20" s="29" t="s">
        <v>634</v>
      </c>
      <c r="C20" s="16">
        <f t="shared" si="4"/>
        <v>28.71705882352941</v>
      </c>
      <c r="D20" s="30">
        <v>17</v>
      </c>
      <c r="E20" s="30">
        <v>0</v>
      </c>
      <c r="F20" s="33">
        <v>488.18999999999994</v>
      </c>
      <c r="G20" s="31">
        <v>0</v>
      </c>
      <c r="H20" s="32">
        <f t="shared" si="1"/>
        <v>0</v>
      </c>
      <c r="I20" s="32">
        <f t="shared" si="2"/>
        <v>0.34444429508319846</v>
      </c>
      <c r="J20" s="33">
        <f t="shared" si="5"/>
        <v>168.15426041666663</v>
      </c>
      <c r="K20" s="33">
        <f t="shared" si="3"/>
        <v>9.8914270833333315</v>
      </c>
      <c r="L20" s="30">
        <v>75</v>
      </c>
      <c r="M20" s="34">
        <f t="shared" si="6"/>
        <v>0.22666666666666666</v>
      </c>
      <c r="N20" s="30">
        <v>92</v>
      </c>
      <c r="O20" s="35">
        <f t="shared" ref="O20:P20" si="28">D20/7</f>
        <v>2.4285714285714284</v>
      </c>
      <c r="P20" s="35">
        <f t="shared" si="28"/>
        <v>0</v>
      </c>
      <c r="Q20" s="30">
        <f t="shared" si="8"/>
        <v>37</v>
      </c>
      <c r="R20" s="30"/>
      <c r="S20" s="36">
        <v>2.8363636363636302</v>
      </c>
      <c r="T20" s="29">
        <v>270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0.19461805555555556</v>
      </c>
      <c r="AD20" s="40">
        <f t="shared" si="12"/>
        <v>-4.5657395833333334</v>
      </c>
      <c r="AE20" s="40">
        <v>-6.18</v>
      </c>
      <c r="AF20" s="40">
        <v>-8.0694999999999997</v>
      </c>
      <c r="AG20" s="40">
        <v>0</v>
      </c>
    </row>
    <row r="21" spans="1:33" ht="15.75" customHeight="1" x14ac:dyDescent="0.2">
      <c r="A21" s="29" t="s">
        <v>75</v>
      </c>
      <c r="B21" s="29" t="s">
        <v>634</v>
      </c>
      <c r="C21" s="16">
        <f t="shared" si="4"/>
        <v>29.034705882352945</v>
      </c>
      <c r="D21" s="30">
        <v>17</v>
      </c>
      <c r="E21" s="30">
        <v>0</v>
      </c>
      <c r="F21" s="33">
        <v>493.59000000000009</v>
      </c>
      <c r="G21" s="31">
        <v>-0.08</v>
      </c>
      <c r="H21" s="32">
        <f t="shared" si="1"/>
        <v>1.6207783788164262E-4</v>
      </c>
      <c r="I21" s="32">
        <f t="shared" si="2"/>
        <v>0.34981312509707796</v>
      </c>
      <c r="J21" s="33">
        <f t="shared" si="5"/>
        <v>172.66426041666674</v>
      </c>
      <c r="K21" s="33">
        <f t="shared" si="3"/>
        <v>10.156721200980396</v>
      </c>
      <c r="L21" s="30">
        <v>40</v>
      </c>
      <c r="M21" s="34">
        <f t="shared" si="6"/>
        <v>0.42499999999999999</v>
      </c>
      <c r="N21" s="30">
        <v>108</v>
      </c>
      <c r="O21" s="35">
        <f t="shared" ref="O21:P21" si="29">D21/7</f>
        <v>2.4285714285714284</v>
      </c>
      <c r="P21" s="35">
        <f t="shared" si="29"/>
        <v>0</v>
      </c>
      <c r="Q21" s="30">
        <f t="shared" si="8"/>
        <v>44</v>
      </c>
      <c r="R21" s="30"/>
      <c r="S21" s="36">
        <v>2.0176991150442398</v>
      </c>
      <c r="T21" s="29">
        <v>270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0.19461805555555556</v>
      </c>
      <c r="AD21" s="40">
        <f t="shared" si="12"/>
        <v>-4.5657395833333334</v>
      </c>
      <c r="AE21" s="40">
        <v>-6.18</v>
      </c>
      <c r="AF21" s="40">
        <v>-8.0694999999999997</v>
      </c>
      <c r="AG21" s="40">
        <v>0</v>
      </c>
    </row>
    <row r="22" spans="1:33" ht="15.75" customHeight="1" x14ac:dyDescent="0.2">
      <c r="A22" s="29" t="s">
        <v>76</v>
      </c>
      <c r="B22" s="29" t="s">
        <v>228</v>
      </c>
      <c r="C22" s="16">
        <f t="shared" si="4"/>
        <v>30.820588235294121</v>
      </c>
      <c r="D22" s="30">
        <v>17</v>
      </c>
      <c r="E22" s="30">
        <v>0</v>
      </c>
      <c r="F22" s="31">
        <v>523.95000000000005</v>
      </c>
      <c r="G22" s="31">
        <v>0</v>
      </c>
      <c r="H22" s="32">
        <f t="shared" si="1"/>
        <v>0</v>
      </c>
      <c r="I22" s="32">
        <f t="shared" si="2"/>
        <v>0.37894886996214655</v>
      </c>
      <c r="J22" s="33">
        <f t="shared" si="5"/>
        <v>198.5502604166667</v>
      </c>
      <c r="K22" s="33">
        <f t="shared" si="3"/>
        <v>11.679427083333335</v>
      </c>
      <c r="L22" s="30">
        <v>102</v>
      </c>
      <c r="M22" s="34">
        <f t="shared" si="6"/>
        <v>0.16666666666666666</v>
      </c>
      <c r="N22" s="30">
        <v>86</v>
      </c>
      <c r="O22" s="35">
        <f t="shared" ref="O22:P22" si="30">D22/7</f>
        <v>2.4285714285714284</v>
      </c>
      <c r="P22" s="35">
        <f t="shared" si="30"/>
        <v>0</v>
      </c>
      <c r="Q22" s="30">
        <f t="shared" si="8"/>
        <v>35</v>
      </c>
      <c r="R22" s="30"/>
      <c r="S22" s="36">
        <v>2.66171003717472</v>
      </c>
      <c r="T22" s="29">
        <v>270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0.19461805555555556</v>
      </c>
      <c r="AD22" s="40">
        <f t="shared" si="12"/>
        <v>-4.5657395833333334</v>
      </c>
      <c r="AE22" s="40">
        <v>-6.18</v>
      </c>
      <c r="AF22" s="40">
        <v>-8.0694999999999997</v>
      </c>
      <c r="AG22" s="40">
        <v>0</v>
      </c>
    </row>
    <row r="23" spans="1:33" ht="15.75" customHeight="1" x14ac:dyDescent="0.2">
      <c r="A23" s="29" t="s">
        <v>77</v>
      </c>
      <c r="B23" s="29" t="s">
        <v>634</v>
      </c>
      <c r="C23" s="16">
        <f t="shared" si="4"/>
        <v>30.356190476190477</v>
      </c>
      <c r="D23" s="30">
        <v>21</v>
      </c>
      <c r="E23" s="30">
        <v>1</v>
      </c>
      <c r="F23" s="33">
        <v>637.48</v>
      </c>
      <c r="G23" s="31">
        <v>-0.16</v>
      </c>
      <c r="H23" s="32">
        <f t="shared" si="1"/>
        <v>2.5098826629855054E-4</v>
      </c>
      <c r="I23" s="32">
        <f t="shared" si="2"/>
        <v>0.3714916056189998</v>
      </c>
      <c r="J23" s="33">
        <f t="shared" si="5"/>
        <v>236.81846874999999</v>
      </c>
      <c r="K23" s="33">
        <f t="shared" si="3"/>
        <v>11.27706994047619</v>
      </c>
      <c r="L23" s="30">
        <v>81</v>
      </c>
      <c r="M23" s="34">
        <f t="shared" si="6"/>
        <v>0.25925925925925924</v>
      </c>
      <c r="N23" s="30">
        <v>62</v>
      </c>
      <c r="O23" s="35">
        <f t="shared" ref="O23:P23" si="31">D23/7</f>
        <v>3</v>
      </c>
      <c r="P23" s="35">
        <f t="shared" si="31"/>
        <v>0.14285714285714285</v>
      </c>
      <c r="Q23" s="30">
        <f t="shared" si="8"/>
        <v>19</v>
      </c>
      <c r="R23" s="30"/>
      <c r="S23" s="36">
        <v>3.8606965174129302</v>
      </c>
      <c r="T23" s="29">
        <v>270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0.19461805555555556</v>
      </c>
      <c r="AD23" s="40">
        <f t="shared" si="12"/>
        <v>-5.6400312499999998</v>
      </c>
      <c r="AE23" s="40">
        <v>-6.18</v>
      </c>
      <c r="AF23" s="40">
        <v>-8.0694999999999997</v>
      </c>
      <c r="AG23" s="40">
        <v>0</v>
      </c>
    </row>
    <row r="24" spans="1:33" ht="15.75" customHeight="1" x14ac:dyDescent="0.2">
      <c r="A24" s="29" t="s">
        <v>79</v>
      </c>
      <c r="B24" s="29" t="s">
        <v>633</v>
      </c>
      <c r="C24" s="16">
        <f t="shared" si="4"/>
        <v>30.831351351351344</v>
      </c>
      <c r="D24" s="30">
        <v>37</v>
      </c>
      <c r="E24" s="30">
        <v>0</v>
      </c>
      <c r="F24" s="33">
        <v>1140.7599999999998</v>
      </c>
      <c r="G24" s="33">
        <v>-0.08</v>
      </c>
      <c r="H24" s="32">
        <f t="shared" si="1"/>
        <v>7.0128686139065205E-5</v>
      </c>
      <c r="I24" s="32">
        <f t="shared" si="2"/>
        <v>0.3790431835647578</v>
      </c>
      <c r="J24" s="33">
        <f t="shared" si="5"/>
        <v>432.39730208333305</v>
      </c>
      <c r="K24" s="33">
        <f t="shared" si="3"/>
        <v>11.686413569819813</v>
      </c>
      <c r="L24" s="30">
        <v>80</v>
      </c>
      <c r="M24" s="34">
        <f t="shared" si="6"/>
        <v>0.46250000000000002</v>
      </c>
      <c r="N24" s="30">
        <v>29</v>
      </c>
      <c r="O24" s="35">
        <f t="shared" ref="O24:P24" si="32">D24/7</f>
        <v>5.2857142857142856</v>
      </c>
      <c r="P24" s="35">
        <f t="shared" si="32"/>
        <v>0</v>
      </c>
      <c r="Q24" s="30">
        <f t="shared" si="8"/>
        <v>5</v>
      </c>
      <c r="R24" s="30"/>
      <c r="S24" s="36">
        <v>3.7297297297297298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Summary!A1:AD5000""),9,FALSE),"""")"),270)</f>
        <v>270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0.19461805555555556</v>
      </c>
      <c r="AD24" s="40">
        <f t="shared" si="12"/>
        <v>-9.9371979166666673</v>
      </c>
      <c r="AE24" s="40">
        <v>-6.18</v>
      </c>
      <c r="AF24" s="40">
        <v>-8.0694999999999997</v>
      </c>
      <c r="AG24" s="40">
        <v>0</v>
      </c>
    </row>
    <row r="25" spans="1:33" ht="15.75" customHeight="1" x14ac:dyDescent="0.2">
      <c r="A25" s="15" t="s">
        <v>81</v>
      </c>
      <c r="B25" s="15" t="s">
        <v>633</v>
      </c>
      <c r="C25" s="16">
        <f t="shared" si="4"/>
        <v>32.6404</v>
      </c>
      <c r="D25" s="17">
        <v>25</v>
      </c>
      <c r="E25" s="17">
        <v>0</v>
      </c>
      <c r="F25" s="18">
        <v>816.01</v>
      </c>
      <c r="G25" s="18">
        <v>-0.16</v>
      </c>
      <c r="H25" s="32">
        <f t="shared" si="1"/>
        <v>1.9607602848004314E-4</v>
      </c>
      <c r="I25" s="32">
        <f t="shared" si="2"/>
        <v>0.4050001557374705</v>
      </c>
      <c r="J25" s="33">
        <f t="shared" si="5"/>
        <v>330.48417708333329</v>
      </c>
      <c r="K25" s="33">
        <f t="shared" si="3"/>
        <v>13.219367083333331</v>
      </c>
      <c r="L25" s="17">
        <v>84</v>
      </c>
      <c r="M25" s="34">
        <f t="shared" si="6"/>
        <v>0.29761904761904762</v>
      </c>
      <c r="N25" s="17">
        <v>2</v>
      </c>
      <c r="O25" s="35">
        <f t="shared" ref="O25:P25" si="33">D25/7</f>
        <v>3.5714285714285716</v>
      </c>
      <c r="P25" s="35">
        <f t="shared" si="33"/>
        <v>0</v>
      </c>
      <c r="Q25" s="30">
        <f t="shared" si="8"/>
        <v>0</v>
      </c>
      <c r="R25" s="30"/>
      <c r="S25" s="36">
        <v>3.7297297297297298</v>
      </c>
      <c r="T25" s="29">
        <v>270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0.19461805555555556</v>
      </c>
      <c r="AD25" s="40">
        <f t="shared" si="12"/>
        <v>-6.7143229166666663</v>
      </c>
      <c r="AE25" s="26">
        <v>-6.18</v>
      </c>
      <c r="AF25" s="26">
        <v>-8.07</v>
      </c>
      <c r="AG25" s="26">
        <v>0</v>
      </c>
    </row>
    <row r="26" spans="1:33" ht="15.75" customHeight="1" x14ac:dyDescent="0.2">
      <c r="A26" s="15" t="s">
        <v>83</v>
      </c>
      <c r="B26" s="15" t="s">
        <v>633</v>
      </c>
      <c r="C26" s="16">
        <f t="shared" si="4"/>
        <v>32.186</v>
      </c>
      <c r="D26" s="17">
        <v>5</v>
      </c>
      <c r="E26" s="17">
        <v>0</v>
      </c>
      <c r="F26" s="18">
        <v>160.93</v>
      </c>
      <c r="G26" s="18">
        <v>0</v>
      </c>
      <c r="H26" s="32">
        <f t="shared" si="1"/>
        <v>0</v>
      </c>
      <c r="I26" s="32">
        <f t="shared" si="2"/>
        <v>0.39582511288551964</v>
      </c>
      <c r="J26" s="33">
        <f t="shared" si="5"/>
        <v>63.700135416666676</v>
      </c>
      <c r="K26" s="33">
        <f t="shared" si="3"/>
        <v>12.740027083333334</v>
      </c>
      <c r="L26" s="17">
        <v>46</v>
      </c>
      <c r="M26" s="34">
        <f t="shared" si="6"/>
        <v>0.10869565217391304</v>
      </c>
      <c r="N26" s="17">
        <v>1</v>
      </c>
      <c r="O26" s="35">
        <f t="shared" ref="O26:P26" si="34">D26/7</f>
        <v>0.7142857142857143</v>
      </c>
      <c r="P26" s="35">
        <f t="shared" si="34"/>
        <v>0</v>
      </c>
      <c r="Q26" s="30">
        <f t="shared" si="8"/>
        <v>1</v>
      </c>
      <c r="R26" s="30"/>
      <c r="S26" s="22">
        <v>3.7732793522267212</v>
      </c>
      <c r="T26" s="29">
        <v>270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0.19461805555555556</v>
      </c>
      <c r="AD26" s="40">
        <f t="shared" si="12"/>
        <v>-1.3428645833333333</v>
      </c>
      <c r="AE26" s="26">
        <v>-6.28</v>
      </c>
      <c r="AF26" s="26">
        <v>-8.0694999999999997</v>
      </c>
      <c r="AG26" s="26">
        <v>0</v>
      </c>
    </row>
    <row r="27" spans="1:33" ht="15.75" customHeight="1" x14ac:dyDescent="0.2">
      <c r="A27" s="15" t="s">
        <v>84</v>
      </c>
      <c r="B27" s="15" t="s">
        <v>633</v>
      </c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1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270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0.19461805555555556</v>
      </c>
      <c r="AD27" s="40">
        <f t="shared" si="12"/>
        <v>0</v>
      </c>
      <c r="AE27" s="26">
        <v>-6.28</v>
      </c>
      <c r="AF27" s="26">
        <v>-8.0694999999999997</v>
      </c>
      <c r="AG27" s="26">
        <v>0</v>
      </c>
    </row>
    <row r="28" spans="1:33" ht="15.75" customHeight="1" x14ac:dyDescent="0.2">
      <c r="A28" s="15" t="s">
        <v>85</v>
      </c>
      <c r="B28" s="15" t="s">
        <v>633</v>
      </c>
      <c r="C28" s="16">
        <f t="shared" si="4"/>
        <v>31.99</v>
      </c>
      <c r="D28" s="17">
        <v>1</v>
      </c>
      <c r="E28" s="17">
        <v>0</v>
      </c>
      <c r="F28" s="18">
        <v>31.99</v>
      </c>
      <c r="G28" s="18">
        <v>0</v>
      </c>
      <c r="H28" s="32">
        <f t="shared" si="1"/>
        <v>0</v>
      </c>
      <c r="I28" s="32">
        <f t="shared" si="2"/>
        <v>0.39304242211107637</v>
      </c>
      <c r="J28" s="33">
        <f t="shared" si="5"/>
        <v>12.573427083333332</v>
      </c>
      <c r="K28" s="33">
        <f t="shared" si="3"/>
        <v>12.573427083333332</v>
      </c>
      <c r="L28" s="17">
        <v>29</v>
      </c>
      <c r="M28" s="34">
        <f t="shared" si="6"/>
        <v>3.4482758620689655E-2</v>
      </c>
      <c r="N28" s="17">
        <v>1</v>
      </c>
      <c r="O28" s="35">
        <f t="shared" ref="O28:P28" si="36">D28/7</f>
        <v>0.14285714285714285</v>
      </c>
      <c r="P28" s="35">
        <f t="shared" si="36"/>
        <v>0</v>
      </c>
      <c r="Q28" s="30">
        <f t="shared" si="8"/>
        <v>7</v>
      </c>
      <c r="R28" s="30"/>
      <c r="S28" s="22">
        <v>0</v>
      </c>
      <c r="T28" s="15">
        <v>270</v>
      </c>
      <c r="U28" s="23" t="s">
        <v>34</v>
      </c>
      <c r="V28" s="1" t="s">
        <v>638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0.19461805555555556</v>
      </c>
      <c r="AD28" s="40">
        <f t="shared" si="12"/>
        <v>-0.26857291666666666</v>
      </c>
      <c r="AE28" s="26">
        <v>-6.28</v>
      </c>
      <c r="AF28" s="26">
        <v>-8.0694999999999997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 t="s">
        <v>34</v>
      </c>
      <c r="V29" s="1" t="s">
        <v>639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0.19461805555555556</v>
      </c>
      <c r="AD29" s="40">
        <f t="shared" si="12"/>
        <v>0</v>
      </c>
      <c r="AE29" s="26">
        <v>-6.28</v>
      </c>
      <c r="AF29" s="26">
        <v>-8.0694999999999997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180</v>
      </c>
      <c r="V30" s="1" t="s">
        <v>640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0.19461805555555556</v>
      </c>
      <c r="AD30" s="40">
        <f t="shared" si="12"/>
        <v>0</v>
      </c>
      <c r="AE30" s="26">
        <v>-6.28</v>
      </c>
      <c r="AF30" s="26">
        <v>-7.8973065733333296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90</v>
      </c>
      <c r="U31" s="23">
        <v>180</v>
      </c>
      <c r="V31" s="1" t="s">
        <v>641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35</v>
      </c>
      <c r="AB31" s="41">
        <f t="shared" si="11"/>
        <v>-0.69</v>
      </c>
      <c r="AC31" s="28">
        <v>0.19461805555555556</v>
      </c>
      <c r="AD31" s="40">
        <f t="shared" si="12"/>
        <v>0</v>
      </c>
      <c r="AE31" s="26">
        <v>-6.28</v>
      </c>
      <c r="AF31" s="43">
        <v>-7.8973065733333332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IFERROR(__xludf.DUMMYFUNCTION("IFERROR(VLOOKUP($B$2,IMPORTRANGE(""https://docs.google.com/spreadsheets/d/1KiWZV1ko8G7lnRucBRBd29jj3Be6ltMfljMDqzOkQmI/edit#gid=1381463014"",""Lookup!A:D""),4,FALSE),"""")"),90)</f>
        <v>90</v>
      </c>
      <c r="U32" s="23">
        <f ca="1">IFERROR(__xludf.DUMMYFUNCTION("IFERROR(VLOOKUP($B$2,IMPORTRANGE(""https://docs.google.com/spreadsheets/d/1KiWZV1ko8G7lnRucBRBd29jj3Be6ltMfljMDqzOkQmI/edit#gid=1381463014"",""Lookup!A:D""),3,FALSE),"""")"),0)</f>
        <v>0</v>
      </c>
      <c r="V32" s="1" t="str">
        <f ca="1">IFERROR(__xludf.DUMMYFUNCTION("IFERROR(VLOOKUP($B$2,IMPORTRANGE(""https://docs.google.com/spreadsheets/d/1KiWZV1ko8G7lnRucBRBd29jj3Be6ltMfljMDqzOkQmI/edit#gid=1381463014"",""Lookup!A:D""),2,FALSE),"""")"),"| S210707  - 180 units 09/17")</f>
        <v>| S210707  - 180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0.19461805555555556</v>
      </c>
      <c r="AD32" s="40">
        <f t="shared" si="12"/>
        <v>0</v>
      </c>
      <c r="AE32" s="26">
        <v>-6.28</v>
      </c>
      <c r="AF32" s="26">
        <v>-7.8973065733333296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Chalkboard Signs for Tables, 8 Pack - Rustic 5x6 Inch Small Slate Tabletop Chalk Boards with White Wood Stands Set")</f>
        <v>Mini Chalkboard Signs for Tables, 8 Pack - Rustic 5x6 Inch Small Slate Tabletop Chalk Boards with White Wood Stands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Info!B1:BJ5000""),2,FALSE),"""")"),"B07WG399BW")</f>
        <v>B07WG399BW</v>
      </c>
      <c r="B2" s="3" t="s">
        <v>642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16.561537145098036</v>
      </c>
      <c r="D3" s="5">
        <f>SUM(D4:D99519)</f>
        <v>4</v>
      </c>
      <c r="E3" s="5"/>
      <c r="F3" s="6">
        <f t="shared" ref="F3:G3" si="0">SUM(F4:F99519)</f>
        <v>71.959999999999994</v>
      </c>
      <c r="G3" s="6">
        <f t="shared" si="0"/>
        <v>0</v>
      </c>
      <c r="H3" s="7">
        <f t="shared" ref="H3:H32" si="1">G3/F3*-1</f>
        <v>0</v>
      </c>
      <c r="I3" s="8">
        <f t="shared" ref="I3:I32" si="2">J3/F3</f>
        <v>4.373850634611811E-2</v>
      </c>
      <c r="J3" s="6">
        <f>SUM(J4:J99519)</f>
        <v>3.1474229166666587</v>
      </c>
      <c r="K3" s="6">
        <f t="shared" ref="K3:K32" si="3">J3/D3</f>
        <v>0.78685572916666469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Sheet!a1:g5000""),2,FALSE),"""")"),"disc. - March
disc. - April
disc. - May
disc. - June
disc. - July
disc. - Aug
disc. - Sept
disc. - Oct
disc. - Nov
disc. - Dec
disc. - Jan
disc. - Feb")</f>
        <v>disc. - March
disc. - April
disc. - May
disc. - June
disc. - July
disc. - Aug
disc. - Sept
disc. - Oct
disc. - Nov
disc. - Dec
disc. - Jan
disc.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-1.0205770833333332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Info!B2:BZ3000""),37,FALSE)),"""")*-1"),-7.89730657333333)</f>
        <v>-7.8973065733333296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643</v>
      </c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1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108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-7.7720641025641024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1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108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-7.7720641025641024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1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108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-7.7720641025641024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1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>
        <v>2</v>
      </c>
      <c r="T7" s="29">
        <v>108</v>
      </c>
      <c r="U7" s="37" t="s">
        <v>34</v>
      </c>
      <c r="V7" s="38" t="s">
        <v>131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-7.7720641025641024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1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>
        <v>0</v>
      </c>
      <c r="T8" s="29">
        <v>108</v>
      </c>
      <c r="U8" s="37" t="s">
        <v>34</v>
      </c>
      <c r="V8" s="38" t="s">
        <v>34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0.18488715277777779</v>
      </c>
      <c r="AD8" s="40">
        <f t="shared" si="12"/>
        <v>0</v>
      </c>
      <c r="AE8" s="40">
        <v>-6.18</v>
      </c>
      <c r="AF8" s="40">
        <v>-7.77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>
        <v>0</v>
      </c>
      <c r="T9" s="29">
        <v>108</v>
      </c>
      <c r="U9" s="37" t="s">
        <v>34</v>
      </c>
      <c r="V9" s="38" t="s">
        <v>34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-7.9669358974358904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>
        <v>0</v>
      </c>
      <c r="T10" s="29">
        <v>108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-7.9669358974358904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>
        <v>0</v>
      </c>
      <c r="T11" s="29">
        <v>108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-7.9669358974358904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>
        <v>0</v>
      </c>
      <c r="T12" s="29">
        <v>108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-7.9669358974358904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>
        <v>0</v>
      </c>
      <c r="T13" s="29">
        <v>108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-8.0694999999999997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108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-8.0694999999999997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108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-8.0694999999999997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108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-8.0694999999999997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108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-8.0694999999999997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108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-8.0694999999999997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1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108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0.18488715277777779</v>
      </c>
      <c r="AD19" s="40">
        <f t="shared" si="12"/>
        <v>0</v>
      </c>
      <c r="AE19" s="40">
        <v>-6.18</v>
      </c>
      <c r="AF19" s="40">
        <v>-8.0694999999999997</v>
      </c>
      <c r="AG19" s="40">
        <v>0</v>
      </c>
    </row>
    <row r="20" spans="1:33" ht="15.75" customHeight="1" x14ac:dyDescent="0.2">
      <c r="A20" s="29" t="s">
        <v>74</v>
      </c>
      <c r="B20" s="29" t="s">
        <v>172</v>
      </c>
      <c r="C20" s="16">
        <f t="shared" si="4"/>
        <v>17.989999999999998</v>
      </c>
      <c r="D20" s="30">
        <v>4</v>
      </c>
      <c r="E20" s="30">
        <v>0</v>
      </c>
      <c r="F20" s="33">
        <v>71.959999999999994</v>
      </c>
      <c r="G20" s="31">
        <v>0</v>
      </c>
      <c r="H20" s="32">
        <f t="shared" si="1"/>
        <v>0</v>
      </c>
      <c r="I20" s="32">
        <f t="shared" si="2"/>
        <v>4.373850634611811E-2</v>
      </c>
      <c r="J20" s="33">
        <f t="shared" si="5"/>
        <v>3.1474229166666587</v>
      </c>
      <c r="K20" s="33">
        <f t="shared" si="3"/>
        <v>0.78685572916666469</v>
      </c>
      <c r="L20" s="30">
        <v>15</v>
      </c>
      <c r="M20" s="34">
        <f t="shared" si="6"/>
        <v>0.26666666666666666</v>
      </c>
      <c r="N20" s="30">
        <v>0</v>
      </c>
      <c r="O20" s="35">
        <f t="shared" ref="O20:P20" si="28">D20/7</f>
        <v>0.5714285714285714</v>
      </c>
      <c r="P20" s="35">
        <f t="shared" si="28"/>
        <v>0</v>
      </c>
      <c r="Q20" s="30">
        <f t="shared" si="8"/>
        <v>0</v>
      </c>
      <c r="R20" s="30"/>
      <c r="S20" s="36">
        <v>0.8</v>
      </c>
      <c r="T20" s="29">
        <v>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0.18488715277777779</v>
      </c>
      <c r="AD20" s="40">
        <f t="shared" si="12"/>
        <v>-1.0205770833333332</v>
      </c>
      <c r="AE20" s="40">
        <v>-6.18</v>
      </c>
      <c r="AF20" s="40">
        <v>-8.0694999999999997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108</v>
      </c>
      <c r="U21" s="37">
        <v>108</v>
      </c>
      <c r="V21" s="38" t="s">
        <v>644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0.18488715277777779</v>
      </c>
      <c r="AD21" s="40">
        <f t="shared" si="12"/>
        <v>0</v>
      </c>
      <c r="AE21" s="40">
        <v>-6.18</v>
      </c>
      <c r="AF21" s="40">
        <v>-8.0694999999999997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108</v>
      </c>
      <c r="U22" s="37">
        <v>108</v>
      </c>
      <c r="V22" s="38" t="s">
        <v>645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0.18488715277777779</v>
      </c>
      <c r="AD22" s="40">
        <f t="shared" si="12"/>
        <v>0</v>
      </c>
      <c r="AE22" s="40">
        <v>-6.18</v>
      </c>
      <c r="AF22" s="40">
        <v>-8.0694999999999997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108</v>
      </c>
      <c r="U23" s="37" t="s">
        <v>34</v>
      </c>
      <c r="V23" s="38" t="s">
        <v>646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0.18488715277777779</v>
      </c>
      <c r="AD23" s="40">
        <f t="shared" si="12"/>
        <v>0</v>
      </c>
      <c r="AE23" s="40">
        <v>-6.18</v>
      </c>
      <c r="AF23" s="40">
        <v>-8.0694999999999997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Summary!A1:AD5000""),9,FALSE),"""")"),108)</f>
        <v>108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Summary!A1:AD5000""),28,FALSE),"""")"),108)</f>
        <v>108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Summary!A1:Ae5000""),31,FALSE),"""")"),"AGL206: 108 - 07/07/21")</f>
        <v>AGL206: 108 - 07/07/21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0.18488715277777779</v>
      </c>
      <c r="AD24" s="40">
        <f t="shared" si="12"/>
        <v>0</v>
      </c>
      <c r="AE24" s="40">
        <v>-6.18</v>
      </c>
      <c r="AF24" s="40">
        <v>-8.0694999999999997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108</v>
      </c>
      <c r="U25" s="37">
        <v>108</v>
      </c>
      <c r="V25" s="38" t="s">
        <v>647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0.18488715277777779</v>
      </c>
      <c r="AD25" s="40">
        <f t="shared" si="12"/>
        <v>0</v>
      </c>
      <c r="AE25" s="26">
        <v>-6.18</v>
      </c>
      <c r="AF25" s="26">
        <v>-8.07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108</v>
      </c>
      <c r="U26" s="37">
        <v>108</v>
      </c>
      <c r="V26" s="38" t="s">
        <v>648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0.18488715277777779</v>
      </c>
      <c r="AD26" s="40">
        <f t="shared" si="12"/>
        <v>0</v>
      </c>
      <c r="AE26" s="26">
        <v>-6.18</v>
      </c>
      <c r="AF26" s="26">
        <v>-8.0694999999999997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108</v>
      </c>
      <c r="U27" s="37">
        <v>108</v>
      </c>
      <c r="V27" s="38" t="s">
        <v>648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0.18488715277777779</v>
      </c>
      <c r="AD27" s="40">
        <f t="shared" si="12"/>
        <v>0</v>
      </c>
      <c r="AE27" s="26">
        <v>-6.18</v>
      </c>
      <c r="AF27" s="26">
        <v>-8.0694999999999997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108</v>
      </c>
      <c r="V28" s="1" t="s">
        <v>649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0.18488715277777779</v>
      </c>
      <c r="AD28" s="40">
        <f t="shared" si="12"/>
        <v>0</v>
      </c>
      <c r="AE28" s="26">
        <v>-6.18</v>
      </c>
      <c r="AF28" s="26">
        <v>-8.0694999999999997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108</v>
      </c>
      <c r="V29" s="1" t="s">
        <v>649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0.18488715277777779</v>
      </c>
      <c r="AD29" s="40">
        <f t="shared" si="12"/>
        <v>0</v>
      </c>
      <c r="AE29" s="26">
        <v>-6.18</v>
      </c>
      <c r="AF29" s="26">
        <v>-8.0694999999999997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108</v>
      </c>
      <c r="V30" s="1" t="s">
        <v>649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0.18488715277777779</v>
      </c>
      <c r="AD30" s="40">
        <f t="shared" si="12"/>
        <v>0</v>
      </c>
      <c r="AE30" s="26">
        <v>-6.18</v>
      </c>
      <c r="AF30" s="26">
        <v>-7.8973065733333296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 t="s">
        <v>34</v>
      </c>
      <c r="U31" s="23">
        <v>108</v>
      </c>
      <c r="V31" s="1" t="s">
        <v>650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35</v>
      </c>
      <c r="AB31" s="41">
        <f t="shared" si="11"/>
        <v>-0.69</v>
      </c>
      <c r="AC31" s="28">
        <v>0.18488715277777779</v>
      </c>
      <c r="AD31" s="40">
        <f t="shared" si="12"/>
        <v>0</v>
      </c>
      <c r="AE31" s="26">
        <v>-6.18</v>
      </c>
      <c r="AF31" s="43">
        <v>-7.8973065733333332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IFERROR(__xludf.DUMMYFUNCTION("IFERROR(VLOOKUP($B$2,IMPORTRANGE(""https://docs.google.com/spreadsheets/d/1KiWZV1ko8G7lnRucBRBd29jj3Be6ltMfljMDqzOkQmI/edit#gid=1381463014"",""Lookup!A:D""),3,FALSE),"""")"),108)</f>
        <v>108</v>
      </c>
      <c r="V32" s="1" t="str">
        <f ca="1">IFERROR(__xludf.DUMMYFUNCTION("IFERROR(VLOOKUP($B$2,IMPORTRANGE(""https://docs.google.com/spreadsheets/d/1KiWZV1ko8G7lnRucBRBd29jj3Be6ltMfljMDqzOkQmI/edit#gid=1381463014"",""Lookup!A:D""),2,FALSE),"""")"),"| AGL206  - 108 units 07/16")</f>
        <v>| AGL206  - 108 units 07/16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0.18488715277777779</v>
      </c>
      <c r="AD32" s="40">
        <f t="shared" si="12"/>
        <v>0</v>
      </c>
      <c r="AE32" s="26">
        <v>-6.18</v>
      </c>
      <c r="AF32" s="26">
        <v>-7.8973065733333296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0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Wood Stands, 4 Pack - 5x6 Inch Small Table Number Holders Set")</f>
        <v>Mini Acrylic Sign Holders with Wood Stands, 4 Pack - 5x6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Info!B1:BJ5000""),2,FALSE),"""")"),"B07WJ4NJPD")</f>
        <v>B07WJ4NJPD</v>
      </c>
      <c r="B2" s="3" t="s">
        <v>651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12.013313306250001</v>
      </c>
      <c r="D3" s="5">
        <f>SUM(D4:D99519)</f>
        <v>61</v>
      </c>
      <c r="E3" s="5"/>
      <c r="F3" s="6">
        <f t="shared" ref="F3:G3" si="0">SUM(F4:F99519)</f>
        <v>1627.04</v>
      </c>
      <c r="G3" s="6">
        <f t="shared" si="0"/>
        <v>-2.4800000000000004</v>
      </c>
      <c r="H3" s="7">
        <f t="shared" ref="H3:H32" si="1">G3/F3*-1</f>
        <v>1.5242403382830173E-3</v>
      </c>
      <c r="I3" s="8">
        <f t="shared" ref="I3:I32" si="2">J3/F3</f>
        <v>0.46293674528325829</v>
      </c>
      <c r="J3" s="6">
        <f>SUM(J4:J99519)</f>
        <v>753.21660204567252</v>
      </c>
      <c r="K3" s="6">
        <f t="shared" ref="K3:K32" si="3">J3/D3</f>
        <v>12.347813148289713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Sheet!a1:g5000""),2,FALSE),"""")"),"disc. - March
disc. - April
disc. - May
disc. - June
disc. - July
disc. - Aug
disc. - Sept
disc. - Oct
disc. - Nov
disc. - Dec
disc. - Jan
disc. - Feb")</f>
        <v>disc. - March
disc. - April
disc. - May
disc. - June
disc. - July
disc. - Aug
disc. - Sept
disc. - Oct
disc. - Nov
disc. - Dec
disc. - Jan
disc.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3</v>
      </c>
      <c r="X3" s="7">
        <f>W3/D3</f>
        <v>4.9180327868852458E-2</v>
      </c>
      <c r="Y3" s="6"/>
      <c r="Z3" s="5"/>
      <c r="AA3" s="5"/>
      <c r="AB3" s="5"/>
      <c r="AC3" s="5"/>
      <c r="AD3" s="6">
        <f>SUM(AD4:AD99519)</f>
        <v>-4.0920798258333315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Info!B2:BZ3000""),37,FALSE)),"""")*-1"),-5.2613163103125)</f>
        <v>-5.2613163103125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260</v>
      </c>
      <c r="U4" s="23">
        <v>60</v>
      </c>
      <c r="V4" s="24" t="s">
        <v>652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-5.2198437121212118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260</v>
      </c>
      <c r="U5" s="37">
        <v>60</v>
      </c>
      <c r="V5" s="38" t="s">
        <v>653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-5.2198437121212118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260</v>
      </c>
      <c r="U6" s="37">
        <v>60</v>
      </c>
      <c r="V6" s="38" t="s">
        <v>654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-5.2198437121212118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320</v>
      </c>
      <c r="U7" s="37">
        <v>60</v>
      </c>
      <c r="V7" s="38" t="s">
        <v>655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-5.2198437121212118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260</v>
      </c>
      <c r="U8" s="37">
        <v>60</v>
      </c>
      <c r="V8" s="38" t="s">
        <v>656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-5.22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260</v>
      </c>
      <c r="U9" s="37">
        <v>60</v>
      </c>
      <c r="V9" s="38" t="s">
        <v>657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-5.27390015151515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200</v>
      </c>
      <c r="U10" s="37">
        <v>60</v>
      </c>
      <c r="V10" s="38" t="s">
        <v>658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-5.27390015151515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200</v>
      </c>
      <c r="U11" s="37">
        <v>60</v>
      </c>
      <c r="V11" s="38" t="s">
        <v>659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-5.27390015151515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200</v>
      </c>
      <c r="U12" s="37">
        <v>60</v>
      </c>
      <c r="V12" s="38" t="s">
        <v>658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-5.27390015151515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200</v>
      </c>
      <c r="U13" s="37">
        <v>60</v>
      </c>
      <c r="V13" s="38" t="s">
        <v>658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-5.3023509090909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140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-5.3023509090909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140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-5.3023509090909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140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-5.3023509090909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140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-5.3023509090909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140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-5.3023509090909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40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>
        <v>0</v>
      </c>
      <c r="T19" s="29">
        <v>140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e">
        <v>#N/A</v>
      </c>
      <c r="AB19" s="41" t="e">
        <f t="shared" si="11"/>
        <v>#N/A</v>
      </c>
      <c r="AC19" s="42" t="e">
        <v>#N/A</v>
      </c>
      <c r="AD19" s="40">
        <f t="shared" si="12"/>
        <v>0</v>
      </c>
      <c r="AE19" s="40">
        <v>0</v>
      </c>
      <c r="AF19" s="40">
        <v>-5.3023509090909089</v>
      </c>
      <c r="AG19" s="40">
        <v>0</v>
      </c>
    </row>
    <row r="20" spans="1:33" ht="15.75" customHeight="1" x14ac:dyDescent="0.2">
      <c r="A20" s="29" t="s">
        <v>74</v>
      </c>
      <c r="B20" s="29" t="s">
        <v>660</v>
      </c>
      <c r="C20" s="16">
        <f t="shared" si="4"/>
        <v>20.99</v>
      </c>
      <c r="D20" s="30">
        <v>8</v>
      </c>
      <c r="E20" s="30">
        <v>0</v>
      </c>
      <c r="F20" s="33">
        <v>167.92</v>
      </c>
      <c r="G20" s="31">
        <v>-0.16</v>
      </c>
      <c r="H20" s="32">
        <f t="shared" si="1"/>
        <v>9.5283468318246791E-4</v>
      </c>
      <c r="I20" s="32">
        <f t="shared" si="2"/>
        <v>0.35979351191404285</v>
      </c>
      <c r="J20" s="33">
        <f t="shared" si="5"/>
        <v>60.41652652060607</v>
      </c>
      <c r="K20" s="33">
        <f t="shared" si="3"/>
        <v>7.5520658150757587</v>
      </c>
      <c r="L20" s="30">
        <v>34</v>
      </c>
      <c r="M20" s="34">
        <f t="shared" si="6"/>
        <v>0.23529411764705882</v>
      </c>
      <c r="N20" s="30">
        <v>32</v>
      </c>
      <c r="O20" s="35">
        <f t="shared" ref="O20:P20" si="28">D20/7</f>
        <v>1.1428571428571428</v>
      </c>
      <c r="P20" s="35">
        <f t="shared" si="28"/>
        <v>0</v>
      </c>
      <c r="Q20" s="30">
        <f t="shared" si="8"/>
        <v>28</v>
      </c>
      <c r="R20" s="30"/>
      <c r="S20" s="36">
        <v>0.44444444444444398</v>
      </c>
      <c r="T20" s="29">
        <v>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4.8611069444444432E-2</v>
      </c>
      <c r="AD20" s="40">
        <f t="shared" si="12"/>
        <v>-0.53666620666666653</v>
      </c>
      <c r="AE20" s="40">
        <v>-4.9000000000000004</v>
      </c>
      <c r="AF20" s="40">
        <v>-5.3023509090909089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24.479999999999997</v>
      </c>
      <c r="D21" s="30">
        <v>2</v>
      </c>
      <c r="E21" s="30">
        <v>0</v>
      </c>
      <c r="F21" s="33">
        <v>48.959999999999994</v>
      </c>
      <c r="G21" s="31">
        <v>0</v>
      </c>
      <c r="H21" s="32">
        <f t="shared" si="1"/>
        <v>0</v>
      </c>
      <c r="I21" s="32">
        <f t="shared" si="2"/>
        <v>0.43049696957008809</v>
      </c>
      <c r="J21" s="33">
        <f t="shared" si="5"/>
        <v>21.077131630151509</v>
      </c>
      <c r="K21" s="33">
        <f t="shared" si="3"/>
        <v>10.538565815075755</v>
      </c>
      <c r="L21" s="30">
        <v>21</v>
      </c>
      <c r="M21" s="34">
        <f t="shared" si="6"/>
        <v>9.5238095238095233E-2</v>
      </c>
      <c r="N21" s="30">
        <v>48</v>
      </c>
      <c r="O21" s="35">
        <f t="shared" ref="O21:P21" si="29">D21/7</f>
        <v>0.2857142857142857</v>
      </c>
      <c r="P21" s="35">
        <f t="shared" si="29"/>
        <v>0</v>
      </c>
      <c r="Q21" s="30">
        <f t="shared" si="8"/>
        <v>168</v>
      </c>
      <c r="R21" s="30"/>
      <c r="S21" s="36">
        <v>0.83333333333333304</v>
      </c>
      <c r="T21" s="29">
        <v>70</v>
      </c>
      <c r="U21" s="37">
        <v>70</v>
      </c>
      <c r="V21" s="38" t="s">
        <v>661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4.8611069444444432E-2</v>
      </c>
      <c r="AD21" s="40">
        <f t="shared" si="12"/>
        <v>-0.13416655166666663</v>
      </c>
      <c r="AE21" s="40">
        <v>-4.9000000000000004</v>
      </c>
      <c r="AF21" s="40">
        <v>-5.3023509090909089</v>
      </c>
      <c r="AG21" s="40">
        <v>0</v>
      </c>
    </row>
    <row r="22" spans="1:33" ht="15.75" customHeight="1" x14ac:dyDescent="0.2">
      <c r="A22" s="29" t="s">
        <v>76</v>
      </c>
      <c r="B22" s="29" t="s">
        <v>662</v>
      </c>
      <c r="C22" s="16">
        <f t="shared" si="4"/>
        <v>26.726000000000006</v>
      </c>
      <c r="D22" s="30">
        <v>10</v>
      </c>
      <c r="E22" s="30">
        <v>0</v>
      </c>
      <c r="F22" s="31">
        <v>267.26000000000005</v>
      </c>
      <c r="G22" s="31">
        <v>-0.48</v>
      </c>
      <c r="H22" s="32">
        <f t="shared" si="1"/>
        <v>1.7960038913417641E-3</v>
      </c>
      <c r="I22" s="32">
        <f t="shared" si="2"/>
        <v>0.46395516781694818</v>
      </c>
      <c r="J22" s="33">
        <f t="shared" si="5"/>
        <v>123.9966581507576</v>
      </c>
      <c r="K22" s="33">
        <f t="shared" si="3"/>
        <v>12.39966581507576</v>
      </c>
      <c r="L22" s="30">
        <v>52</v>
      </c>
      <c r="M22" s="34">
        <f t="shared" si="6"/>
        <v>0.19230769230769232</v>
      </c>
      <c r="N22" s="30">
        <v>37</v>
      </c>
      <c r="O22" s="35">
        <f t="shared" ref="O22:P22" si="30">D22/7</f>
        <v>1.4285714285714286</v>
      </c>
      <c r="P22" s="35">
        <f t="shared" si="30"/>
        <v>0</v>
      </c>
      <c r="Q22" s="30">
        <f t="shared" si="8"/>
        <v>25</v>
      </c>
      <c r="R22" s="30"/>
      <c r="S22" s="36">
        <v>2</v>
      </c>
      <c r="T22" s="29">
        <v>80</v>
      </c>
      <c r="U22" s="37">
        <v>80</v>
      </c>
      <c r="V22" s="38" t="s">
        <v>663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4.8611069444444432E-2</v>
      </c>
      <c r="AD22" s="40">
        <f t="shared" si="12"/>
        <v>-0.67083275833333311</v>
      </c>
      <c r="AE22" s="40">
        <v>-4.9000000000000004</v>
      </c>
      <c r="AF22" s="40">
        <v>-5.3023509090909089</v>
      </c>
      <c r="AG22" s="40">
        <v>0</v>
      </c>
    </row>
    <row r="23" spans="1:33" ht="15.75" customHeight="1" x14ac:dyDescent="0.2">
      <c r="A23" s="29" t="s">
        <v>77</v>
      </c>
      <c r="B23" s="29" t="s">
        <v>662</v>
      </c>
      <c r="C23" s="16">
        <f t="shared" si="4"/>
        <v>28.84214285714285</v>
      </c>
      <c r="D23" s="30">
        <v>14</v>
      </c>
      <c r="E23" s="30">
        <v>0</v>
      </c>
      <c r="F23" s="33">
        <v>403.78999999999991</v>
      </c>
      <c r="G23" s="31">
        <v>-0.32</v>
      </c>
      <c r="H23" s="32">
        <f t="shared" si="1"/>
        <v>7.924911463879741E-4</v>
      </c>
      <c r="I23" s="32">
        <f t="shared" si="2"/>
        <v>0.49315094829257922</v>
      </c>
      <c r="J23" s="33">
        <f t="shared" si="5"/>
        <v>199.12942141106052</v>
      </c>
      <c r="K23" s="33">
        <f t="shared" si="3"/>
        <v>14.223530100790038</v>
      </c>
      <c r="L23" s="30">
        <v>41</v>
      </c>
      <c r="M23" s="34">
        <f t="shared" si="6"/>
        <v>0.34146341463414637</v>
      </c>
      <c r="N23" s="30">
        <v>26</v>
      </c>
      <c r="O23" s="35">
        <f t="shared" ref="O23:P23" si="31">D23/7</f>
        <v>2</v>
      </c>
      <c r="P23" s="35">
        <f t="shared" si="31"/>
        <v>0</v>
      </c>
      <c r="Q23" s="30">
        <f t="shared" si="8"/>
        <v>13</v>
      </c>
      <c r="R23" s="30"/>
      <c r="S23" s="36">
        <v>3.2727272727272698</v>
      </c>
      <c r="T23" s="29">
        <v>80</v>
      </c>
      <c r="U23" s="37" t="s">
        <v>34</v>
      </c>
      <c r="V23" s="38" t="s">
        <v>664</v>
      </c>
      <c r="W23" s="29">
        <v>0</v>
      </c>
      <c r="X23" s="39">
        <f t="shared" si="9"/>
        <v>0</v>
      </c>
      <c r="Y23" s="40">
        <f t="shared" si="10"/>
        <v>0.16</v>
      </c>
      <c r="Z23" s="29">
        <v>2</v>
      </c>
      <c r="AA23" s="29" t="s">
        <v>35</v>
      </c>
      <c r="AB23" s="41">
        <f t="shared" si="11"/>
        <v>-0.69</v>
      </c>
      <c r="AC23" s="42">
        <v>4.8611069444444432E-2</v>
      </c>
      <c r="AD23" s="40">
        <f t="shared" si="12"/>
        <v>-0.93916586166666649</v>
      </c>
      <c r="AE23" s="40">
        <v>-4.9000000000000004</v>
      </c>
      <c r="AF23" s="40">
        <v>-5.3023509090909089</v>
      </c>
      <c r="AG23" s="40">
        <v>0</v>
      </c>
    </row>
    <row r="24" spans="1:33" ht="15.75" customHeight="1" x14ac:dyDescent="0.2">
      <c r="A24" s="29" t="s">
        <v>79</v>
      </c>
      <c r="B24" s="29" t="s">
        <v>665</v>
      </c>
      <c r="C24" s="16">
        <f t="shared" si="4"/>
        <v>28.698333333333334</v>
      </c>
      <c r="D24" s="30">
        <v>6</v>
      </c>
      <c r="E24" s="30">
        <v>0</v>
      </c>
      <c r="F24" s="33">
        <v>172.19</v>
      </c>
      <c r="G24" s="33">
        <v>-0.46</v>
      </c>
      <c r="H24" s="32">
        <f t="shared" si="1"/>
        <v>2.6714675648992392E-3</v>
      </c>
      <c r="I24" s="32">
        <f t="shared" si="2"/>
        <v>0.48948774545824114</v>
      </c>
      <c r="J24" s="33">
        <f t="shared" si="5"/>
        <v>84.284894890454538</v>
      </c>
      <c r="K24" s="33">
        <f t="shared" si="3"/>
        <v>14.047482481742422</v>
      </c>
      <c r="L24" s="30">
        <v>46</v>
      </c>
      <c r="M24" s="34">
        <f t="shared" si="6"/>
        <v>0.13043478260869565</v>
      </c>
      <c r="N24" s="30">
        <v>20</v>
      </c>
      <c r="O24" s="35">
        <f t="shared" ref="O24:P24" si="32">D24/7</f>
        <v>0.8571428571428571</v>
      </c>
      <c r="P24" s="35">
        <f t="shared" si="32"/>
        <v>0</v>
      </c>
      <c r="Q24" s="30">
        <f t="shared" si="8"/>
        <v>23</v>
      </c>
      <c r="R24" s="30"/>
      <c r="S24" s="36">
        <v>2.2153846153846102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Summary!A1:AD5000""),9,FALSE),"""")"),80)</f>
        <v>80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Summary!A1:AD5000""),28,FALSE),"""")"),80)</f>
        <v>80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Summary!A1:Ae5000""),31,FALSE),"""")"),"AGL206: 80 - 07/07/21")</f>
        <v>AGL206: 80 - 07/07/21</v>
      </c>
      <c r="W24" s="29">
        <v>3</v>
      </c>
      <c r="X24" s="39">
        <f t="shared" si="9"/>
        <v>0.5</v>
      </c>
      <c r="Y24" s="40">
        <f t="shared" si="10"/>
        <v>0.15333333333333335</v>
      </c>
      <c r="Z24" s="29">
        <v>0</v>
      </c>
      <c r="AA24" s="29" t="s">
        <v>35</v>
      </c>
      <c r="AB24" s="41">
        <f t="shared" si="11"/>
        <v>-0.69</v>
      </c>
      <c r="AC24" s="42">
        <v>4.8611069444444432E-2</v>
      </c>
      <c r="AD24" s="40">
        <f t="shared" si="12"/>
        <v>-0.4024996549999999</v>
      </c>
      <c r="AE24" s="40">
        <v>-4.9000000000000004</v>
      </c>
      <c r="AF24" s="40">
        <v>-5.3023509090909089</v>
      </c>
      <c r="AG24" s="40">
        <v>0</v>
      </c>
    </row>
    <row r="25" spans="1:33" ht="15.75" customHeight="1" x14ac:dyDescent="0.2">
      <c r="A25" s="15" t="s">
        <v>81</v>
      </c>
      <c r="B25" s="29" t="s">
        <v>665</v>
      </c>
      <c r="C25" s="16">
        <f t="shared" si="4"/>
        <v>26.99</v>
      </c>
      <c r="D25" s="17">
        <v>3</v>
      </c>
      <c r="E25" s="17">
        <v>0</v>
      </c>
      <c r="F25" s="18">
        <v>80.97</v>
      </c>
      <c r="G25" s="18">
        <v>-0.35</v>
      </c>
      <c r="H25" s="32">
        <f t="shared" si="1"/>
        <v>4.3225886130665676E-3</v>
      </c>
      <c r="I25" s="32">
        <f t="shared" si="2"/>
        <v>0.46527417775101898</v>
      </c>
      <c r="J25" s="33">
        <f t="shared" si="5"/>
        <v>37.673250172500005</v>
      </c>
      <c r="K25" s="33">
        <f t="shared" si="3"/>
        <v>12.557750057500002</v>
      </c>
      <c r="L25" s="17">
        <v>30</v>
      </c>
      <c r="M25" s="34">
        <f t="shared" si="6"/>
        <v>0.1</v>
      </c>
      <c r="N25" s="17">
        <v>17</v>
      </c>
      <c r="O25" s="35">
        <f t="shared" ref="O25:P25" si="33">D25/7</f>
        <v>0.42857142857142855</v>
      </c>
      <c r="P25" s="35">
        <f t="shared" si="33"/>
        <v>0</v>
      </c>
      <c r="Q25" s="30">
        <f t="shared" si="8"/>
        <v>39</v>
      </c>
      <c r="R25" s="30"/>
      <c r="S25" s="36">
        <v>2.2153846153846102</v>
      </c>
      <c r="T25" s="29">
        <v>80</v>
      </c>
      <c r="U25" s="37">
        <v>80</v>
      </c>
      <c r="V25" s="38" t="s">
        <v>666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4.8611069444444432E-2</v>
      </c>
      <c r="AD25" s="40">
        <f t="shared" si="12"/>
        <v>-0.20124982749999995</v>
      </c>
      <c r="AE25" s="26">
        <v>-4.9000000000000004</v>
      </c>
      <c r="AF25" s="26">
        <v>-5.3</v>
      </c>
      <c r="AG25" s="26">
        <v>0</v>
      </c>
    </row>
    <row r="26" spans="1:33" ht="15.75" customHeight="1" x14ac:dyDescent="0.2">
      <c r="A26" s="15" t="s">
        <v>83</v>
      </c>
      <c r="B26" s="29" t="s">
        <v>665</v>
      </c>
      <c r="C26" s="16">
        <f t="shared" si="4"/>
        <v>26.99</v>
      </c>
      <c r="D26" s="17">
        <v>6</v>
      </c>
      <c r="E26" s="17">
        <v>0</v>
      </c>
      <c r="F26" s="18">
        <v>161.94</v>
      </c>
      <c r="G26" s="18">
        <v>-0.08</v>
      </c>
      <c r="H26" s="32">
        <f t="shared" si="1"/>
        <v>4.9401012720760775E-4</v>
      </c>
      <c r="I26" s="32">
        <f t="shared" si="2"/>
        <v>0.46716311529242061</v>
      </c>
      <c r="J26" s="33">
        <f t="shared" si="5"/>
        <v>75.652394890454588</v>
      </c>
      <c r="K26" s="33">
        <f t="shared" si="3"/>
        <v>12.608732481742431</v>
      </c>
      <c r="L26" s="17">
        <v>34</v>
      </c>
      <c r="M26" s="34">
        <f t="shared" si="6"/>
        <v>0.17647058823529413</v>
      </c>
      <c r="N26" s="17">
        <v>13</v>
      </c>
      <c r="O26" s="35">
        <f t="shared" ref="O26:P26" si="34">D26/7</f>
        <v>0.8571428571428571</v>
      </c>
      <c r="P26" s="35">
        <f t="shared" si="34"/>
        <v>0</v>
      </c>
      <c r="Q26" s="30">
        <f t="shared" si="8"/>
        <v>15</v>
      </c>
      <c r="R26" s="30"/>
      <c r="S26" s="22">
        <v>3.481481481481481</v>
      </c>
      <c r="T26" s="29">
        <v>80</v>
      </c>
      <c r="U26" s="37">
        <v>80</v>
      </c>
      <c r="V26" s="38" t="s">
        <v>667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4.8611069444444432E-2</v>
      </c>
      <c r="AD26" s="40">
        <f t="shared" si="12"/>
        <v>-0.4024996549999999</v>
      </c>
      <c r="AE26" s="26">
        <v>-4.95</v>
      </c>
      <c r="AF26" s="26">
        <v>-5.3023509090909</v>
      </c>
      <c r="AG26" s="26">
        <v>0</v>
      </c>
    </row>
    <row r="27" spans="1:33" ht="15.75" customHeight="1" x14ac:dyDescent="0.2">
      <c r="A27" s="15" t="s">
        <v>84</v>
      </c>
      <c r="B27" s="15" t="s">
        <v>288</v>
      </c>
      <c r="C27" s="16">
        <f t="shared" si="4"/>
        <v>27.011666666666667</v>
      </c>
      <c r="D27" s="17">
        <v>6</v>
      </c>
      <c r="E27" s="17">
        <v>0</v>
      </c>
      <c r="F27" s="18">
        <v>162.07</v>
      </c>
      <c r="G27" s="18">
        <v>-0.39000000000000012</v>
      </c>
      <c r="H27" s="32">
        <f t="shared" si="1"/>
        <v>2.4063676189300929E-3</v>
      </c>
      <c r="I27" s="32">
        <f t="shared" si="2"/>
        <v>0.46555744363827123</v>
      </c>
      <c r="J27" s="33">
        <f t="shared" si="5"/>
        <v>75.452894890454616</v>
      </c>
      <c r="K27" s="33">
        <f t="shared" si="3"/>
        <v>12.575482481742435</v>
      </c>
      <c r="L27" s="17">
        <v>42</v>
      </c>
      <c r="M27" s="34">
        <f t="shared" si="6"/>
        <v>0.14285714285714285</v>
      </c>
      <c r="N27" s="17">
        <v>6</v>
      </c>
      <c r="O27" s="35">
        <f t="shared" ref="O27:P27" si="35">D27/7</f>
        <v>0.8571428571428571</v>
      </c>
      <c r="P27" s="35">
        <f t="shared" si="35"/>
        <v>0</v>
      </c>
      <c r="Q27" s="30">
        <f t="shared" si="8"/>
        <v>7</v>
      </c>
      <c r="R27" s="30"/>
      <c r="S27" s="22">
        <v>5.1428571428571432</v>
      </c>
      <c r="T27" s="29">
        <v>80</v>
      </c>
      <c r="U27" s="37">
        <v>80</v>
      </c>
      <c r="V27" s="38" t="s">
        <v>667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4.8611069444444432E-2</v>
      </c>
      <c r="AD27" s="40">
        <f t="shared" si="12"/>
        <v>-0.4024996549999999</v>
      </c>
      <c r="AE27" s="26">
        <v>-4.95</v>
      </c>
      <c r="AF27" s="26">
        <v>-5.3023509090909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>
        <f t="shared" si="4"/>
        <v>26.99</v>
      </c>
      <c r="D28" s="17">
        <v>5</v>
      </c>
      <c r="E28" s="17">
        <v>0</v>
      </c>
      <c r="F28" s="18">
        <v>134.94999999999999</v>
      </c>
      <c r="G28" s="18">
        <v>-0.24</v>
      </c>
      <c r="H28" s="32">
        <f t="shared" si="1"/>
        <v>1.7784364579473879E-3</v>
      </c>
      <c r="I28" s="32">
        <f t="shared" si="2"/>
        <v>0.46587868896168078</v>
      </c>
      <c r="J28" s="33">
        <f t="shared" si="5"/>
        <v>62.870329075378812</v>
      </c>
      <c r="K28" s="33">
        <f t="shared" si="3"/>
        <v>12.574065815075762</v>
      </c>
      <c r="L28" s="17">
        <v>38</v>
      </c>
      <c r="M28" s="34">
        <f t="shared" si="6"/>
        <v>0.13157894736842105</v>
      </c>
      <c r="N28" s="17">
        <v>0</v>
      </c>
      <c r="O28" s="35">
        <f t="shared" ref="O28:P28" si="36">D28/7</f>
        <v>0.7142857142857143</v>
      </c>
      <c r="P28" s="35">
        <f t="shared" si="36"/>
        <v>0</v>
      </c>
      <c r="Q28" s="30">
        <f t="shared" si="8"/>
        <v>0</v>
      </c>
      <c r="R28" s="30"/>
      <c r="S28" s="22">
        <v>0</v>
      </c>
      <c r="T28" s="15" t="s">
        <v>34</v>
      </c>
      <c r="U28" s="23">
        <v>140</v>
      </c>
      <c r="V28" s="1" t="s">
        <v>668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4.8611069444444432E-2</v>
      </c>
      <c r="AD28" s="40">
        <f t="shared" si="12"/>
        <v>-0.33541637916666656</v>
      </c>
      <c r="AE28" s="26">
        <v>-4.95</v>
      </c>
      <c r="AF28" s="26">
        <v>-5.3023509090909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140</v>
      </c>
      <c r="V29" s="1" t="s">
        <v>669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4.8611069444444432E-2</v>
      </c>
      <c r="AD29" s="40">
        <f t="shared" si="12"/>
        <v>0</v>
      </c>
      <c r="AE29" s="26">
        <v>-4.95</v>
      </c>
      <c r="AF29" s="26">
        <v>-5.3023509090909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140</v>
      </c>
      <c r="V30" s="1" t="s">
        <v>670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4.8611069444444432E-2</v>
      </c>
      <c r="AD30" s="40">
        <f t="shared" si="12"/>
        <v>0</v>
      </c>
      <c r="AE30" s="26">
        <v>-4.95</v>
      </c>
      <c r="AF30" s="26">
        <v>-5.2613163103125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 t="s">
        <v>34</v>
      </c>
      <c r="U31" s="23">
        <v>140</v>
      </c>
      <c r="V31" s="1" t="s">
        <v>671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4.8611069444444432E-2</v>
      </c>
      <c r="AD31" s="40">
        <f t="shared" si="12"/>
        <v>0</v>
      </c>
      <c r="AE31" s="26">
        <v>-4.95</v>
      </c>
      <c r="AF31" s="43">
        <v>-5.2613163103125</v>
      </c>
      <c r="AG31" s="26">
        <v>0</v>
      </c>
    </row>
    <row r="32" spans="1:33" ht="15.75" customHeight="1" x14ac:dyDescent="0.2">
      <c r="A32" s="15" t="s">
        <v>96</v>
      </c>
      <c r="B32" s="44" t="s">
        <v>172</v>
      </c>
      <c r="C32" s="16">
        <f t="shared" si="4"/>
        <v>26.99</v>
      </c>
      <c r="D32" s="17">
        <v>1</v>
      </c>
      <c r="E32" s="17">
        <v>0</v>
      </c>
      <c r="F32" s="18">
        <v>26.99</v>
      </c>
      <c r="G32" s="18">
        <v>0</v>
      </c>
      <c r="H32" s="32">
        <f t="shared" si="1"/>
        <v>0</v>
      </c>
      <c r="I32" s="32">
        <f t="shared" si="2"/>
        <v>0.46917748847181046</v>
      </c>
      <c r="J32" s="33">
        <f t="shared" si="5"/>
        <v>12.663100413854163</v>
      </c>
      <c r="K32" s="33">
        <f t="shared" si="3"/>
        <v>12.663100413854163</v>
      </c>
      <c r="L32" s="17">
        <v>6</v>
      </c>
      <c r="M32" s="34">
        <f t="shared" si="6"/>
        <v>0.16666666666666666</v>
      </c>
      <c r="N32" s="17">
        <v>0</v>
      </c>
      <c r="O32" s="35">
        <f t="shared" ref="O32:P32" si="40">D32/7</f>
        <v>0.14285714285714285</v>
      </c>
      <c r="P32" s="35">
        <f t="shared" si="40"/>
        <v>0</v>
      </c>
      <c r="Q32" s="30">
        <f t="shared" si="8"/>
        <v>0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3.243243243243243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IFERROR(__xludf.DUMMYFUNCTION("IFERROR(VLOOKUP($B$2,IMPORTRANGE(""https://docs.google.com/spreadsheets/d/1KiWZV1ko8G7lnRucBRBd29jj3Be6ltMfljMDqzOkQmI/edit#gid=1381463014"",""Lookup!A:D""),3,FALSE),"""")"),80)</f>
        <v>80</v>
      </c>
      <c r="V32" s="1" t="str">
        <f ca="1">IFERROR(__xludf.DUMMYFUNCTION("IFERROR(VLOOKUP($B$2,IMPORTRANGE(""https://docs.google.com/spreadsheets/d/1KiWZV1ko8G7lnRucBRBd29jj3Be6ltMfljMDqzOkQmI/edit#gid=1381463014"",""Lookup!A:D""),2,FALSE),"""")"),"| AGL206  - 80 units 07/16| AGL256  - 60 units 09/17")</f>
        <v>| AGL206  - 80 units 07/16| AGL256  - 60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4.8611069444444432E-2</v>
      </c>
      <c r="AD32" s="40">
        <f t="shared" si="12"/>
        <v>-6.7083275833333317E-2</v>
      </c>
      <c r="AE32" s="26">
        <v>-4.95</v>
      </c>
      <c r="AF32" s="26">
        <v>-5.2613163103125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0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Chalkboard Signs for Tables, 4 Pack - Rustic 5x6 Inch Small Slate Tabletop Chalk Boards with White Wood Stands Set")</f>
        <v>Mini Chalkboard Signs for Tables, 4 Pack - Rustic 5x6 Inch Small Slate Tabletop Chalk Boards with White Wood Stands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Info!B1:BJ5000""),2,FALSE),"""")"),"B07WDY1MCF")</f>
        <v>B07WDY1MCF</v>
      </c>
      <c r="B2" s="3" t="s">
        <v>672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12.65776036507353</v>
      </c>
      <c r="D3" s="5">
        <f>SUM(D4:D99519)</f>
        <v>62</v>
      </c>
      <c r="E3" s="5"/>
      <c r="F3" s="6">
        <f t="shared" ref="F3:G3" si="0">SUM(F4:F99519)</f>
        <v>1371.5000000000002</v>
      </c>
      <c r="G3" s="6">
        <f t="shared" si="0"/>
        <v>-2.3900000000000006</v>
      </c>
      <c r="H3" s="7">
        <f t="shared" ref="H3:H32" si="1">G3/F3*-1</f>
        <v>1.7426175720014585E-3</v>
      </c>
      <c r="I3" s="8">
        <f t="shared" ref="I3:I32" si="2">J3/F3</f>
        <v>0.35846041541984269</v>
      </c>
      <c r="J3" s="6">
        <f>SUM(J4:J99519)</f>
        <v>491.62845974831436</v>
      </c>
      <c r="K3" s="6">
        <f t="shared" ref="K3:K32" si="3">J3/D3</f>
        <v>7.9294912862631346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Sheet!a1:g5000""),2,FALSE),"""")"),"disc. - March
disc. - April
disc. - May
disc. - June
disc. - July
disc. - Aug
disc. - Sept
disc. - Oct
disc. - Nov
disc. - Dec
disc. - Jan
disc. - Feb")</f>
        <v>disc. - March
disc. - April
disc. - May
disc. - June
disc. - July
disc. - Aug
disc. - Sept
disc. - Oct
disc. - Nov
disc. - Dec
disc. - Jan
disc.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-4.3315403583333332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Info!B2:BZ3000""),37,FALSE)),"""")*-1"),-5.8090963103125)</f>
        <v>-5.8090963103125004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260</v>
      </c>
      <c r="U4" s="23">
        <v>60</v>
      </c>
      <c r="V4" s="24" t="s">
        <v>652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-5.7676237121212131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260</v>
      </c>
      <c r="U5" s="37">
        <v>60</v>
      </c>
      <c r="V5" s="38" t="s">
        <v>653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-5.7676237121212131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260</v>
      </c>
      <c r="U6" s="37">
        <v>60</v>
      </c>
      <c r="V6" s="38" t="s">
        <v>654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-5.7676237121212131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320</v>
      </c>
      <c r="U7" s="37">
        <v>60</v>
      </c>
      <c r="V7" s="38" t="s">
        <v>655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-5.7676237121212131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260</v>
      </c>
      <c r="U8" s="37">
        <v>60</v>
      </c>
      <c r="V8" s="38" t="s">
        <v>656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-5.77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260</v>
      </c>
      <c r="U9" s="37">
        <v>60</v>
      </c>
      <c r="V9" s="38" t="s">
        <v>657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-5.8216801515151504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200</v>
      </c>
      <c r="U10" s="37">
        <v>60</v>
      </c>
      <c r="V10" s="38" t="s">
        <v>658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-5.8216801515151504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200</v>
      </c>
      <c r="U11" s="37">
        <v>60</v>
      </c>
      <c r="V11" s="38" t="s">
        <v>659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-5.8216801515151504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200</v>
      </c>
      <c r="U12" s="37">
        <v>60</v>
      </c>
      <c r="V12" s="38" t="s">
        <v>658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-5.8216801515151504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200</v>
      </c>
      <c r="U13" s="37">
        <v>60</v>
      </c>
      <c r="V13" s="38" t="s">
        <v>658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-5.8501309090909102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140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-5.8501309090909102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140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-5.8501309090909102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140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-5.8501309090909102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140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-5.8501309090909102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140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-5.8501309090909102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40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>
        <v>0</v>
      </c>
      <c r="T19" s="29">
        <v>140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e">
        <v>#N/A</v>
      </c>
      <c r="AB19" s="41" t="e">
        <f t="shared" si="11"/>
        <v>#N/A</v>
      </c>
      <c r="AC19" s="42" t="e">
        <v>#N/A</v>
      </c>
      <c r="AD19" s="40">
        <f t="shared" si="12"/>
        <v>0</v>
      </c>
      <c r="AE19" s="40">
        <v>0</v>
      </c>
      <c r="AF19" s="40">
        <v>-5.8501309090909102</v>
      </c>
      <c r="AG19" s="40">
        <v>0</v>
      </c>
    </row>
    <row r="20" spans="1:33" ht="15.75" customHeight="1" x14ac:dyDescent="0.2">
      <c r="A20" s="29" t="s">
        <v>74</v>
      </c>
      <c r="B20" s="29" t="s">
        <v>673</v>
      </c>
      <c r="C20" s="16">
        <f t="shared" si="4"/>
        <v>13.99</v>
      </c>
      <c r="D20" s="30">
        <v>5</v>
      </c>
      <c r="E20" s="30">
        <v>0</v>
      </c>
      <c r="F20" s="33">
        <v>69.95</v>
      </c>
      <c r="G20" s="31">
        <v>0</v>
      </c>
      <c r="H20" s="32">
        <f t="shared" si="1"/>
        <v>0</v>
      </c>
      <c r="I20" s="32">
        <f t="shared" si="2"/>
        <v>7.6590817494097463E-2</v>
      </c>
      <c r="J20" s="33">
        <f t="shared" si="5"/>
        <v>5.3575276837121182</v>
      </c>
      <c r="K20" s="33">
        <f t="shared" si="3"/>
        <v>1.0715055367424235</v>
      </c>
      <c r="L20" s="30">
        <v>17</v>
      </c>
      <c r="M20" s="34">
        <f t="shared" si="6"/>
        <v>0.29411764705882354</v>
      </c>
      <c r="N20" s="30">
        <v>37</v>
      </c>
      <c r="O20" s="35">
        <f t="shared" ref="O20:P20" si="28">D20/7</f>
        <v>0.7142857142857143</v>
      </c>
      <c r="P20" s="35">
        <f t="shared" si="28"/>
        <v>0</v>
      </c>
      <c r="Q20" s="30">
        <f t="shared" si="8"/>
        <v>51</v>
      </c>
      <c r="R20" s="30"/>
      <c r="S20" s="36">
        <v>0.21052631578947301</v>
      </c>
      <c r="T20" s="29">
        <v>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5.062576388888889E-2</v>
      </c>
      <c r="AD20" s="40">
        <f t="shared" si="12"/>
        <v>-0.34931777083333332</v>
      </c>
      <c r="AE20" s="40">
        <v>-4.9000000000000004</v>
      </c>
      <c r="AF20" s="40">
        <v>-5.8501309090909102</v>
      </c>
      <c r="AG20" s="40">
        <v>0</v>
      </c>
    </row>
    <row r="21" spans="1:33" ht="15.75" customHeight="1" x14ac:dyDescent="0.2">
      <c r="A21" s="29" t="s">
        <v>75</v>
      </c>
      <c r="B21" s="29" t="s">
        <v>188</v>
      </c>
      <c r="C21" s="16">
        <f t="shared" si="4"/>
        <v>19.188333333333333</v>
      </c>
      <c r="D21" s="30">
        <v>6</v>
      </c>
      <c r="E21" s="30">
        <v>0</v>
      </c>
      <c r="F21" s="33">
        <v>115.13</v>
      </c>
      <c r="G21" s="31">
        <v>0</v>
      </c>
      <c r="H21" s="32">
        <f t="shared" si="1"/>
        <v>0</v>
      </c>
      <c r="I21" s="32">
        <f t="shared" si="2"/>
        <v>0.28611598384829784</v>
      </c>
      <c r="J21" s="33">
        <f t="shared" si="5"/>
        <v>32.940533220454526</v>
      </c>
      <c r="K21" s="33">
        <f t="shared" si="3"/>
        <v>5.4900888700757546</v>
      </c>
      <c r="L21" s="30">
        <v>29</v>
      </c>
      <c r="M21" s="34">
        <f t="shared" si="6"/>
        <v>0.20689655172413793</v>
      </c>
      <c r="N21" s="30">
        <v>48</v>
      </c>
      <c r="O21" s="35">
        <f t="shared" ref="O21:P21" si="29">D21/7</f>
        <v>0.8571428571428571</v>
      </c>
      <c r="P21" s="35">
        <f t="shared" si="29"/>
        <v>0</v>
      </c>
      <c r="Q21" s="30">
        <f t="shared" si="8"/>
        <v>56</v>
      </c>
      <c r="R21" s="30"/>
      <c r="S21" s="36">
        <v>0.73469387755102</v>
      </c>
      <c r="T21" s="29">
        <v>70</v>
      </c>
      <c r="U21" s="37">
        <v>70</v>
      </c>
      <c r="V21" s="38" t="s">
        <v>661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5.062576388888889E-2</v>
      </c>
      <c r="AD21" s="40">
        <f t="shared" si="12"/>
        <v>-0.41918132499999994</v>
      </c>
      <c r="AE21" s="40">
        <v>-4.9000000000000004</v>
      </c>
      <c r="AF21" s="40">
        <v>-5.8501309090909102</v>
      </c>
      <c r="AG21" s="40">
        <v>0</v>
      </c>
    </row>
    <row r="22" spans="1:33" ht="15.75" customHeight="1" x14ac:dyDescent="0.2">
      <c r="A22" s="29" t="s">
        <v>76</v>
      </c>
      <c r="B22" s="29" t="s">
        <v>674</v>
      </c>
      <c r="C22" s="16">
        <f t="shared" si="4"/>
        <v>21.355000000000004</v>
      </c>
      <c r="D22" s="30">
        <v>12</v>
      </c>
      <c r="E22" s="30">
        <v>0</v>
      </c>
      <c r="F22" s="31">
        <v>256.26000000000005</v>
      </c>
      <c r="G22" s="31">
        <v>-0.08</v>
      </c>
      <c r="H22" s="32">
        <f t="shared" si="1"/>
        <v>3.1218293920237254E-4</v>
      </c>
      <c r="I22" s="32">
        <f t="shared" si="2"/>
        <v>0.34301516600682541</v>
      </c>
      <c r="J22" s="33">
        <f t="shared" si="5"/>
        <v>87.901066440909091</v>
      </c>
      <c r="K22" s="33">
        <f t="shared" si="3"/>
        <v>7.3250888700757573</v>
      </c>
      <c r="L22" s="30">
        <v>43</v>
      </c>
      <c r="M22" s="34">
        <f t="shared" si="6"/>
        <v>0.27906976744186046</v>
      </c>
      <c r="N22" s="30">
        <v>31</v>
      </c>
      <c r="O22" s="35">
        <f t="shared" ref="O22:P22" si="30">D22/7</f>
        <v>1.7142857142857142</v>
      </c>
      <c r="P22" s="35">
        <f t="shared" si="30"/>
        <v>0</v>
      </c>
      <c r="Q22" s="30">
        <f t="shared" si="8"/>
        <v>18</v>
      </c>
      <c r="R22" s="30"/>
      <c r="S22" s="36">
        <v>2.5454545454545401</v>
      </c>
      <c r="T22" s="29">
        <v>80</v>
      </c>
      <c r="U22" s="37">
        <v>80</v>
      </c>
      <c r="V22" s="38" t="s">
        <v>663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5.062576388888889E-2</v>
      </c>
      <c r="AD22" s="40">
        <f t="shared" si="12"/>
        <v>-0.83836264999999988</v>
      </c>
      <c r="AE22" s="40">
        <v>-4.9000000000000004</v>
      </c>
      <c r="AF22" s="40">
        <v>-5.8501309090909102</v>
      </c>
      <c r="AG22" s="40">
        <v>0</v>
      </c>
    </row>
    <row r="23" spans="1:33" ht="15.75" customHeight="1" x14ac:dyDescent="0.2">
      <c r="A23" s="29" t="s">
        <v>77</v>
      </c>
      <c r="B23" s="29" t="s">
        <v>54</v>
      </c>
      <c r="C23" s="16">
        <f t="shared" si="4"/>
        <v>25.664999999999999</v>
      </c>
      <c r="D23" s="30">
        <v>8</v>
      </c>
      <c r="E23" s="30">
        <v>0</v>
      </c>
      <c r="F23" s="33">
        <v>205.32</v>
      </c>
      <c r="G23" s="31">
        <v>-0.27</v>
      </c>
      <c r="H23" s="32">
        <f t="shared" si="1"/>
        <v>1.3150204558737581E-3</v>
      </c>
      <c r="I23" s="32">
        <f t="shared" si="2"/>
        <v>0.42709937801451081</v>
      </c>
      <c r="J23" s="33">
        <f t="shared" si="5"/>
        <v>87.692044293939361</v>
      </c>
      <c r="K23" s="33">
        <f t="shared" si="3"/>
        <v>10.96150553674242</v>
      </c>
      <c r="L23" s="30">
        <v>59</v>
      </c>
      <c r="M23" s="34">
        <f t="shared" si="6"/>
        <v>0.13559322033898305</v>
      </c>
      <c r="N23" s="30">
        <v>29</v>
      </c>
      <c r="O23" s="35">
        <f t="shared" ref="O23:P23" si="31">D23/7</f>
        <v>1.1428571428571428</v>
      </c>
      <c r="P23" s="35">
        <f t="shared" si="31"/>
        <v>0</v>
      </c>
      <c r="Q23" s="30">
        <f t="shared" si="8"/>
        <v>25</v>
      </c>
      <c r="R23" s="30"/>
      <c r="S23" s="36">
        <v>4</v>
      </c>
      <c r="T23" s="29">
        <v>80</v>
      </c>
      <c r="U23" s="37" t="s">
        <v>34</v>
      </c>
      <c r="V23" s="38" t="s">
        <v>664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5.062576388888889E-2</v>
      </c>
      <c r="AD23" s="40">
        <f t="shared" si="12"/>
        <v>-0.55890843333333329</v>
      </c>
      <c r="AE23" s="40">
        <v>-4.9000000000000004</v>
      </c>
      <c r="AF23" s="40">
        <v>-5.8501309090909102</v>
      </c>
      <c r="AG23" s="40">
        <v>0</v>
      </c>
    </row>
    <row r="24" spans="1:33" ht="15.75" customHeight="1" x14ac:dyDescent="0.2">
      <c r="A24" s="29" t="s">
        <v>79</v>
      </c>
      <c r="B24" s="29" t="s">
        <v>675</v>
      </c>
      <c r="C24" s="16">
        <f t="shared" si="4"/>
        <v>26.316666666666666</v>
      </c>
      <c r="D24" s="30">
        <v>3</v>
      </c>
      <c r="E24" s="30">
        <v>0</v>
      </c>
      <c r="F24" s="33">
        <v>78.95</v>
      </c>
      <c r="G24" s="33">
        <v>-0.44</v>
      </c>
      <c r="H24" s="32">
        <f t="shared" si="1"/>
        <v>5.5731475617479412E-3</v>
      </c>
      <c r="I24" s="32">
        <f t="shared" si="2"/>
        <v>0.43328076770395529</v>
      </c>
      <c r="J24" s="33">
        <f t="shared" si="5"/>
        <v>34.207516610227273</v>
      </c>
      <c r="K24" s="33">
        <f t="shared" si="3"/>
        <v>11.402505536742424</v>
      </c>
      <c r="L24" s="30">
        <v>25</v>
      </c>
      <c r="M24" s="34">
        <f t="shared" si="6"/>
        <v>0.12</v>
      </c>
      <c r="N24" s="30">
        <v>26</v>
      </c>
      <c r="O24" s="35">
        <f t="shared" ref="O24:P24" si="32">D24/7</f>
        <v>0.42857142857142855</v>
      </c>
      <c r="P24" s="35">
        <f t="shared" si="32"/>
        <v>0</v>
      </c>
      <c r="Q24" s="30">
        <f t="shared" si="8"/>
        <v>60</v>
      </c>
      <c r="R24" s="30"/>
      <c r="S24" s="36">
        <v>2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Summary!A1:AD5000""),9,FALSE),"""")"),80)</f>
        <v>80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Summary!A1:AD5000""),28,FALSE),"""")"),80)</f>
        <v>80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Summary!A1:Ae5000""),31,FALSE),"""")"),"AGL206: 80 - 07/07/21")</f>
        <v>AGL206: 80 - 07/07/21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5.062576388888889E-2</v>
      </c>
      <c r="AD24" s="40">
        <f t="shared" si="12"/>
        <v>-0.20959066249999997</v>
      </c>
      <c r="AE24" s="40">
        <v>-4.9000000000000004</v>
      </c>
      <c r="AF24" s="40">
        <v>-5.8501309090909102</v>
      </c>
      <c r="AG24" s="40">
        <v>0</v>
      </c>
    </row>
    <row r="25" spans="1:33" ht="15.75" customHeight="1" x14ac:dyDescent="0.2">
      <c r="A25" s="15" t="s">
        <v>81</v>
      </c>
      <c r="B25" s="15" t="s">
        <v>676</v>
      </c>
      <c r="C25" s="16">
        <f t="shared" si="4"/>
        <v>24.4925</v>
      </c>
      <c r="D25" s="17">
        <v>8</v>
      </c>
      <c r="E25" s="17">
        <v>0</v>
      </c>
      <c r="F25" s="18">
        <v>195.94</v>
      </c>
      <c r="G25" s="18">
        <v>-0.38000000000000012</v>
      </c>
      <c r="H25" s="32">
        <f t="shared" si="1"/>
        <v>1.9393691946514246E-3</v>
      </c>
      <c r="I25" s="32">
        <f t="shared" si="2"/>
        <v>0.40629831359940127</v>
      </c>
      <c r="J25" s="33">
        <f t="shared" si="5"/>
        <v>79.610091566666682</v>
      </c>
      <c r="K25" s="33">
        <f t="shared" si="3"/>
        <v>9.9512614458333353</v>
      </c>
      <c r="L25" s="17">
        <v>28</v>
      </c>
      <c r="M25" s="34">
        <f t="shared" si="6"/>
        <v>0.2857142857142857</v>
      </c>
      <c r="N25" s="17">
        <v>19</v>
      </c>
      <c r="O25" s="35">
        <f t="shared" ref="O25:P25" si="33">D25/7</f>
        <v>1.1428571428571428</v>
      </c>
      <c r="P25" s="35">
        <f t="shared" si="33"/>
        <v>0</v>
      </c>
      <c r="Q25" s="30">
        <f t="shared" si="8"/>
        <v>16</v>
      </c>
      <c r="R25" s="30"/>
      <c r="S25" s="36">
        <v>2</v>
      </c>
      <c r="T25" s="29">
        <v>80</v>
      </c>
      <c r="U25" s="37">
        <v>80</v>
      </c>
      <c r="V25" s="38" t="s">
        <v>666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5.062576388888889E-2</v>
      </c>
      <c r="AD25" s="40">
        <f t="shared" si="12"/>
        <v>-0.55890843333333329</v>
      </c>
      <c r="AE25" s="26">
        <v>-4.9000000000000004</v>
      </c>
      <c r="AF25" s="26">
        <v>-5.85</v>
      </c>
      <c r="AG25" s="26">
        <v>0</v>
      </c>
    </row>
    <row r="26" spans="1:33" ht="15.75" customHeight="1" x14ac:dyDescent="0.2">
      <c r="A26" s="15" t="s">
        <v>83</v>
      </c>
      <c r="B26" s="15" t="s">
        <v>677</v>
      </c>
      <c r="C26" s="16">
        <f t="shared" si="4"/>
        <v>23.99</v>
      </c>
      <c r="D26" s="17">
        <v>2</v>
      </c>
      <c r="E26" s="17">
        <v>0</v>
      </c>
      <c r="F26" s="18">
        <v>47.98</v>
      </c>
      <c r="G26" s="18">
        <v>-0.36</v>
      </c>
      <c r="H26" s="32">
        <f t="shared" si="1"/>
        <v>7.503126302626094E-3</v>
      </c>
      <c r="I26" s="32">
        <f t="shared" si="2"/>
        <v>0.38939164388255199</v>
      </c>
      <c r="J26" s="33">
        <f t="shared" si="5"/>
        <v>18.683011073484842</v>
      </c>
      <c r="K26" s="33">
        <f t="shared" si="3"/>
        <v>9.3415055367424209</v>
      </c>
      <c r="L26" s="17">
        <v>31</v>
      </c>
      <c r="M26" s="34">
        <f t="shared" si="6"/>
        <v>6.4516129032258063E-2</v>
      </c>
      <c r="N26" s="17">
        <v>17</v>
      </c>
      <c r="O26" s="35">
        <f t="shared" ref="O26:P26" si="34">D26/7</f>
        <v>0.2857142857142857</v>
      </c>
      <c r="P26" s="35">
        <f t="shared" si="34"/>
        <v>0</v>
      </c>
      <c r="Q26" s="30">
        <f t="shared" si="8"/>
        <v>59</v>
      </c>
      <c r="R26" s="30"/>
      <c r="S26" s="22">
        <v>3.127272727272727</v>
      </c>
      <c r="T26" s="29">
        <v>80</v>
      </c>
      <c r="U26" s="37">
        <v>80</v>
      </c>
      <c r="V26" s="38" t="s">
        <v>667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5.062576388888889E-2</v>
      </c>
      <c r="AD26" s="40">
        <f t="shared" si="12"/>
        <v>-0.13972710833333332</v>
      </c>
      <c r="AE26" s="26">
        <v>-4.95</v>
      </c>
      <c r="AF26" s="26">
        <v>-5.8501309090909102</v>
      </c>
      <c r="AG26" s="26">
        <v>0</v>
      </c>
    </row>
    <row r="27" spans="1:33" ht="15.75" customHeight="1" x14ac:dyDescent="0.2">
      <c r="A27" s="15" t="s">
        <v>84</v>
      </c>
      <c r="B27" s="15" t="s">
        <v>54</v>
      </c>
      <c r="C27" s="16">
        <f t="shared" si="4"/>
        <v>23.22</v>
      </c>
      <c r="D27" s="17">
        <v>5</v>
      </c>
      <c r="E27" s="17">
        <v>0</v>
      </c>
      <c r="F27" s="18">
        <v>116.1</v>
      </c>
      <c r="G27" s="18">
        <v>-0.3</v>
      </c>
      <c r="H27" s="32">
        <f t="shared" si="1"/>
        <v>2.5839793281653748E-3</v>
      </c>
      <c r="I27" s="32">
        <f t="shared" si="2"/>
        <v>0.37928533749967364</v>
      </c>
      <c r="J27" s="33">
        <f t="shared" si="5"/>
        <v>44.035027683712109</v>
      </c>
      <c r="K27" s="33">
        <f t="shared" si="3"/>
        <v>8.8070055367424214</v>
      </c>
      <c r="L27" s="17">
        <v>27</v>
      </c>
      <c r="M27" s="34">
        <f t="shared" si="6"/>
        <v>0.18518518518518517</v>
      </c>
      <c r="N27" s="17">
        <v>11</v>
      </c>
      <c r="O27" s="35">
        <f t="shared" ref="O27:P27" si="35">D27/7</f>
        <v>0.7142857142857143</v>
      </c>
      <c r="P27" s="35">
        <f t="shared" si="35"/>
        <v>0</v>
      </c>
      <c r="Q27" s="30">
        <f t="shared" si="8"/>
        <v>15</v>
      </c>
      <c r="R27" s="30"/>
      <c r="S27" s="22">
        <v>5.1578947368421053</v>
      </c>
      <c r="T27" s="29">
        <v>80</v>
      </c>
      <c r="U27" s="37">
        <v>80</v>
      </c>
      <c r="V27" s="38" t="s">
        <v>667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5.062576388888889E-2</v>
      </c>
      <c r="AD27" s="40">
        <f t="shared" si="12"/>
        <v>-0.34931777083333332</v>
      </c>
      <c r="AE27" s="26">
        <v>-4.95</v>
      </c>
      <c r="AF27" s="26">
        <v>-5.8501309090909102</v>
      </c>
      <c r="AG27" s="26">
        <v>0</v>
      </c>
    </row>
    <row r="28" spans="1:33" ht="15.75" customHeight="1" x14ac:dyDescent="0.2">
      <c r="A28" s="15" t="s">
        <v>85</v>
      </c>
      <c r="B28" s="15" t="s">
        <v>678</v>
      </c>
      <c r="C28" s="16">
        <f t="shared" si="4"/>
        <v>21.99</v>
      </c>
      <c r="D28" s="17">
        <v>6</v>
      </c>
      <c r="E28" s="17">
        <v>0</v>
      </c>
      <c r="F28" s="18">
        <v>131.94</v>
      </c>
      <c r="G28" s="18">
        <v>-0.32</v>
      </c>
      <c r="H28" s="32">
        <f t="shared" si="1"/>
        <v>2.4253448537213886E-3</v>
      </c>
      <c r="I28" s="32">
        <f t="shared" si="2"/>
        <v>0.35325930893174584</v>
      </c>
      <c r="J28" s="33">
        <f t="shared" si="5"/>
        <v>46.609033220454549</v>
      </c>
      <c r="K28" s="33">
        <f t="shared" si="3"/>
        <v>7.7681722034090912</v>
      </c>
      <c r="L28" s="17">
        <v>22</v>
      </c>
      <c r="M28" s="34">
        <f t="shared" si="6"/>
        <v>0.27272727272727271</v>
      </c>
      <c r="N28" s="17">
        <v>7</v>
      </c>
      <c r="O28" s="35">
        <f t="shared" ref="O28:P28" si="36">D28/7</f>
        <v>0.8571428571428571</v>
      </c>
      <c r="P28" s="35">
        <f t="shared" si="36"/>
        <v>0</v>
      </c>
      <c r="Q28" s="30">
        <f t="shared" si="8"/>
        <v>8</v>
      </c>
      <c r="R28" s="30"/>
      <c r="S28" s="22">
        <v>2.615384615384615</v>
      </c>
      <c r="T28" s="15" t="s">
        <v>34</v>
      </c>
      <c r="U28" s="23">
        <v>140</v>
      </c>
      <c r="V28" s="1" t="s">
        <v>668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5.062576388888889E-2</v>
      </c>
      <c r="AD28" s="40">
        <f t="shared" si="12"/>
        <v>-0.41918132499999994</v>
      </c>
      <c r="AE28" s="26">
        <v>-4.95</v>
      </c>
      <c r="AF28" s="26">
        <v>-5.8501309090909102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>
        <f t="shared" si="4"/>
        <v>21.990000000000002</v>
      </c>
      <c r="D29" s="17">
        <v>5</v>
      </c>
      <c r="E29" s="17">
        <v>0</v>
      </c>
      <c r="F29" s="18">
        <v>109.95</v>
      </c>
      <c r="G29" s="18">
        <v>-0.08</v>
      </c>
      <c r="H29" s="32">
        <f t="shared" si="1"/>
        <v>7.2760345611641651E-4</v>
      </c>
      <c r="I29" s="32">
        <f t="shared" si="2"/>
        <v>0.35495705032935077</v>
      </c>
      <c r="J29" s="33">
        <f t="shared" si="5"/>
        <v>39.027527683712115</v>
      </c>
      <c r="K29" s="33">
        <f t="shared" si="3"/>
        <v>7.8055055367424231</v>
      </c>
      <c r="L29" s="17">
        <v>25</v>
      </c>
      <c r="M29" s="34">
        <f t="shared" si="6"/>
        <v>0.2</v>
      </c>
      <c r="N29" s="17">
        <v>3</v>
      </c>
      <c r="O29" s="35">
        <f t="shared" ref="O29:P29" si="37">D29/7</f>
        <v>0.7142857142857143</v>
      </c>
      <c r="P29" s="35">
        <f t="shared" si="37"/>
        <v>0</v>
      </c>
      <c r="Q29" s="30">
        <f t="shared" si="8"/>
        <v>4</v>
      </c>
      <c r="R29" s="30"/>
      <c r="S29" s="22">
        <v>3.8666666666666671</v>
      </c>
      <c r="T29" s="15" t="s">
        <v>34</v>
      </c>
      <c r="U29" s="23">
        <v>140</v>
      </c>
      <c r="V29" s="1" t="s">
        <v>669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5.062576388888889E-2</v>
      </c>
      <c r="AD29" s="40">
        <f t="shared" si="12"/>
        <v>-0.34931777083333332</v>
      </c>
      <c r="AE29" s="26">
        <v>-4.95</v>
      </c>
      <c r="AF29" s="26">
        <v>-5.8501309090909102</v>
      </c>
      <c r="AG29" s="26">
        <v>0</v>
      </c>
    </row>
    <row r="30" spans="1:33" ht="15.75" customHeight="1" x14ac:dyDescent="0.2">
      <c r="A30" s="15" t="s">
        <v>90</v>
      </c>
      <c r="B30" s="15" t="s">
        <v>172</v>
      </c>
      <c r="C30" s="16">
        <f t="shared" si="4"/>
        <v>21.99</v>
      </c>
      <c r="D30" s="17">
        <v>2</v>
      </c>
      <c r="E30" s="17">
        <v>0</v>
      </c>
      <c r="F30" s="18">
        <v>43.98</v>
      </c>
      <c r="G30" s="18">
        <v>-0.16</v>
      </c>
      <c r="H30" s="32">
        <f t="shared" si="1"/>
        <v>3.6380172805820831E-3</v>
      </c>
      <c r="I30" s="32">
        <f t="shared" si="2"/>
        <v>0.35391269374810513</v>
      </c>
      <c r="J30" s="33">
        <f t="shared" si="5"/>
        <v>15.565080271041662</v>
      </c>
      <c r="K30" s="33">
        <f t="shared" si="3"/>
        <v>7.782540135520831</v>
      </c>
      <c r="L30" s="17">
        <v>16</v>
      </c>
      <c r="M30" s="34">
        <f t="shared" si="6"/>
        <v>0.125</v>
      </c>
      <c r="N30" s="17">
        <v>0</v>
      </c>
      <c r="O30" s="35">
        <f t="shared" ref="O30:P30" si="38">D30/7</f>
        <v>0.2857142857142857</v>
      </c>
      <c r="P30" s="35">
        <f t="shared" si="38"/>
        <v>0</v>
      </c>
      <c r="Q30" s="30">
        <f t="shared" si="8"/>
        <v>0</v>
      </c>
      <c r="R30" s="30"/>
      <c r="S30" s="22">
        <v>0</v>
      </c>
      <c r="T30" s="15" t="s">
        <v>34</v>
      </c>
      <c r="U30" s="23">
        <v>140</v>
      </c>
      <c r="V30" s="1" t="s">
        <v>670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5.062576388888889E-2</v>
      </c>
      <c r="AD30" s="40">
        <f t="shared" si="12"/>
        <v>-0.13972710833333332</v>
      </c>
      <c r="AE30" s="26">
        <v>-4.95</v>
      </c>
      <c r="AF30" s="26">
        <v>-5.8090963103125004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 t="s">
        <v>34</v>
      </c>
      <c r="U31" s="23">
        <v>140</v>
      </c>
      <c r="V31" s="1" t="s">
        <v>671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5.062576388888889E-2</v>
      </c>
      <c r="AD31" s="40">
        <f t="shared" si="12"/>
        <v>0</v>
      </c>
      <c r="AE31" s="26">
        <v>-4.95</v>
      </c>
      <c r="AF31" s="43">
        <v>-5.8090963103125013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1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3.1392405063291142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IFERROR(__xludf.DUMMYFUNCTION("IFERROR(VLOOKUP($B$2,IMPORTRANGE(""https://docs.google.com/spreadsheets/d/1KiWZV1ko8G7lnRucBRBd29jj3Be6ltMfljMDqzOkQmI/edit#gid=1381463014"",""Lookup!A:D""),3,FALSE),"""")"),80)</f>
        <v>80</v>
      </c>
      <c r="V32" s="1" t="str">
        <f ca="1">IFERROR(__xludf.DUMMYFUNCTION("IFERROR(VLOOKUP($B$2,IMPORTRANGE(""https://docs.google.com/spreadsheets/d/1KiWZV1ko8G7lnRucBRBd29jj3Be6ltMfljMDqzOkQmI/edit#gid=1381463014"",""Lookup!A:D""),2,FALSE),"""")"),"| AGL206  - 80 units 07/16| AGL256  - 60 units 09/17")</f>
        <v>| AGL206  - 80 units 07/16| AGL256  - 60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5.062576388888889E-2</v>
      </c>
      <c r="AD32" s="40">
        <f t="shared" si="12"/>
        <v>0</v>
      </c>
      <c r="AE32" s="26">
        <v>-4.95</v>
      </c>
      <c r="AF32" s="26">
        <v>-5.8090963103125004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7.332031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Wood Stands, 8 Pack - 5x6 Inch Small Table Number Holders Set")</f>
        <v>Mini Acrylic Sign Holders with Wood Stands, 8 Pack - 5x6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Info!B1:BJ5000""),2,FALSE),"""")"),"B07WK8JX9S")</f>
        <v>B07WK8JX9S</v>
      </c>
      <c r="B2" s="3" t="s">
        <v>679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19.291122498161762</v>
      </c>
      <c r="D3" s="5">
        <f>SUM(D4:D99519)</f>
        <v>48</v>
      </c>
      <c r="E3" s="5"/>
      <c r="F3" s="6">
        <f t="shared" ref="F3:G3" si="0">SUM(F4:F99519)</f>
        <v>1361.47</v>
      </c>
      <c r="G3" s="6">
        <f t="shared" si="0"/>
        <v>-0.8899999999999999</v>
      </c>
      <c r="H3" s="7">
        <f t="shared" ref="H3:H32" si="1">G3/F3*-1</f>
        <v>6.53705186305978E-4</v>
      </c>
      <c r="I3" s="8">
        <f t="shared" ref="I3:I32" si="2">J3/F3</f>
        <v>0.30230619518282131</v>
      </c>
      <c r="J3" s="6">
        <f>SUM(J4:J99519)</f>
        <v>411.58081555555572</v>
      </c>
      <c r="K3" s="6">
        <f t="shared" ref="K3:K32" si="3">J3/D3</f>
        <v>8.574600324074078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Sheet!a1:g5000""),2,FALSE),"""")"),"2.0 - March
2.0 - April
2.0 - May
2.0 - June
2.0 - July
2.0 - Aug
2.0 - Sept
2.0 - Oct
2.0 - Nov
2.0 - Dec
1 - Jan
2.0 - Feb")</f>
        <v>2.0 - March
2.0 - April
2.0 - May
2.0 - June
2.0 - July
2.0 - Aug
2.0 - Sept
2.0 - Oct
2.0 - Nov
2.0 - Dec
1 - Jan
2.0 -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-5.9370666666666683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Info!B2:BZ3000""),37,FALSE)),"""")*-1"),-10.9774541234375)</f>
        <v>-10.9774541234375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680</v>
      </c>
      <c r="C4" s="16">
        <f t="shared" ref="C4:C32" si="4">IFERROR(F4/D4," - ")</f>
        <v>28.551111111111116</v>
      </c>
      <c r="D4" s="17">
        <v>27</v>
      </c>
      <c r="E4" s="17">
        <v>0</v>
      </c>
      <c r="F4" s="18">
        <v>770.88000000000011</v>
      </c>
      <c r="G4" s="18">
        <v>-0.73</v>
      </c>
      <c r="H4" s="19">
        <f t="shared" si="1"/>
        <v>9.4696969696969678E-4</v>
      </c>
      <c r="I4" s="19">
        <f t="shared" si="2"/>
        <v>0.3057163436591947</v>
      </c>
      <c r="J4" s="18">
        <f t="shared" ref="J4:J32" si="5">F4*0.85+G4+AF4*D4+D4*AE4+AG4+AD4</f>
        <v>235.67061500000005</v>
      </c>
      <c r="K4" s="18">
        <f t="shared" si="3"/>
        <v>8.7285412962962976</v>
      </c>
      <c r="L4" s="17">
        <v>118</v>
      </c>
      <c r="M4" s="20">
        <f t="shared" ref="M4:M32" si="6">IFERROR(D4/L4,"-")</f>
        <v>0.2288135593220339</v>
      </c>
      <c r="N4" s="17">
        <v>30</v>
      </c>
      <c r="O4" s="21">
        <f t="shared" ref="O4:P4" si="7">D4/7</f>
        <v>3.8571428571428572</v>
      </c>
      <c r="P4" s="21">
        <f t="shared" si="7"/>
        <v>0</v>
      </c>
      <c r="Q4" s="17">
        <f t="shared" ref="Q4:Q32" si="8">ROUNDDOWN(N4/(O4+P4),0)</f>
        <v>7</v>
      </c>
      <c r="R4" s="17"/>
      <c r="S4" s="22">
        <v>2.3924050632911298</v>
      </c>
      <c r="T4" s="15">
        <v>0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8.9629629629629642E-2</v>
      </c>
      <c r="AD4" s="26">
        <f t="shared" ref="AD4:AD32" si="12">IFERROR(AB4*AC4*D4*2,0)</f>
        <v>-3.3396000000000003</v>
      </c>
      <c r="AE4" s="26">
        <v>-5.42</v>
      </c>
      <c r="AF4" s="26">
        <v>-9.9691772222222212</v>
      </c>
      <c r="AG4" s="26">
        <v>0</v>
      </c>
    </row>
    <row r="5" spans="1:33" ht="15.75" customHeight="1" x14ac:dyDescent="0.2">
      <c r="A5" s="29" t="s">
        <v>36</v>
      </c>
      <c r="B5" s="29" t="s">
        <v>681</v>
      </c>
      <c r="C5" s="16">
        <f t="shared" si="4"/>
        <v>28.130000000000003</v>
      </c>
      <c r="D5" s="30">
        <v>20</v>
      </c>
      <c r="E5" s="30">
        <v>0</v>
      </c>
      <c r="F5" s="31">
        <v>562.6</v>
      </c>
      <c r="G5" s="31">
        <v>-0.08</v>
      </c>
      <c r="H5" s="32">
        <f t="shared" si="1"/>
        <v>1.4219694276573053E-4</v>
      </c>
      <c r="I5" s="32">
        <f t="shared" si="2"/>
        <v>0.29838726942370747</v>
      </c>
      <c r="J5" s="33">
        <f t="shared" si="5"/>
        <v>167.87267777777782</v>
      </c>
      <c r="K5" s="33">
        <f t="shared" si="3"/>
        <v>8.3936338888888908</v>
      </c>
      <c r="L5" s="30">
        <v>290</v>
      </c>
      <c r="M5" s="34">
        <f t="shared" si="6"/>
        <v>6.8965517241379309E-2</v>
      </c>
      <c r="N5" s="30">
        <v>1</v>
      </c>
      <c r="O5" s="35">
        <f t="shared" ref="O5:P5" si="13">D5/7</f>
        <v>2.8571428571428572</v>
      </c>
      <c r="P5" s="35">
        <f t="shared" si="13"/>
        <v>0</v>
      </c>
      <c r="Q5" s="30">
        <f t="shared" si="8"/>
        <v>0</v>
      </c>
      <c r="R5" s="30"/>
      <c r="S5" s="36" t="e">
        <v>#N/A</v>
      </c>
      <c r="T5" s="29">
        <v>0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" t="s">
        <v>35</v>
      </c>
      <c r="AB5" s="27">
        <f t="shared" si="11"/>
        <v>-0.69</v>
      </c>
      <c r="AC5" s="28">
        <v>8.9629629629629642E-2</v>
      </c>
      <c r="AD5" s="26">
        <f t="shared" si="12"/>
        <v>-2.4737777777777783</v>
      </c>
      <c r="AE5" s="26">
        <v>-5.42</v>
      </c>
      <c r="AF5" s="40">
        <v>-9.9691772222222212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>
        <v>2.0825688073394399</v>
      </c>
      <c r="T6" s="29">
        <v>0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-9.9691772222222212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>
        <v>2.1263157894736802</v>
      </c>
      <c r="T7" s="29">
        <v>0</v>
      </c>
      <c r="U7" s="37" t="s">
        <v>34</v>
      </c>
      <c r="V7" s="38" t="s">
        <v>131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-9.9691772222222212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>
        <v>2.2012578616352201</v>
      </c>
      <c r="T8" s="29">
        <v>0</v>
      </c>
      <c r="U8" s="37" t="s">
        <v>34</v>
      </c>
      <c r="V8" s="38" t="s">
        <v>34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-9.9700000000000006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0</v>
      </c>
      <c r="U9" s="37" t="s">
        <v>34</v>
      </c>
      <c r="V9" s="38" t="s">
        <v>34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-10.074732777777699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-10.074732777777699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-10.074732777777699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-10.074732777777699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0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-10.130288333333301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132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-10.130288333333301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132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-10.130288333333301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132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-10.130288333333301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132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-10.130288333333301</v>
      </c>
      <c r="AG17" s="40">
        <v>0</v>
      </c>
    </row>
    <row r="18" spans="1:33" ht="15.75" customHeight="1" x14ac:dyDescent="0.2">
      <c r="A18" s="29" t="s">
        <v>69</v>
      </c>
      <c r="B18" s="29"/>
      <c r="C18" s="16">
        <f t="shared" si="4"/>
        <v>27.99</v>
      </c>
      <c r="D18" s="30">
        <v>1</v>
      </c>
      <c r="E18" s="30">
        <v>0</v>
      </c>
      <c r="F18" s="33">
        <v>27.99</v>
      </c>
      <c r="G18" s="31">
        <v>-0.08</v>
      </c>
      <c r="H18" s="32">
        <f t="shared" si="1"/>
        <v>2.8581636298678102E-3</v>
      </c>
      <c r="I18" s="32">
        <f t="shared" si="2"/>
        <v>0.28715694097098293</v>
      </c>
      <c r="J18" s="33">
        <f t="shared" si="5"/>
        <v>8.0375227777778111</v>
      </c>
      <c r="K18" s="33">
        <f t="shared" si="3"/>
        <v>8.0375227777778111</v>
      </c>
      <c r="L18" s="30">
        <v>0</v>
      </c>
      <c r="M18" s="34" t="str">
        <f t="shared" si="6"/>
        <v>-</v>
      </c>
      <c r="N18" s="30">
        <v>1</v>
      </c>
      <c r="O18" s="35">
        <f t="shared" ref="O18:P18" si="26">D18/7</f>
        <v>0.14285714285714285</v>
      </c>
      <c r="P18" s="35">
        <f t="shared" si="26"/>
        <v>0</v>
      </c>
      <c r="Q18" s="30">
        <f t="shared" si="8"/>
        <v>7</v>
      </c>
      <c r="R18" s="30"/>
      <c r="S18" s="36">
        <v>2.6666666666666599</v>
      </c>
      <c r="T18" s="29">
        <v>132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" t="s">
        <v>35</v>
      </c>
      <c r="AB18" s="41">
        <f t="shared" si="11"/>
        <v>-0.69</v>
      </c>
      <c r="AC18" s="28">
        <v>8.9629629629629642E-2</v>
      </c>
      <c r="AD18" s="40">
        <f t="shared" si="12"/>
        <v>-0.1236888888888889</v>
      </c>
      <c r="AE18" s="26">
        <v>-5.42</v>
      </c>
      <c r="AF18" s="40">
        <v>-10.130288333333301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132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" t="s">
        <v>35</v>
      </c>
      <c r="AB19" s="41">
        <f t="shared" si="11"/>
        <v>-0.69</v>
      </c>
      <c r="AC19" s="28">
        <v>8.9629629629629642E-2</v>
      </c>
      <c r="AD19" s="40">
        <f t="shared" si="12"/>
        <v>0</v>
      </c>
      <c r="AE19" s="26">
        <v>-5.42</v>
      </c>
      <c r="AF19" s="40">
        <v>-10.130288333333333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0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312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" t="s">
        <v>35</v>
      </c>
      <c r="AB20" s="41">
        <f t="shared" si="11"/>
        <v>-0.69</v>
      </c>
      <c r="AC20" s="28">
        <v>8.9629629629629642E-2</v>
      </c>
      <c r="AD20" s="40">
        <f t="shared" si="12"/>
        <v>0</v>
      </c>
      <c r="AE20" s="26">
        <v>-5.42</v>
      </c>
      <c r="AF20" s="40">
        <v>-10.130288333333333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312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" t="s">
        <v>35</v>
      </c>
      <c r="AB21" s="41">
        <f t="shared" si="11"/>
        <v>-0.69</v>
      </c>
      <c r="AC21" s="28">
        <v>8.9629629629629642E-2</v>
      </c>
      <c r="AD21" s="40">
        <f t="shared" si="12"/>
        <v>0</v>
      </c>
      <c r="AE21" s="26">
        <v>-5.42</v>
      </c>
      <c r="AF21" s="40">
        <v>-10.130288333333333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312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" t="s">
        <v>35</v>
      </c>
      <c r="AB22" s="41">
        <f t="shared" si="11"/>
        <v>-0.69</v>
      </c>
      <c r="AC22" s="28">
        <v>8.9629629629629642E-2</v>
      </c>
      <c r="AD22" s="40">
        <f t="shared" si="12"/>
        <v>0</v>
      </c>
      <c r="AE22" s="26">
        <v>-5.42</v>
      </c>
      <c r="AF22" s="40">
        <v>-10.130288333333333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312</v>
      </c>
      <c r="U23" s="37" t="s">
        <v>34</v>
      </c>
      <c r="V23" s="38" t="s">
        <v>682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" t="s">
        <v>35</v>
      </c>
      <c r="AB23" s="41">
        <f t="shared" si="11"/>
        <v>-0.69</v>
      </c>
      <c r="AC23" s="28">
        <v>8.9629629629629642E-2</v>
      </c>
      <c r="AD23" s="40">
        <f t="shared" si="12"/>
        <v>0</v>
      </c>
      <c r="AE23" s="26">
        <v>-5.42</v>
      </c>
      <c r="AF23" s="40">
        <v>-10.130288333333333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Summary!A1:AD5000""),9,FALSE),"""")"),312)</f>
        <v>312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Summary!A1:AD5000""),28,FALSE),"""")"),132)</f>
        <v>132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132 - 08/09/21")</f>
        <v xml:space="preserve"> | AGL216: 132 - 08/09/21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" t="s">
        <v>35</v>
      </c>
      <c r="AB24" s="41">
        <f t="shared" si="11"/>
        <v>-0.69</v>
      </c>
      <c r="AC24" s="28">
        <v>8.9629629629629642E-2</v>
      </c>
      <c r="AD24" s="40">
        <f t="shared" si="12"/>
        <v>0</v>
      </c>
      <c r="AE24" s="26">
        <v>-5.42</v>
      </c>
      <c r="AF24" s="40">
        <v>-10.130288333333333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312</v>
      </c>
      <c r="U25" s="37" t="s">
        <v>34</v>
      </c>
      <c r="V25" s="38" t="s">
        <v>683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" t="s">
        <v>35</v>
      </c>
      <c r="AB25" s="41">
        <f t="shared" si="11"/>
        <v>-0.69</v>
      </c>
      <c r="AC25" s="42">
        <v>8.9629629629629642E-2</v>
      </c>
      <c r="AD25" s="40">
        <f t="shared" si="12"/>
        <v>0</v>
      </c>
      <c r="AE25" s="26">
        <v>-5.42</v>
      </c>
      <c r="AF25" s="26">
        <v>-10.130000000000001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312</v>
      </c>
      <c r="U26" s="37">
        <v>132</v>
      </c>
      <c r="V26" s="38" t="s">
        <v>684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8.9629629629629642E-2</v>
      </c>
      <c r="AD26" s="40">
        <f t="shared" si="12"/>
        <v>0</v>
      </c>
      <c r="AE26" s="26">
        <v>-5.42</v>
      </c>
      <c r="AF26" s="26">
        <v>-10.130288333333301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312</v>
      </c>
      <c r="U27" s="37">
        <v>132</v>
      </c>
      <c r="V27" s="38" t="s">
        <v>684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8.9629629629629642E-2</v>
      </c>
      <c r="AD27" s="40">
        <f t="shared" si="12"/>
        <v>0</v>
      </c>
      <c r="AE27" s="26">
        <v>-5.42</v>
      </c>
      <c r="AF27" s="26">
        <v>-10.130288333333301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>
        <v>180</v>
      </c>
      <c r="U28" s="23">
        <v>132</v>
      </c>
      <c r="V28" s="1" t="s">
        <v>685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8.9629629629629642E-2</v>
      </c>
      <c r="AD28" s="40">
        <f t="shared" si="12"/>
        <v>0</v>
      </c>
      <c r="AE28" s="26">
        <v>-5.42</v>
      </c>
      <c r="AF28" s="26">
        <v>-12.506489250833299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132</v>
      </c>
      <c r="V29" s="1" t="s">
        <v>685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8.9629629629629642E-2</v>
      </c>
      <c r="AD29" s="40">
        <f t="shared" si="12"/>
        <v>0</v>
      </c>
      <c r="AE29" s="26">
        <v>-5.42</v>
      </c>
      <c r="AF29" s="26">
        <v>-11.7062358758333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132</v>
      </c>
      <c r="V30" s="1" t="s">
        <v>685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8.9629629629629642E-2</v>
      </c>
      <c r="AD30" s="40">
        <f t="shared" si="12"/>
        <v>0</v>
      </c>
      <c r="AE30" s="26">
        <v>-5.42</v>
      </c>
      <c r="AF30" s="26">
        <v>-10.9774541234375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180</v>
      </c>
      <c r="U31" s="23">
        <v>132</v>
      </c>
      <c r="V31" s="1" t="s">
        <v>685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8.9629629629629642E-2</v>
      </c>
      <c r="AD31" s="40">
        <f t="shared" si="12"/>
        <v>0</v>
      </c>
      <c r="AE31" s="26">
        <v>-5.42</v>
      </c>
      <c r="AF31" s="43">
        <v>-10.9774541234375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IFERROR(__xludf.DUMMYFUNCTION("IFERROR(VLOOKUP($B$2,IMPORTRANGE(""https://docs.google.com/spreadsheets/d/1KiWZV1ko8G7lnRucBRBd29jj3Be6ltMfljMDqzOkQmI/edit#gid=1381463014"",""Lookup!A:D""),4,FALSE),"""")"),180)</f>
        <v>180</v>
      </c>
      <c r="U32" s="23">
        <f ca="1">IFERROR(__xludf.DUMMYFUNCTION("IFERROR(VLOOKUP($B$2,IMPORTRANGE(""https://docs.google.com/spreadsheets/d/1KiWZV1ko8G7lnRucBRBd29jj3Be6ltMfljMDqzOkQmI/edit#gid=1381463014"",""Lookup!A:D""),3,FALSE),"""")"),132)</f>
        <v>132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- 132 units 08/09")</f>
        <v>| AGL216  - 132 units 08/09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8.9629629629629642E-2</v>
      </c>
      <c r="AD32" s="40">
        <f t="shared" si="12"/>
        <v>0</v>
      </c>
      <c r="AE32" s="26">
        <v>-5.42</v>
      </c>
      <c r="AF32" s="26">
        <v>-10.9774541234375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Chalkboard Signs for Tables, 8 Pack - Rustic 5x6 Inch Small Slate Tabletop Chalk Boards with Natural Wood Stands Set")</f>
        <v>Mini Chalkboard Signs for Tables, 8 Pack - Rustic 5x6 Inch Small Slate Tabletop Chalk Boards with Natural Wood Stands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Info!B1:BJ5000""),2,FALSE),"""")"),"B07XKC9PG2")</f>
        <v>B07XKC9PG2</v>
      </c>
      <c r="B2" s="3" t="s">
        <v>686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12.914651909926471</v>
      </c>
      <c r="D3" s="5">
        <f>SUM(D4:D99519)</f>
        <v>0</v>
      </c>
      <c r="E3" s="5"/>
      <c r="F3" s="6">
        <f t="shared" ref="F3:G3" si="0">SUM(F4:F99519)</f>
        <v>0</v>
      </c>
      <c r="G3" s="6">
        <f t="shared" si="0"/>
        <v>0</v>
      </c>
      <c r="H3" s="7" t="e">
        <f t="shared" ref="H3:H32" si="1">G3/F3*-1</f>
        <v>#DIV/0!</v>
      </c>
      <c r="I3" s="8" t="e">
        <f t="shared" ref="I3:I32" si="2">J3/F3</f>
        <v>#DIV/0!</v>
      </c>
      <c r="J3" s="6">
        <f>SUM(J4:J99519)</f>
        <v>0</v>
      </c>
      <c r="K3" s="6" t="e">
        <f t="shared" ref="K3:K32" si="3">J3/D3</f>
        <v>#DIV/0!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Sheet!a1:g5000""),2,FALSE),"""")"),"1.0 - March
1.0 - April
1.0 - May
1.0 - June
1.0 - July
1.0 - Aug
1.0 - Sept
1.0 - Oct
1.0 - Nov
1.0 - Dec
1.0 - Jan
1.0 - Feb")</f>
        <v>1.0 - March
1.0 - April
1.0 - May
1.0 - June
1.0 - July
1.0 - Aug
1.0 - Sept
1.0 - Oct
1.0 - Nov
1.0 - Dec
1.0 - Jan
1.0 -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 t="e">
        <f>W3/D3</f>
        <v>#DIV/0!</v>
      </c>
      <c r="Y3" s="6"/>
      <c r="Z3" s="5"/>
      <c r="AA3" s="5"/>
      <c r="AB3" s="5"/>
      <c r="AC3" s="5"/>
      <c r="AD3" s="6">
        <f>SUM(AD4:AD99519)</f>
        <v>0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Info!B2:BZ3000""),37,FALSE)),"""")*-1"),-10.9774541234375)</f>
        <v>-10.9774541234375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0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-9.9691772222222212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0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-9.9691772222222212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0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-9.9691772222222212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0</v>
      </c>
      <c r="U7" s="37" t="s">
        <v>34</v>
      </c>
      <c r="V7" s="38" t="s">
        <v>131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-9.9691772222222212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0</v>
      </c>
      <c r="U8" s="37" t="s">
        <v>34</v>
      </c>
      <c r="V8" s="38" t="s">
        <v>34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-9.9700000000000006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0</v>
      </c>
      <c r="U9" s="37" t="s">
        <v>34</v>
      </c>
      <c r="V9" s="38" t="s">
        <v>34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-10.074732777777699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-10.074732777777699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-10.074732777777699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-10.074732777777699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0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-10.130288333333301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60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-10.130288333333301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60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-10.130288333333301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60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-10.130288333333301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60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-10.130288333333301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60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-10.130288333333301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60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e">
        <v>#N/A</v>
      </c>
      <c r="AB19" s="41" t="e">
        <f t="shared" si="11"/>
        <v>#N/A</v>
      </c>
      <c r="AC19" s="42" t="e">
        <v>#N/A</v>
      </c>
      <c r="AD19" s="40">
        <f t="shared" si="12"/>
        <v>0</v>
      </c>
      <c r="AE19" s="40">
        <v>0</v>
      </c>
      <c r="AF19" s="40">
        <v>-10.130288333333333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0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60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e">
        <v>#N/A</v>
      </c>
      <c r="AB20" s="41" t="e">
        <f t="shared" si="11"/>
        <v>#N/A</v>
      </c>
      <c r="AC20" s="42" t="e">
        <v>#N/A</v>
      </c>
      <c r="AD20" s="40">
        <f t="shared" si="12"/>
        <v>0</v>
      </c>
      <c r="AE20" s="40">
        <v>0</v>
      </c>
      <c r="AF20" s="40">
        <v>-10.130288333333333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60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e">
        <v>#N/A</v>
      </c>
      <c r="AB21" s="41" t="e">
        <f t="shared" si="11"/>
        <v>#N/A</v>
      </c>
      <c r="AC21" s="42" t="e">
        <v>#N/A</v>
      </c>
      <c r="AD21" s="40">
        <f t="shared" si="12"/>
        <v>0</v>
      </c>
      <c r="AE21" s="40">
        <v>0</v>
      </c>
      <c r="AF21" s="40">
        <v>-10.130288333333333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60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e">
        <v>#N/A</v>
      </c>
      <c r="AB22" s="41" t="e">
        <f t="shared" si="11"/>
        <v>#N/A</v>
      </c>
      <c r="AC22" s="42" t="e">
        <v>#N/A</v>
      </c>
      <c r="AD22" s="40">
        <f t="shared" si="12"/>
        <v>0</v>
      </c>
      <c r="AE22" s="40">
        <v>0</v>
      </c>
      <c r="AF22" s="40">
        <v>-10.130288333333333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60</v>
      </c>
      <c r="U23" s="37" t="s">
        <v>34</v>
      </c>
      <c r="V23" s="38" t="s">
        <v>687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e">
        <v>#N/A</v>
      </c>
      <c r="AB23" s="41" t="e">
        <f t="shared" si="11"/>
        <v>#N/A</v>
      </c>
      <c r="AC23" s="42" t="e">
        <v>#N/A</v>
      </c>
      <c r="AD23" s="40">
        <f t="shared" si="12"/>
        <v>0</v>
      </c>
      <c r="AE23" s="40">
        <v>0</v>
      </c>
      <c r="AF23" s="40">
        <v>-10.130288333333333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Summary!A1:AD5000""),9,FALSE),"""")"),60)</f>
        <v>60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Summary!A1:AD5000""),28,FALSE),"""")"),60)</f>
        <v>60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60 - 08/09/21")</f>
        <v xml:space="preserve"> | AGL216: 60 - 08/09/21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e">
        <v>#N/A</v>
      </c>
      <c r="AB24" s="41" t="e">
        <f t="shared" si="11"/>
        <v>#N/A</v>
      </c>
      <c r="AC24" s="42" t="e">
        <v>#N/A</v>
      </c>
      <c r="AD24" s="40">
        <f t="shared" si="12"/>
        <v>0</v>
      </c>
      <c r="AE24" s="40">
        <v>0</v>
      </c>
      <c r="AF24" s="40">
        <v>-10.130288333333333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60</v>
      </c>
      <c r="U25" s="37" t="s">
        <v>34</v>
      </c>
      <c r="V25" s="38" t="s">
        <v>688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e">
        <v>#N/A</v>
      </c>
      <c r="AB25" s="41" t="e">
        <f t="shared" si="11"/>
        <v>#N/A</v>
      </c>
      <c r="AC25" s="42" t="e">
        <v>#N/A</v>
      </c>
      <c r="AD25" s="40">
        <f t="shared" si="12"/>
        <v>0</v>
      </c>
      <c r="AE25" s="26">
        <v>0</v>
      </c>
      <c r="AF25" s="26">
        <v>-10.130000000000001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60</v>
      </c>
      <c r="U26" s="37">
        <v>60</v>
      </c>
      <c r="V26" s="38" t="s">
        <v>689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e">
        <v>#N/A</v>
      </c>
      <c r="AB26" s="41" t="e">
        <f t="shared" si="11"/>
        <v>#N/A</v>
      </c>
      <c r="AC26" s="42" t="e">
        <v>#N/A</v>
      </c>
      <c r="AD26" s="40">
        <f t="shared" si="12"/>
        <v>0</v>
      </c>
      <c r="AE26" s="26">
        <v>0</v>
      </c>
      <c r="AF26" s="26">
        <v>-10.130288333333301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60</v>
      </c>
      <c r="U27" s="37">
        <v>60</v>
      </c>
      <c r="V27" s="38" t="s">
        <v>689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e">
        <v>#N/A</v>
      </c>
      <c r="AB27" s="41" t="e">
        <f t="shared" si="11"/>
        <v>#N/A</v>
      </c>
      <c r="AC27" s="42" t="e">
        <v>#N/A</v>
      </c>
      <c r="AD27" s="40">
        <f t="shared" si="12"/>
        <v>0</v>
      </c>
      <c r="AE27" s="26">
        <v>0</v>
      </c>
      <c r="AF27" s="26">
        <v>-10.130288333333301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>
        <v>60</v>
      </c>
      <c r="V28" s="1" t="s">
        <v>690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e">
        <v>#N/A</v>
      </c>
      <c r="AB28" s="41" t="e">
        <f t="shared" si="11"/>
        <v>#N/A</v>
      </c>
      <c r="AC28" s="42" t="e">
        <v>#N/A</v>
      </c>
      <c r="AD28" s="40">
        <f t="shared" si="12"/>
        <v>0</v>
      </c>
      <c r="AE28" s="26">
        <v>0</v>
      </c>
      <c r="AF28" s="26">
        <v>-12.506489250833299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60</v>
      </c>
      <c r="V29" s="1" t="s">
        <v>690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e">
        <v>#N/A</v>
      </c>
      <c r="AB29" s="41" t="e">
        <f t="shared" si="11"/>
        <v>#N/A</v>
      </c>
      <c r="AC29" s="42" t="e">
        <v>#N/A</v>
      </c>
      <c r="AD29" s="40">
        <f t="shared" si="12"/>
        <v>0</v>
      </c>
      <c r="AE29" s="26">
        <v>0</v>
      </c>
      <c r="AF29" s="26">
        <v>-11.7062358758333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60</v>
      </c>
      <c r="V30" s="1" t="s">
        <v>690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e">
        <v>#N/A</v>
      </c>
      <c r="AB30" s="41" t="e">
        <f t="shared" si="11"/>
        <v>#N/A</v>
      </c>
      <c r="AC30" s="42" t="e">
        <v>#N/A</v>
      </c>
      <c r="AD30" s="40">
        <f t="shared" si="12"/>
        <v>0</v>
      </c>
      <c r="AE30" s="26">
        <v>0</v>
      </c>
      <c r="AF30" s="26">
        <v>-10.9774541234375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 t="s">
        <v>34</v>
      </c>
      <c r="U31" s="23">
        <v>60</v>
      </c>
      <c r="V31" s="1" t="s">
        <v>690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e">
        <v>#N/A</v>
      </c>
      <c r="AB31" s="41" t="e">
        <f t="shared" si="11"/>
        <v>#N/A</v>
      </c>
      <c r="AC31" s="28" t="e">
        <v>#N/A</v>
      </c>
      <c r="AD31" s="40">
        <f t="shared" si="12"/>
        <v>0</v>
      </c>
      <c r="AE31" s="26">
        <v>0</v>
      </c>
      <c r="AF31" s="43">
        <v>-10.9774541234375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IFERROR(__xludf.DUMMYFUNCTION("IFERROR(VLOOKUP($B$2,IMPORTRANGE(""https://docs.google.com/spreadsheets/d/1KiWZV1ko8G7lnRucBRBd29jj3Be6ltMfljMDqzOkQmI/edit#gid=1381463014"",""Lookup!A:D""),3,FALSE),"""")"),60)</f>
        <v>60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- 60 units 08/09")</f>
        <v>| AGL216  - 60 units 08/09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e">
        <v>#N/A</v>
      </c>
      <c r="AB32" s="41" t="e">
        <f t="shared" si="11"/>
        <v>#N/A</v>
      </c>
      <c r="AC32" s="28" t="e">
        <v>#N/A</v>
      </c>
      <c r="AD32" s="40">
        <f t="shared" si="12"/>
        <v>0</v>
      </c>
      <c r="AE32" s="26">
        <v>0</v>
      </c>
      <c r="AF32" s="26">
        <v>-10.9774541234375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11.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White Wood Stands, 8 Pack - 5x6 Inch Small Table Number Holders Set")</f>
        <v>Mini Acrylic Sign Holders with White Wood Stands, 8 Pack - 5x6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Info!B1:BJ5000""),2,FALSE),"""")"),"B07WG399B9")</f>
        <v>B07WG399B9</v>
      </c>
      <c r="B2" s="3" t="s">
        <v>691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65.25" customHeight="1" x14ac:dyDescent="0.2">
      <c r="A3" s="57" t="s">
        <v>31</v>
      </c>
      <c r="B3" s="58"/>
      <c r="C3" s="4">
        <f>((AE32+AF32)/0.85)*-1</f>
        <v>19.291122498161762</v>
      </c>
      <c r="D3" s="5">
        <f>SUM(D4:D99519)</f>
        <v>1</v>
      </c>
      <c r="E3" s="5"/>
      <c r="F3" s="6">
        <f t="shared" ref="F3:G3" si="0">SUM(F4:F99519)</f>
        <v>20.78</v>
      </c>
      <c r="G3" s="6">
        <f t="shared" si="0"/>
        <v>-0.32</v>
      </c>
      <c r="H3" s="7">
        <f t="shared" ref="H3:H32" si="1">G3/F3*-1</f>
        <v>1.5399422521655437E-2</v>
      </c>
      <c r="I3" s="8">
        <f t="shared" ref="I3:I32" si="2">J3/F3</f>
        <v>8.053681207558018E-2</v>
      </c>
      <c r="J3" s="6">
        <f>SUM(J4:J99519)</f>
        <v>1.6735549549305562</v>
      </c>
      <c r="K3" s="6">
        <f t="shared" ref="K3:K32" si="3">J3/D3</f>
        <v>1.6735549549305562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Sheet!a1:g5000""),2,FALSE),"""")"),"1.5 - March
1.5 - April
1.5 - May
1.5 - June
1.5 - July
1.5 - Aug
1.5 - Sept
1.5 - Oct
1.5 - Nov
1.5 - Dec
1.5 - Jan
1.5 - Feb")</f>
        <v>1.5 - March
1.5 - April
1.5 - May
1.5 - June
1.5 - July
1.5 - Aug
1.5 - Sept
1.5 - Oct
1.5 - Nov
1.5 - Dec
1.5 - Jan
1.5 -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-0.11915671173611109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Info!B2:BZ3000""),37,FALSE)),"""")*-1"),-10.9774541234375)</f>
        <v>-10.9774541234375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0</v>
      </c>
      <c r="U4" s="23" t="s">
        <v>34</v>
      </c>
      <c r="V4" s="24" t="s">
        <v>34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-9.9691772222222212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0</v>
      </c>
      <c r="U5" s="37" t="s">
        <v>34</v>
      </c>
      <c r="V5" s="38" t="s">
        <v>34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-9.9691772222222212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0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-9.9691772222222212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0</v>
      </c>
      <c r="U7" s="37" t="s">
        <v>34</v>
      </c>
      <c r="V7" s="38" t="s">
        <v>131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-9.9691772222222212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0</v>
      </c>
      <c r="U8" s="37" t="s">
        <v>34</v>
      </c>
      <c r="V8" s="38" t="s">
        <v>34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-9.9700000000000006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0</v>
      </c>
      <c r="U9" s="37" t="s">
        <v>34</v>
      </c>
      <c r="V9" s="38" t="s">
        <v>34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-10.074732777777699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-10.074732777777699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-10.074732777777699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-10.074732777777699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0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-10.130288333333301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192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-10.130288333333301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192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-10.130288333333301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192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-10.130288333333301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192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-10.130288333333301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192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35</v>
      </c>
      <c r="AB18" s="41">
        <f t="shared" si="11"/>
        <v>-0.69</v>
      </c>
      <c r="AC18" s="42">
        <v>8.6345443287037027E-2</v>
      </c>
      <c r="AD18" s="40">
        <f t="shared" si="12"/>
        <v>0</v>
      </c>
      <c r="AE18" s="40">
        <v>-5.42</v>
      </c>
      <c r="AF18" s="40">
        <v>-10.130288333333301</v>
      </c>
      <c r="AG18" s="40">
        <v>0</v>
      </c>
    </row>
    <row r="19" spans="1:33" ht="15.75" customHeight="1" x14ac:dyDescent="0.2">
      <c r="A19" s="29" t="s">
        <v>71</v>
      </c>
      <c r="B19" s="29"/>
      <c r="C19" s="16">
        <f t="shared" si="4"/>
        <v>20.78</v>
      </c>
      <c r="D19" s="30">
        <v>1</v>
      </c>
      <c r="E19" s="30">
        <v>0</v>
      </c>
      <c r="F19" s="33">
        <v>20.78</v>
      </c>
      <c r="G19" s="31">
        <v>-0.32</v>
      </c>
      <c r="H19" s="32">
        <f t="shared" si="1"/>
        <v>1.5399422521655437E-2</v>
      </c>
      <c r="I19" s="32">
        <f t="shared" si="2"/>
        <v>8.053681207558018E-2</v>
      </c>
      <c r="J19" s="33">
        <f t="shared" si="5"/>
        <v>1.6735549549305562</v>
      </c>
      <c r="K19" s="33">
        <f t="shared" si="3"/>
        <v>1.6735549549305562</v>
      </c>
      <c r="L19" s="30">
        <v>16</v>
      </c>
      <c r="M19" s="34">
        <f t="shared" si="6"/>
        <v>6.25E-2</v>
      </c>
      <c r="N19" s="30">
        <v>1</v>
      </c>
      <c r="O19" s="35">
        <f t="shared" ref="O19:P19" si="27">D19/7</f>
        <v>0.14285714285714285</v>
      </c>
      <c r="P19" s="35">
        <f t="shared" si="27"/>
        <v>0</v>
      </c>
      <c r="Q19" s="30">
        <f t="shared" si="8"/>
        <v>7</v>
      </c>
      <c r="R19" s="30"/>
      <c r="S19" s="36">
        <v>0</v>
      </c>
      <c r="T19" s="29">
        <v>192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8.6345443287037027E-2</v>
      </c>
      <c r="AD19" s="40">
        <f t="shared" si="12"/>
        <v>-0.11915671173611109</v>
      </c>
      <c r="AE19" s="40">
        <v>-5.42</v>
      </c>
      <c r="AF19" s="40">
        <v>-10.130288333333333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0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288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8.6345443287037027E-2</v>
      </c>
      <c r="AD20" s="40">
        <f t="shared" si="12"/>
        <v>0</v>
      </c>
      <c r="AE20" s="40">
        <v>-5.42</v>
      </c>
      <c r="AF20" s="40">
        <v>-10.130288333333333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288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8.6345443287037027E-2</v>
      </c>
      <c r="AD21" s="40">
        <f t="shared" si="12"/>
        <v>0</v>
      </c>
      <c r="AE21" s="40">
        <v>-5.42</v>
      </c>
      <c r="AF21" s="40">
        <v>-10.130288333333333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288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8.6345443287037027E-2</v>
      </c>
      <c r="AD22" s="40">
        <f t="shared" si="12"/>
        <v>0</v>
      </c>
      <c r="AE22" s="40">
        <v>-5.42</v>
      </c>
      <c r="AF22" s="40">
        <v>-10.130288333333333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204</v>
      </c>
      <c r="U23" s="37" t="s">
        <v>34</v>
      </c>
      <c r="V23" s="38" t="s">
        <v>692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8.6345443287037027E-2</v>
      </c>
      <c r="AD23" s="40">
        <f t="shared" si="12"/>
        <v>0</v>
      </c>
      <c r="AE23" s="40">
        <v>-5.42</v>
      </c>
      <c r="AF23" s="40">
        <v>-10.130288333333333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Summary!A1:AD5000""),9,FALSE),"""")"),204)</f>
        <v>204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Summary!A1:AD5000""),28,FALSE),"""")"),108)</f>
        <v>108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108 - 08/09/21")</f>
        <v xml:space="preserve"> | AGL216: 108 - 08/09/21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8.6345443287037027E-2</v>
      </c>
      <c r="AD24" s="40">
        <f t="shared" si="12"/>
        <v>0</v>
      </c>
      <c r="AE24" s="40">
        <v>-5.42</v>
      </c>
      <c r="AF24" s="40">
        <v>-10.130288333333333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204</v>
      </c>
      <c r="U25" s="37" t="s">
        <v>34</v>
      </c>
      <c r="V25" s="38" t="s">
        <v>693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8.6345443287037027E-2</v>
      </c>
      <c r="AD25" s="40">
        <f t="shared" si="12"/>
        <v>0</v>
      </c>
      <c r="AE25" s="26">
        <v>-5.42</v>
      </c>
      <c r="AF25" s="26">
        <v>-10.130000000000001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204</v>
      </c>
      <c r="U26" s="37">
        <v>108</v>
      </c>
      <c r="V26" s="38" t="s">
        <v>694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8.6345443287037027E-2</v>
      </c>
      <c r="AD26" s="40">
        <f t="shared" si="12"/>
        <v>0</v>
      </c>
      <c r="AE26" s="26">
        <v>-5.42</v>
      </c>
      <c r="AF26" s="26">
        <v>-10.130288333333301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204</v>
      </c>
      <c r="U27" s="37">
        <v>108</v>
      </c>
      <c r="V27" s="38" t="s">
        <v>694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8.6345443287037027E-2</v>
      </c>
      <c r="AD27" s="40">
        <f t="shared" si="12"/>
        <v>0</v>
      </c>
      <c r="AE27" s="26">
        <v>-5.42</v>
      </c>
      <c r="AF27" s="26">
        <v>-10.130288333333301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>
        <v>96</v>
      </c>
      <c r="U28" s="23">
        <v>156</v>
      </c>
      <c r="V28" s="1" t="s">
        <v>695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8.6345443287037027E-2</v>
      </c>
      <c r="AD28" s="40">
        <f t="shared" si="12"/>
        <v>0</v>
      </c>
      <c r="AE28" s="26">
        <v>-5.42</v>
      </c>
      <c r="AF28" s="26">
        <v>-12.506489250833299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156</v>
      </c>
      <c r="V29" s="1" t="s">
        <v>696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8.6345443287037027E-2</v>
      </c>
      <c r="AD29" s="40">
        <f t="shared" si="12"/>
        <v>0</v>
      </c>
      <c r="AE29" s="26">
        <v>-5.42</v>
      </c>
      <c r="AF29" s="26">
        <v>-11.7062358758333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156</v>
      </c>
      <c r="V30" s="1" t="s">
        <v>697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8.6345443287037027E-2</v>
      </c>
      <c r="AD30" s="40">
        <f t="shared" si="12"/>
        <v>0</v>
      </c>
      <c r="AE30" s="26">
        <v>-5.42</v>
      </c>
      <c r="AF30" s="26">
        <v>-10.9774541234375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132</v>
      </c>
      <c r="U31" s="23">
        <v>156</v>
      </c>
      <c r="V31" s="1" t="s">
        <v>698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8.6345443287037027E-2</v>
      </c>
      <c r="AD31" s="40">
        <f t="shared" si="12"/>
        <v>0</v>
      </c>
      <c r="AE31" s="26">
        <v>-5.42</v>
      </c>
      <c r="AF31" s="43">
        <v>-10.9774541234375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>
        <f ca="1">IFERROR(__xludf.DUMMYFUNCTION("IFERROR(VLOOKUP($B$2,IMPORTRANGE(""https://docs.google.com/spreadsheets/d/1KiWZV1ko8G7lnRucBRBd29jj3Be6ltMfljMDqzOkQmI/edit#gid=1381463014"",""Lookup!A:D""),4,FALSE),"""")"),132)</f>
        <v>132</v>
      </c>
      <c r="U32" s="23">
        <f ca="1">IFERROR(__xludf.DUMMYFUNCTION("IFERROR(VLOOKUP($B$2,IMPORTRANGE(""https://docs.google.com/spreadsheets/d/1KiWZV1ko8G7lnRucBRBd29jj3Be6ltMfljMDqzOkQmI/edit#gid=1381463014"",""Lookup!A:D""),3,FALSE),"""")"),108)</f>
        <v>108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- 108 units 08/09| AGL256  - 48 units 09/17")</f>
        <v>| AGL216  - 108 units 08/09| AGL256  - 48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8.6345443287037027E-2</v>
      </c>
      <c r="AD32" s="40">
        <f t="shared" si="12"/>
        <v>0</v>
      </c>
      <c r="AE32" s="26">
        <v>-5.42</v>
      </c>
      <c r="AF32" s="26">
        <v>-10.9774541234375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22.33203125" customWidth="1"/>
    <col min="22" max="22" width="104.1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Wood Stands, 4 Pack - 8x10 Inch Small Table Number Holders Set")</f>
        <v>Mini Acrylic Sign Holders with Wood Stands, 4 Pack - 8x10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Info!B1:BJ5000""),2,FALSE),"""")"),"B07XK8DWXB")</f>
        <v>B07XK8DWXB</v>
      </c>
      <c r="B2" s="3" t="s">
        <v>699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92" x14ac:dyDescent="0.2">
      <c r="A3" s="57" t="s">
        <v>31</v>
      </c>
      <c r="B3" s="58"/>
      <c r="C3" s="4">
        <f>((AE32+AF32)/0.85)*-1</f>
        <v>15.390671361948517</v>
      </c>
      <c r="D3" s="5">
        <f>SUM(D4:D99519)</f>
        <v>468</v>
      </c>
      <c r="E3" s="5"/>
      <c r="F3" s="6">
        <f t="shared" ref="F3:G3" si="0">SUM(F4:F99519)</f>
        <v>11815.62</v>
      </c>
      <c r="G3" s="6">
        <f t="shared" si="0"/>
        <v>-4.2</v>
      </c>
      <c r="H3" s="7">
        <f t="shared" ref="H3:H32" si="1">G3/F3*-1</f>
        <v>3.5546166853707211E-4</v>
      </c>
      <c r="I3" s="8">
        <f t="shared" ref="I3:I32" si="2">J3/F3</f>
        <v>0.35096973710072088</v>
      </c>
      <c r="J3" s="6">
        <f>SUM(J4:J99519)</f>
        <v>4146.92504508202</v>
      </c>
      <c r="K3" s="6">
        <f t="shared" ref="K3:K32" si="3">J3/D3</f>
        <v>8.8609509510299578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Sheet!a1:g5000""),2,FALSE),"""")"),"5.0 - March
5.0 - April
5.0 - May
5.0 - June
5.0 - July
5.0 - Aug
5.0 - Sept
5.0 - Oct
5.0 - Nov
5.0 - Dec
5.0 - Jan
5.0 - Feb")</f>
        <v>5.0 - March
5.0 - April
5.0 - May
5.0 - June
5.0 - July
5.0 - Aug
5.0 - Sept
5.0 - Oct
5.0 - Nov
5.0 - Dec
5.0 - Jan
5.0 -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QTY-0")</f>
        <v>US QTY-0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Transit-0")</f>
        <v>In Transit-0</v>
      </c>
      <c r="W3" s="5">
        <f>SUM(W4:W99519)</f>
        <v>3</v>
      </c>
      <c r="X3" s="7">
        <f>W3/D3</f>
        <v>6.41025641025641E-3</v>
      </c>
      <c r="Y3" s="6"/>
      <c r="Z3" s="5"/>
      <c r="AA3" s="5"/>
      <c r="AB3" s="5"/>
      <c r="AC3" s="5"/>
      <c r="AD3" s="6">
        <f>SUM(AD4:AD99519)</f>
        <v>-56.837040051526323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Info!B2:BZ3000""),37,FALSE)),"""")*-1"),-7.40207065765624)</f>
        <v>-7.4020706576562398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700</v>
      </c>
      <c r="C4" s="16">
        <f t="shared" ref="C4:C32" si="4">IFERROR(F4/D4," - ")</f>
        <v>21.011538461538461</v>
      </c>
      <c r="D4" s="17">
        <v>13</v>
      </c>
      <c r="E4" s="17">
        <v>0</v>
      </c>
      <c r="F4" s="18">
        <v>273.14999999999998</v>
      </c>
      <c r="G4" s="18">
        <v>-0.32</v>
      </c>
      <c r="H4" s="19">
        <f t="shared" si="1"/>
        <v>1.1715174812374155E-3</v>
      </c>
      <c r="I4" s="19">
        <f t="shared" si="2"/>
        <v>0.26603387434737735</v>
      </c>
      <c r="J4" s="18">
        <f t="shared" ref="J4:J32" si="5">F4*0.85+G4+AF4*D4+D4*AE4+AG4+AD4</f>
        <v>72.667152777986118</v>
      </c>
      <c r="K4" s="18">
        <f t="shared" si="3"/>
        <v>5.5897809829220089</v>
      </c>
      <c r="L4" s="17">
        <v>50</v>
      </c>
      <c r="M4" s="20">
        <f t="shared" ref="M4:M32" si="6">IFERROR(D4/L4,"-")</f>
        <v>0.26</v>
      </c>
      <c r="N4" s="17">
        <v>8</v>
      </c>
      <c r="O4" s="21">
        <f t="shared" ref="O4:P4" si="7">D4/7</f>
        <v>1.8571428571428572</v>
      </c>
      <c r="P4" s="21">
        <f t="shared" si="7"/>
        <v>0</v>
      </c>
      <c r="Q4" s="17">
        <f t="shared" ref="Q4:Q32" si="8">ROUNDDOWN(N4/(O4+P4),0)</f>
        <v>4</v>
      </c>
      <c r="R4" s="17"/>
      <c r="S4" s="22">
        <v>13.1666666666666</v>
      </c>
      <c r="T4" s="15">
        <v>496</v>
      </c>
      <c r="U4" s="23">
        <v>144</v>
      </c>
      <c r="V4" s="24" t="s">
        <v>701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0.32</v>
      </c>
      <c r="Z4" s="15">
        <v>1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8.799873032407407E-2</v>
      </c>
      <c r="AD4" s="26">
        <f t="shared" ref="AD4:AD32" si="12">IFERROR(AB4*AC4*D4*2,0)</f>
        <v>-1.5786972220138886</v>
      </c>
      <c r="AE4" s="26">
        <v>-5.42</v>
      </c>
      <c r="AF4" s="26">
        <v>-6.7039730769230772</v>
      </c>
      <c r="AG4" s="26">
        <v>0</v>
      </c>
    </row>
    <row r="5" spans="1:33" ht="15.75" customHeight="1" x14ac:dyDescent="0.2">
      <c r="A5" s="29" t="s">
        <v>36</v>
      </c>
      <c r="B5" s="29" t="s">
        <v>702</v>
      </c>
      <c r="C5" s="16">
        <f t="shared" si="4"/>
        <v>21.317857142857143</v>
      </c>
      <c r="D5" s="30">
        <v>28</v>
      </c>
      <c r="E5" s="30">
        <v>0</v>
      </c>
      <c r="F5" s="31">
        <v>596.9</v>
      </c>
      <c r="G5" s="31">
        <v>-0.08</v>
      </c>
      <c r="H5" s="32">
        <f t="shared" si="1"/>
        <v>1.3402579996649357E-4</v>
      </c>
      <c r="I5" s="32">
        <f t="shared" si="2"/>
        <v>0.27543900627811241</v>
      </c>
      <c r="J5" s="33">
        <f t="shared" si="5"/>
        <v>164.40954284740528</v>
      </c>
      <c r="K5" s="33">
        <f t="shared" si="3"/>
        <v>5.8717693874073316</v>
      </c>
      <c r="L5" s="30">
        <v>99</v>
      </c>
      <c r="M5" s="34">
        <f t="shared" si="6"/>
        <v>0.28282828282828282</v>
      </c>
      <c r="N5" s="30">
        <v>101</v>
      </c>
      <c r="O5" s="35">
        <f t="shared" ref="O5:P5" si="13">D5/7</f>
        <v>4</v>
      </c>
      <c r="P5" s="35">
        <f t="shared" si="13"/>
        <v>0</v>
      </c>
      <c r="Q5" s="30">
        <f t="shared" si="8"/>
        <v>25</v>
      </c>
      <c r="R5" s="30"/>
      <c r="S5" s="36">
        <v>1.7302325581395299</v>
      </c>
      <c r="T5" s="29">
        <v>496</v>
      </c>
      <c r="U5" s="37">
        <v>144</v>
      </c>
      <c r="V5" s="38" t="s">
        <v>703</v>
      </c>
      <c r="W5" s="29">
        <v>0</v>
      </c>
      <c r="X5" s="39">
        <f t="shared" si="9"/>
        <v>0</v>
      </c>
      <c r="Y5" s="40">
        <f t="shared" si="10"/>
        <v>0.08</v>
      </c>
      <c r="Z5" s="29">
        <v>1</v>
      </c>
      <c r="AA5" s="29" t="s">
        <v>35</v>
      </c>
      <c r="AB5" s="41">
        <f t="shared" si="11"/>
        <v>-0.69</v>
      </c>
      <c r="AC5" s="42">
        <v>8.8100698725376583E-2</v>
      </c>
      <c r="AD5" s="40">
        <f t="shared" si="12"/>
        <v>-3.4042109987485509</v>
      </c>
      <c r="AE5" s="40">
        <v>-5.42</v>
      </c>
      <c r="AF5" s="40">
        <v>-6.7039730769230772</v>
      </c>
      <c r="AG5" s="40">
        <v>0</v>
      </c>
    </row>
    <row r="6" spans="1:33" ht="15.75" customHeight="1" x14ac:dyDescent="0.2">
      <c r="A6" s="29" t="s">
        <v>38</v>
      </c>
      <c r="B6" s="29" t="s">
        <v>704</v>
      </c>
      <c r="C6" s="16">
        <f t="shared" si="4"/>
        <v>21.220000000000002</v>
      </c>
      <c r="D6" s="30">
        <v>26</v>
      </c>
      <c r="E6" s="30">
        <v>0</v>
      </c>
      <c r="F6" s="31">
        <v>551.72</v>
      </c>
      <c r="G6" s="31">
        <v>-0.59</v>
      </c>
      <c r="H6" s="32">
        <f t="shared" si="1"/>
        <v>1.0693830203726527E-3</v>
      </c>
      <c r="I6" s="32">
        <f t="shared" si="2"/>
        <v>0.27186128027980183</v>
      </c>
      <c r="J6" s="33">
        <f t="shared" si="5"/>
        <v>149.99130555597227</v>
      </c>
      <c r="K6" s="33">
        <f t="shared" si="3"/>
        <v>5.768896367537395</v>
      </c>
      <c r="L6" s="30">
        <v>142</v>
      </c>
      <c r="M6" s="34">
        <f t="shared" si="6"/>
        <v>0.18309859154929578</v>
      </c>
      <c r="N6" s="30">
        <v>71</v>
      </c>
      <c r="O6" s="35">
        <f t="shared" ref="O6:P6" si="14">D6/7</f>
        <v>3.7142857142857144</v>
      </c>
      <c r="P6" s="35">
        <f t="shared" si="14"/>
        <v>0</v>
      </c>
      <c r="Q6" s="30">
        <f t="shared" si="8"/>
        <v>19</v>
      </c>
      <c r="R6" s="30"/>
      <c r="S6" s="36">
        <v>2.6742857142857099</v>
      </c>
      <c r="T6" s="29">
        <v>496</v>
      </c>
      <c r="U6" s="37">
        <v>144</v>
      </c>
      <c r="V6" s="38" t="s">
        <v>705</v>
      </c>
      <c r="W6" s="29">
        <v>1</v>
      </c>
      <c r="X6" s="39">
        <f t="shared" si="9"/>
        <v>3.8461538461538464E-2</v>
      </c>
      <c r="Y6" s="40">
        <f t="shared" si="10"/>
        <v>0.59</v>
      </c>
      <c r="Z6" s="29">
        <v>0</v>
      </c>
      <c r="AA6" s="29" t="s">
        <v>35</v>
      </c>
      <c r="AB6" s="41">
        <f t="shared" si="11"/>
        <v>-0.69</v>
      </c>
      <c r="AC6" s="42">
        <v>8.799873032407407E-2</v>
      </c>
      <c r="AD6" s="40">
        <f t="shared" si="12"/>
        <v>-3.1573944440277772</v>
      </c>
      <c r="AE6" s="40">
        <v>-5.42</v>
      </c>
      <c r="AF6" s="40">
        <v>-6.7039730769230772</v>
      </c>
      <c r="AG6" s="40">
        <v>0</v>
      </c>
    </row>
    <row r="7" spans="1:33" ht="15.75" customHeight="1" x14ac:dyDescent="0.2">
      <c r="A7" s="29" t="s">
        <v>41</v>
      </c>
      <c r="B7" s="29" t="s">
        <v>706</v>
      </c>
      <c r="C7" s="16">
        <f t="shared" si="4"/>
        <v>22.051249999999996</v>
      </c>
      <c r="D7" s="30">
        <v>40</v>
      </c>
      <c r="E7" s="30">
        <v>0</v>
      </c>
      <c r="F7" s="31">
        <v>882.04999999999984</v>
      </c>
      <c r="G7" s="31">
        <v>-0.08</v>
      </c>
      <c r="H7" s="32">
        <f t="shared" si="1"/>
        <v>9.0697806246811422E-5</v>
      </c>
      <c r="I7" s="32">
        <f t="shared" si="2"/>
        <v>0.29459333032048962</v>
      </c>
      <c r="J7" s="33">
        <f t="shared" si="5"/>
        <v>259.84604700918783</v>
      </c>
      <c r="K7" s="33">
        <f t="shared" si="3"/>
        <v>6.4961511752296959</v>
      </c>
      <c r="L7" s="30">
        <v>292</v>
      </c>
      <c r="M7" s="34">
        <f t="shared" si="6"/>
        <v>0.13698630136986301</v>
      </c>
      <c r="N7" s="30">
        <v>30</v>
      </c>
      <c r="O7" s="35">
        <f t="shared" ref="O7:P7" si="15">D7/7</f>
        <v>5.7142857142857144</v>
      </c>
      <c r="P7" s="35">
        <f t="shared" si="15"/>
        <v>0</v>
      </c>
      <c r="Q7" s="30">
        <f t="shared" si="8"/>
        <v>5</v>
      </c>
      <c r="R7" s="30"/>
      <c r="S7" s="36">
        <v>5.5841584158415802</v>
      </c>
      <c r="T7" s="29">
        <v>848</v>
      </c>
      <c r="U7" s="37">
        <v>144</v>
      </c>
      <c r="V7" s="38" t="s">
        <v>707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8.799873032407407E-2</v>
      </c>
      <c r="AD7" s="40">
        <f t="shared" si="12"/>
        <v>-4.8575299138888886</v>
      </c>
      <c r="AE7" s="40">
        <v>-5.42</v>
      </c>
      <c r="AF7" s="40">
        <v>-6.7039730769230772</v>
      </c>
      <c r="AG7" s="40">
        <v>0</v>
      </c>
    </row>
    <row r="8" spans="1:33" ht="15.75" customHeight="1" x14ac:dyDescent="0.2">
      <c r="A8" s="29" t="s">
        <v>44</v>
      </c>
      <c r="B8" s="29" t="s">
        <v>102</v>
      </c>
      <c r="C8" s="16">
        <f t="shared" si="4"/>
        <v>26.007777777777779</v>
      </c>
      <c r="D8" s="30">
        <v>27</v>
      </c>
      <c r="E8" s="30">
        <v>2</v>
      </c>
      <c r="F8" s="31">
        <v>702.21</v>
      </c>
      <c r="G8" s="31">
        <v>-0.66</v>
      </c>
      <c r="H8" s="32">
        <f t="shared" si="1"/>
        <v>9.3988977656256671E-4</v>
      </c>
      <c r="I8" s="32">
        <f t="shared" si="2"/>
        <v>0.37837636505906364</v>
      </c>
      <c r="J8" s="33">
        <f t="shared" si="5"/>
        <v>265.69966730812507</v>
      </c>
      <c r="K8" s="33">
        <f t="shared" si="3"/>
        <v>9.840728418819447</v>
      </c>
      <c r="L8" s="30">
        <v>111</v>
      </c>
      <c r="M8" s="34">
        <f t="shared" si="6"/>
        <v>0.24324324324324326</v>
      </c>
      <c r="N8" s="30">
        <v>30</v>
      </c>
      <c r="O8" s="35">
        <f t="shared" ref="O8:P8" si="16">D8/7</f>
        <v>3.8571428571428572</v>
      </c>
      <c r="P8" s="35">
        <f t="shared" si="16"/>
        <v>0.2857142857142857</v>
      </c>
      <c r="Q8" s="30">
        <f t="shared" si="8"/>
        <v>7</v>
      </c>
      <c r="R8" s="30"/>
      <c r="S8" s="36">
        <v>9.1612903225806406</v>
      </c>
      <c r="T8" s="29">
        <v>848</v>
      </c>
      <c r="U8" s="37">
        <v>144</v>
      </c>
      <c r="V8" s="38" t="s">
        <v>708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8.799873032407407E-2</v>
      </c>
      <c r="AD8" s="40">
        <f t="shared" si="12"/>
        <v>-3.2788326918749995</v>
      </c>
      <c r="AE8" s="40">
        <v>-5.42</v>
      </c>
      <c r="AF8" s="40">
        <v>-6.7</v>
      </c>
      <c r="AG8" s="40">
        <v>0</v>
      </c>
    </row>
    <row r="9" spans="1:33" ht="15.75" customHeight="1" x14ac:dyDescent="0.2">
      <c r="A9" s="29" t="s">
        <v>47</v>
      </c>
      <c r="B9" s="29" t="s">
        <v>709</v>
      </c>
      <c r="C9" s="16">
        <f t="shared" si="4"/>
        <v>28.140555555555562</v>
      </c>
      <c r="D9" s="30">
        <v>18</v>
      </c>
      <c r="E9" s="30">
        <v>0</v>
      </c>
      <c r="F9" s="31">
        <v>506.53000000000009</v>
      </c>
      <c r="G9" s="31">
        <v>-0.42000000000000004</v>
      </c>
      <c r="H9" s="32">
        <f t="shared" si="1"/>
        <v>8.2917102639527764E-4</v>
      </c>
      <c r="I9" s="32">
        <f t="shared" si="2"/>
        <v>0.41051334950223178</v>
      </c>
      <c r="J9" s="33">
        <f t="shared" si="5"/>
        <v>207.9373269233655</v>
      </c>
      <c r="K9" s="33">
        <f t="shared" si="3"/>
        <v>11.552073717964751</v>
      </c>
      <c r="L9" s="30">
        <v>101</v>
      </c>
      <c r="M9" s="34">
        <f t="shared" si="6"/>
        <v>0.17821782178217821</v>
      </c>
      <c r="N9" s="30">
        <v>8</v>
      </c>
      <c r="O9" s="35">
        <f t="shared" ref="O9:P9" si="17">D9/7</f>
        <v>2.5714285714285716</v>
      </c>
      <c r="P9" s="35">
        <f t="shared" si="17"/>
        <v>0</v>
      </c>
      <c r="Q9" s="30">
        <f t="shared" si="8"/>
        <v>3</v>
      </c>
      <c r="R9" s="30"/>
      <c r="S9" s="36">
        <v>3.7619047619047601</v>
      </c>
      <c r="T9" s="29">
        <v>848</v>
      </c>
      <c r="U9" s="37">
        <v>144</v>
      </c>
      <c r="V9" s="38" t="s">
        <v>710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8.799873032407407E-2</v>
      </c>
      <c r="AD9" s="40">
        <f t="shared" si="12"/>
        <v>-2.1858884612499998</v>
      </c>
      <c r="AE9" s="40">
        <v>-5.42</v>
      </c>
      <c r="AF9" s="40">
        <v>-6.8026269230769199</v>
      </c>
      <c r="AG9" s="40">
        <v>0</v>
      </c>
    </row>
    <row r="10" spans="1:33" ht="15.75" customHeight="1" x14ac:dyDescent="0.2">
      <c r="A10" s="29" t="s">
        <v>50</v>
      </c>
      <c r="B10" s="29" t="s">
        <v>172</v>
      </c>
      <c r="C10" s="16">
        <f t="shared" si="4"/>
        <v>27.017777777777781</v>
      </c>
      <c r="D10" s="30">
        <v>9</v>
      </c>
      <c r="E10" s="30">
        <v>0</v>
      </c>
      <c r="F10" s="31">
        <v>243.16000000000003</v>
      </c>
      <c r="G10" s="31">
        <v>-0.16</v>
      </c>
      <c r="H10" s="32">
        <f t="shared" si="1"/>
        <v>6.5800296101332445E-4</v>
      </c>
      <c r="I10" s="32">
        <f t="shared" si="2"/>
        <v>0.3924552289097003</v>
      </c>
      <c r="J10" s="33">
        <f t="shared" si="5"/>
        <v>95.429413461682742</v>
      </c>
      <c r="K10" s="33">
        <f t="shared" si="3"/>
        <v>10.603268162409194</v>
      </c>
      <c r="L10" s="30">
        <v>24</v>
      </c>
      <c r="M10" s="34">
        <f t="shared" si="6"/>
        <v>0.375</v>
      </c>
      <c r="N10" s="30">
        <v>5</v>
      </c>
      <c r="O10" s="35">
        <f t="shared" ref="O10:P10" si="18">D10/7</f>
        <v>1.2857142857142858</v>
      </c>
      <c r="P10" s="35">
        <f t="shared" si="18"/>
        <v>0</v>
      </c>
      <c r="Q10" s="30">
        <f t="shared" si="8"/>
        <v>3</v>
      </c>
      <c r="R10" s="30"/>
      <c r="S10" s="36">
        <v>4.72463768115942</v>
      </c>
      <c r="T10" s="29">
        <v>352</v>
      </c>
      <c r="U10" s="37">
        <v>176</v>
      </c>
      <c r="V10" s="38" t="s">
        <v>711</v>
      </c>
      <c r="W10" s="29">
        <v>0</v>
      </c>
      <c r="X10" s="39">
        <f t="shared" si="9"/>
        <v>0</v>
      </c>
      <c r="Y10" s="40">
        <f t="shared" si="10"/>
        <v>0.16</v>
      </c>
      <c r="Z10" s="29">
        <v>1</v>
      </c>
      <c r="AA10" s="29" t="s">
        <v>35</v>
      </c>
      <c r="AB10" s="41">
        <f t="shared" si="11"/>
        <v>-0.69</v>
      </c>
      <c r="AC10" s="42">
        <v>8.799873032407407E-2</v>
      </c>
      <c r="AD10" s="40">
        <f t="shared" si="12"/>
        <v>-1.0929442306249999</v>
      </c>
      <c r="AE10" s="40">
        <v>-5.42</v>
      </c>
      <c r="AF10" s="40">
        <v>-6.8026269230769199</v>
      </c>
      <c r="AG10" s="40">
        <v>0</v>
      </c>
    </row>
    <row r="11" spans="1:33" ht="15.75" customHeight="1" x14ac:dyDescent="0.2">
      <c r="A11" s="29" t="s">
        <v>53</v>
      </c>
      <c r="B11" s="29" t="s">
        <v>712</v>
      </c>
      <c r="C11" s="16">
        <f t="shared" si="4"/>
        <v>26.99</v>
      </c>
      <c r="D11" s="30">
        <v>1</v>
      </c>
      <c r="E11" s="30">
        <v>0</v>
      </c>
      <c r="F11" s="31">
        <v>26.99</v>
      </c>
      <c r="G11" s="31">
        <v>0</v>
      </c>
      <c r="H11" s="32">
        <f t="shared" si="1"/>
        <v>0</v>
      </c>
      <c r="I11" s="32">
        <f t="shared" si="2"/>
        <v>0.3926430095989572</v>
      </c>
      <c r="J11" s="33">
        <f t="shared" si="5"/>
        <v>10.597434829075855</v>
      </c>
      <c r="K11" s="33">
        <f t="shared" si="3"/>
        <v>10.597434829075855</v>
      </c>
      <c r="L11" s="30">
        <v>3</v>
      </c>
      <c r="M11" s="34">
        <f t="shared" si="6"/>
        <v>0.33333333333333331</v>
      </c>
      <c r="N11" s="30">
        <v>0</v>
      </c>
      <c r="O11" s="35">
        <f t="shared" ref="O11:P11" si="19">D11/7</f>
        <v>0.14285714285714285</v>
      </c>
      <c r="P11" s="35">
        <f t="shared" si="19"/>
        <v>0</v>
      </c>
      <c r="Q11" s="30">
        <f t="shared" si="8"/>
        <v>0</v>
      </c>
      <c r="R11" s="30"/>
      <c r="S11" s="36">
        <v>8.3855421686746894</v>
      </c>
      <c r="T11" s="29">
        <v>352</v>
      </c>
      <c r="U11" s="37">
        <v>176</v>
      </c>
      <c r="V11" s="38" t="s">
        <v>713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8.799873032407407E-2</v>
      </c>
      <c r="AD11" s="40">
        <f t="shared" si="12"/>
        <v>-0.12143824784722221</v>
      </c>
      <c r="AE11" s="40">
        <v>-5.42</v>
      </c>
      <c r="AF11" s="40">
        <v>-6.8026269230769199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352</v>
      </c>
      <c r="U12" s="37">
        <v>176</v>
      </c>
      <c r="V12" s="38" t="s">
        <v>711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8.799873032407407E-2</v>
      </c>
      <c r="AD12" s="40">
        <f t="shared" si="12"/>
        <v>0</v>
      </c>
      <c r="AE12" s="40">
        <v>-5.42</v>
      </c>
      <c r="AF12" s="40">
        <v>-6.8026269230769199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2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352</v>
      </c>
      <c r="U13" s="37">
        <v>176</v>
      </c>
      <c r="V13" s="38" t="s">
        <v>711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8.799873032407407E-2</v>
      </c>
      <c r="AD13" s="40">
        <f t="shared" si="12"/>
        <v>0</v>
      </c>
      <c r="AE13" s="40">
        <v>-5.42</v>
      </c>
      <c r="AF13" s="40">
        <v>-6.8545499999999997</v>
      </c>
      <c r="AG13" s="40">
        <v>0</v>
      </c>
    </row>
    <row r="14" spans="1:33" ht="15.75" customHeight="1" x14ac:dyDescent="0.2">
      <c r="A14" s="29" t="s">
        <v>59</v>
      </c>
      <c r="B14" s="29" t="s">
        <v>172</v>
      </c>
      <c r="C14" s="16">
        <f t="shared" si="4"/>
        <v>26.99</v>
      </c>
      <c r="D14" s="30">
        <v>3</v>
      </c>
      <c r="E14" s="30">
        <v>0</v>
      </c>
      <c r="F14" s="33">
        <v>80.97</v>
      </c>
      <c r="G14" s="31">
        <v>-0.32</v>
      </c>
      <c r="H14" s="32">
        <f t="shared" si="1"/>
        <v>3.952081017660862E-3</v>
      </c>
      <c r="I14" s="32">
        <f t="shared" si="2"/>
        <v>0.38676713914361305</v>
      </c>
      <c r="J14" s="33">
        <f t="shared" si="5"/>
        <v>31.316535256458348</v>
      </c>
      <c r="K14" s="33">
        <f t="shared" si="3"/>
        <v>10.438845085486117</v>
      </c>
      <c r="L14" s="30">
        <v>17</v>
      </c>
      <c r="M14" s="34">
        <f t="shared" si="6"/>
        <v>0.17647058823529413</v>
      </c>
      <c r="N14" s="30">
        <v>0</v>
      </c>
      <c r="O14" s="35">
        <f t="shared" ref="O14:P14" si="22">D14/7</f>
        <v>0.42857142857142855</v>
      </c>
      <c r="P14" s="35">
        <f t="shared" si="22"/>
        <v>0</v>
      </c>
      <c r="Q14" s="30">
        <f t="shared" si="8"/>
        <v>0</v>
      </c>
      <c r="R14" s="30"/>
      <c r="S14" s="36">
        <v>3.9550561797752799</v>
      </c>
      <c r="T14" s="29">
        <v>208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35</v>
      </c>
      <c r="AB14" s="41">
        <f t="shared" si="11"/>
        <v>-0.69</v>
      </c>
      <c r="AC14" s="42">
        <v>8.799873032407407E-2</v>
      </c>
      <c r="AD14" s="40">
        <f t="shared" si="12"/>
        <v>-0.3643147435416666</v>
      </c>
      <c r="AE14" s="40">
        <v>-5.42</v>
      </c>
      <c r="AF14" s="40">
        <v>-6.8545499999999997</v>
      </c>
      <c r="AG14" s="40">
        <v>0</v>
      </c>
    </row>
    <row r="15" spans="1:33" ht="15.75" customHeight="1" x14ac:dyDescent="0.2">
      <c r="A15" s="29" t="s">
        <v>61</v>
      </c>
      <c r="B15" s="29" t="s">
        <v>172</v>
      </c>
      <c r="C15" s="16">
        <f t="shared" si="4"/>
        <v>26.99</v>
      </c>
      <c r="D15" s="30">
        <v>1</v>
      </c>
      <c r="E15" s="30">
        <v>0</v>
      </c>
      <c r="F15" s="33">
        <v>26.99</v>
      </c>
      <c r="G15" s="31">
        <v>0</v>
      </c>
      <c r="H15" s="32">
        <f t="shared" si="1"/>
        <v>0</v>
      </c>
      <c r="I15" s="32">
        <f t="shared" si="2"/>
        <v>0.39071922016127369</v>
      </c>
      <c r="J15" s="33">
        <f t="shared" si="5"/>
        <v>10.545511752152777</v>
      </c>
      <c r="K15" s="33">
        <f t="shared" si="3"/>
        <v>10.545511752152777</v>
      </c>
      <c r="L15" s="30">
        <v>2</v>
      </c>
      <c r="M15" s="34">
        <f t="shared" si="6"/>
        <v>0.5</v>
      </c>
      <c r="N15" s="30">
        <v>0</v>
      </c>
      <c r="O15" s="35">
        <f t="shared" ref="O15:P15" si="23">D15/7</f>
        <v>0.14285714285714285</v>
      </c>
      <c r="P15" s="35">
        <f t="shared" si="23"/>
        <v>0</v>
      </c>
      <c r="Q15" s="30">
        <f t="shared" si="8"/>
        <v>0</v>
      </c>
      <c r="R15" s="30"/>
      <c r="S15" s="36">
        <v>7.1111111111111098</v>
      </c>
      <c r="T15" s="29">
        <v>208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35</v>
      </c>
      <c r="AB15" s="41">
        <f t="shared" si="11"/>
        <v>-0.69</v>
      </c>
      <c r="AC15" s="42">
        <v>8.799873032407407E-2</v>
      </c>
      <c r="AD15" s="40">
        <f t="shared" si="12"/>
        <v>-0.12143824784722221</v>
      </c>
      <c r="AE15" s="40">
        <v>-5.42</v>
      </c>
      <c r="AF15" s="40">
        <v>-6.8545499999999997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208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-6.8545499999999997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208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-6.8545499999999997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208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-6.8545499999999997</v>
      </c>
      <c r="AG18" s="40">
        <v>0</v>
      </c>
    </row>
    <row r="19" spans="1:33" ht="15.75" customHeight="1" x14ac:dyDescent="0.2">
      <c r="A19" s="29" t="s">
        <v>71</v>
      </c>
      <c r="B19" s="29" t="s">
        <v>714</v>
      </c>
      <c r="C19" s="16">
        <f t="shared" si="4"/>
        <v>26.99</v>
      </c>
      <c r="D19" s="30">
        <v>1</v>
      </c>
      <c r="E19" s="30">
        <v>0</v>
      </c>
      <c r="F19" s="33">
        <v>26.99</v>
      </c>
      <c r="G19" s="31">
        <v>0</v>
      </c>
      <c r="H19" s="32">
        <f t="shared" si="1"/>
        <v>0</v>
      </c>
      <c r="I19" s="32">
        <f t="shared" si="2"/>
        <v>0.39071922016127369</v>
      </c>
      <c r="J19" s="33">
        <f t="shared" si="5"/>
        <v>10.545511752152777</v>
      </c>
      <c r="K19" s="33">
        <f t="shared" si="3"/>
        <v>10.545511752152777</v>
      </c>
      <c r="L19" s="30">
        <v>0</v>
      </c>
      <c r="M19" s="34" t="str">
        <f t="shared" si="6"/>
        <v>-</v>
      </c>
      <c r="N19" s="30">
        <v>143</v>
      </c>
      <c r="O19" s="35">
        <f t="shared" ref="O19:P19" si="27">D19/7</f>
        <v>0.14285714285714285</v>
      </c>
      <c r="P19" s="35">
        <f t="shared" si="27"/>
        <v>0</v>
      </c>
      <c r="Q19" s="30">
        <f t="shared" si="8"/>
        <v>1001</v>
      </c>
      <c r="R19" s="30"/>
      <c r="S19" s="36" t="e">
        <v>#N/A</v>
      </c>
      <c r="T19" s="29">
        <v>208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8.799873032407407E-2</v>
      </c>
      <c r="AD19" s="40">
        <f t="shared" si="12"/>
        <v>-0.12143824784722221</v>
      </c>
      <c r="AE19" s="40">
        <v>-5.42</v>
      </c>
      <c r="AF19" s="40">
        <v>-6.8545500000000006</v>
      </c>
      <c r="AG19" s="40">
        <v>0</v>
      </c>
    </row>
    <row r="20" spans="1:33" ht="15.75" customHeight="1" x14ac:dyDescent="0.2">
      <c r="A20" s="29" t="s">
        <v>74</v>
      </c>
      <c r="B20" s="29" t="s">
        <v>715</v>
      </c>
      <c r="C20" s="16">
        <f t="shared" si="4"/>
        <v>26.256363636363641</v>
      </c>
      <c r="D20" s="30">
        <v>22</v>
      </c>
      <c r="E20" s="30">
        <v>0</v>
      </c>
      <c r="F20" s="33">
        <v>577.6400000000001</v>
      </c>
      <c r="G20" s="31">
        <v>-0.29000000000000004</v>
      </c>
      <c r="H20" s="32">
        <f t="shared" si="1"/>
        <v>5.0204279482030329E-4</v>
      </c>
      <c r="I20" s="32">
        <f t="shared" si="2"/>
        <v>0.37738428527692175</v>
      </c>
      <c r="J20" s="33">
        <f t="shared" si="5"/>
        <v>217.99225854736113</v>
      </c>
      <c r="K20" s="33">
        <f t="shared" si="3"/>
        <v>9.9087390248800506</v>
      </c>
      <c r="L20" s="30">
        <v>73</v>
      </c>
      <c r="M20" s="34">
        <f t="shared" si="6"/>
        <v>0.30136986301369861</v>
      </c>
      <c r="N20" s="30">
        <v>126</v>
      </c>
      <c r="O20" s="35">
        <f t="shared" ref="O20:P20" si="28">D20/7</f>
        <v>3.1428571428571428</v>
      </c>
      <c r="P20" s="35">
        <f t="shared" si="28"/>
        <v>0</v>
      </c>
      <c r="Q20" s="30">
        <f t="shared" si="8"/>
        <v>40</v>
      </c>
      <c r="R20" s="30"/>
      <c r="S20" s="36">
        <v>1.8305084745762701</v>
      </c>
      <c r="T20" s="29">
        <v>656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8.799873032407407E-2</v>
      </c>
      <c r="AD20" s="40">
        <f t="shared" si="12"/>
        <v>-2.6716414526388887</v>
      </c>
      <c r="AE20" s="40">
        <v>-5.42</v>
      </c>
      <c r="AF20" s="40">
        <v>-6.8545500000000006</v>
      </c>
      <c r="AG20" s="40">
        <v>0</v>
      </c>
    </row>
    <row r="21" spans="1:33" ht="15.75" customHeight="1" x14ac:dyDescent="0.2">
      <c r="A21" s="29" t="s">
        <v>75</v>
      </c>
      <c r="B21" s="29" t="s">
        <v>166</v>
      </c>
      <c r="C21" s="16">
        <f t="shared" si="4"/>
        <v>25.11296296296296</v>
      </c>
      <c r="D21" s="30">
        <v>27</v>
      </c>
      <c r="E21" s="30">
        <v>0</v>
      </c>
      <c r="F21" s="33">
        <v>678.05</v>
      </c>
      <c r="G21" s="31">
        <v>-0.32</v>
      </c>
      <c r="H21" s="32">
        <f t="shared" si="1"/>
        <v>4.7194159722734318E-4</v>
      </c>
      <c r="I21" s="32">
        <f t="shared" si="2"/>
        <v>0.35591891056430192</v>
      </c>
      <c r="J21" s="33">
        <f t="shared" si="5"/>
        <v>241.33081730812489</v>
      </c>
      <c r="K21" s="33">
        <f t="shared" si="3"/>
        <v>8.9381784188194402</v>
      </c>
      <c r="L21" s="30">
        <v>32</v>
      </c>
      <c r="M21" s="34">
        <f t="shared" si="6"/>
        <v>0.84375</v>
      </c>
      <c r="N21" s="30">
        <v>243</v>
      </c>
      <c r="O21" s="35">
        <f t="shared" ref="O21:P21" si="29">D21/7</f>
        <v>3.8571428571428572</v>
      </c>
      <c r="P21" s="35">
        <f t="shared" si="29"/>
        <v>0</v>
      </c>
      <c r="Q21" s="30">
        <f t="shared" si="8"/>
        <v>63</v>
      </c>
      <c r="R21" s="30"/>
      <c r="S21" s="36">
        <v>1.1349480968858101</v>
      </c>
      <c r="T21" s="29">
        <v>656</v>
      </c>
      <c r="U21" s="37" t="s">
        <v>34</v>
      </c>
      <c r="V21" s="38" t="s">
        <v>34</v>
      </c>
      <c r="W21" s="29">
        <v>1</v>
      </c>
      <c r="X21" s="39">
        <f t="shared" si="9"/>
        <v>3.7037037037037035E-2</v>
      </c>
      <c r="Y21" s="40">
        <f t="shared" si="10"/>
        <v>0.32</v>
      </c>
      <c r="Z21" s="29">
        <v>0</v>
      </c>
      <c r="AA21" s="29" t="s">
        <v>35</v>
      </c>
      <c r="AB21" s="41">
        <f t="shared" si="11"/>
        <v>-0.69</v>
      </c>
      <c r="AC21" s="42">
        <v>8.799873032407407E-2</v>
      </c>
      <c r="AD21" s="40">
        <f t="shared" si="12"/>
        <v>-3.2788326918749995</v>
      </c>
      <c r="AE21" s="40">
        <v>-5.42</v>
      </c>
      <c r="AF21" s="40">
        <v>-6.8545500000000006</v>
      </c>
      <c r="AG21" s="40">
        <v>0</v>
      </c>
    </row>
    <row r="22" spans="1:33" ht="15.75" customHeight="1" x14ac:dyDescent="0.2">
      <c r="A22" s="29" t="s">
        <v>76</v>
      </c>
      <c r="B22" s="29" t="s">
        <v>716</v>
      </c>
      <c r="C22" s="16">
        <f t="shared" si="4"/>
        <v>26.45794117647058</v>
      </c>
      <c r="D22" s="30">
        <v>34</v>
      </c>
      <c r="E22" s="30">
        <v>0</v>
      </c>
      <c r="F22" s="31">
        <v>899.56999999999971</v>
      </c>
      <c r="G22" s="31">
        <v>-0.4</v>
      </c>
      <c r="H22" s="32">
        <f t="shared" si="1"/>
        <v>4.4465689162599925E-4</v>
      </c>
      <c r="I22" s="32">
        <f t="shared" si="2"/>
        <v>0.38103860686016022</v>
      </c>
      <c r="J22" s="33">
        <f t="shared" si="5"/>
        <v>342.77089957319424</v>
      </c>
      <c r="K22" s="33">
        <f t="shared" si="3"/>
        <v>10.081497046270419</v>
      </c>
      <c r="L22" s="30">
        <v>71</v>
      </c>
      <c r="M22" s="34">
        <f t="shared" si="6"/>
        <v>0.47887323943661969</v>
      </c>
      <c r="N22" s="30">
        <v>208</v>
      </c>
      <c r="O22" s="35">
        <f t="shared" ref="O22:P22" si="30">D22/7</f>
        <v>4.8571428571428568</v>
      </c>
      <c r="P22" s="35">
        <f t="shared" si="30"/>
        <v>0</v>
      </c>
      <c r="Q22" s="30">
        <f t="shared" si="8"/>
        <v>42</v>
      </c>
      <c r="R22" s="30"/>
      <c r="S22" s="36">
        <v>1.5932203389830499</v>
      </c>
      <c r="T22" s="29">
        <v>656</v>
      </c>
      <c r="U22" s="37" t="s">
        <v>34</v>
      </c>
      <c r="V22" s="38" t="s">
        <v>34</v>
      </c>
      <c r="W22" s="29">
        <v>1</v>
      </c>
      <c r="X22" s="39">
        <f t="shared" si="9"/>
        <v>2.9411764705882353E-2</v>
      </c>
      <c r="Y22" s="40">
        <f t="shared" si="10"/>
        <v>0.2</v>
      </c>
      <c r="Z22" s="29">
        <v>1</v>
      </c>
      <c r="AA22" s="29" t="s">
        <v>35</v>
      </c>
      <c r="AB22" s="41">
        <f t="shared" si="11"/>
        <v>-0.69</v>
      </c>
      <c r="AC22" s="42">
        <v>8.799873032407407E-2</v>
      </c>
      <c r="AD22" s="40">
        <f t="shared" si="12"/>
        <v>-4.1289004268055551</v>
      </c>
      <c r="AE22" s="40">
        <v>-5.42</v>
      </c>
      <c r="AF22" s="40">
        <v>-6.8545500000000006</v>
      </c>
      <c r="AG22" s="40">
        <v>0</v>
      </c>
    </row>
    <row r="23" spans="1:33" ht="15.75" customHeight="1" x14ac:dyDescent="0.2">
      <c r="A23" s="29" t="s">
        <v>77</v>
      </c>
      <c r="B23" s="29" t="s">
        <v>54</v>
      </c>
      <c r="C23" s="16">
        <f t="shared" si="4"/>
        <v>27.105925925925931</v>
      </c>
      <c r="D23" s="30">
        <v>27</v>
      </c>
      <c r="E23" s="30">
        <v>0</v>
      </c>
      <c r="F23" s="33">
        <v>731.86000000000013</v>
      </c>
      <c r="G23" s="31">
        <v>-0.24</v>
      </c>
      <c r="H23" s="32">
        <f t="shared" si="1"/>
        <v>3.279315716120569E-4</v>
      </c>
      <c r="I23" s="32">
        <f t="shared" si="2"/>
        <v>0.39235552880076113</v>
      </c>
      <c r="J23" s="33">
        <f t="shared" si="5"/>
        <v>287.14931730812509</v>
      </c>
      <c r="K23" s="33">
        <f t="shared" si="3"/>
        <v>10.635159900300929</v>
      </c>
      <c r="L23" s="30">
        <v>59</v>
      </c>
      <c r="M23" s="34">
        <f t="shared" si="6"/>
        <v>0.4576271186440678</v>
      </c>
      <c r="N23" s="30">
        <v>172</v>
      </c>
      <c r="O23" s="35">
        <f t="shared" ref="O23:P23" si="31">D23/7</f>
        <v>3.8571428571428572</v>
      </c>
      <c r="P23" s="35">
        <f t="shared" si="31"/>
        <v>0</v>
      </c>
      <c r="Q23" s="30">
        <f t="shared" si="8"/>
        <v>44</v>
      </c>
      <c r="R23" s="30"/>
      <c r="S23" s="36">
        <v>2.32323232323232</v>
      </c>
      <c r="T23" s="29">
        <v>656</v>
      </c>
      <c r="U23" s="37" t="s">
        <v>34</v>
      </c>
      <c r="V23" s="38" t="s">
        <v>717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8.799873032407407E-2</v>
      </c>
      <c r="AD23" s="40">
        <f t="shared" si="12"/>
        <v>-3.2788326918749995</v>
      </c>
      <c r="AE23" s="40">
        <v>-5.42</v>
      </c>
      <c r="AF23" s="40">
        <v>-6.8545500000000006</v>
      </c>
      <c r="AG23" s="40">
        <v>0</v>
      </c>
    </row>
    <row r="24" spans="1:33" ht="15.75" customHeight="1" x14ac:dyDescent="0.2">
      <c r="A24" s="29" t="s">
        <v>79</v>
      </c>
      <c r="B24" s="29" t="s">
        <v>718</v>
      </c>
      <c r="C24" s="16">
        <f t="shared" si="4"/>
        <v>27.95272727272728</v>
      </c>
      <c r="D24" s="30">
        <v>22</v>
      </c>
      <c r="E24" s="30">
        <v>0</v>
      </c>
      <c r="F24" s="33">
        <v>614.96000000000015</v>
      </c>
      <c r="G24" s="33">
        <v>-0.08</v>
      </c>
      <c r="H24" s="32">
        <f t="shared" si="1"/>
        <v>1.3008976193573562E-4</v>
      </c>
      <c r="I24" s="32">
        <f t="shared" si="2"/>
        <v>0.40640734120489314</v>
      </c>
      <c r="J24" s="33">
        <f t="shared" si="5"/>
        <v>249.92425854736115</v>
      </c>
      <c r="K24" s="33">
        <f t="shared" si="3"/>
        <v>11.360193570334598</v>
      </c>
      <c r="L24" s="30">
        <v>58</v>
      </c>
      <c r="M24" s="34">
        <f t="shared" si="6"/>
        <v>0.37931034482758619</v>
      </c>
      <c r="N24" s="30">
        <v>150</v>
      </c>
      <c r="O24" s="35">
        <f t="shared" ref="O24:P24" si="32">D24/7</f>
        <v>3.1428571428571428</v>
      </c>
      <c r="P24" s="35">
        <f t="shared" si="32"/>
        <v>0</v>
      </c>
      <c r="Q24" s="30">
        <f t="shared" si="8"/>
        <v>47</v>
      </c>
      <c r="R24" s="30"/>
      <c r="S24" s="36">
        <v>1.67656765676567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Summary!A1:AD5000""),9,FALSE),"""")"),656)</f>
        <v>656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Summary!A1:AD5000""),28,FALSE),"""")"),208)</f>
        <v>208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208 - 08/09/21")</f>
        <v xml:space="preserve"> | AGL216: 208 - 08/09/21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8.799873032407407E-2</v>
      </c>
      <c r="AD24" s="40">
        <f t="shared" si="12"/>
        <v>-2.6716414526388887</v>
      </c>
      <c r="AE24" s="40">
        <v>-5.42</v>
      </c>
      <c r="AF24" s="40">
        <v>-6.8545500000000006</v>
      </c>
      <c r="AG24" s="40">
        <v>0</v>
      </c>
    </row>
    <row r="25" spans="1:33" ht="15.75" customHeight="1" x14ac:dyDescent="0.2">
      <c r="A25" s="15" t="s">
        <v>81</v>
      </c>
      <c r="B25" s="15" t="s">
        <v>719</v>
      </c>
      <c r="C25" s="16">
        <f t="shared" si="4"/>
        <v>25.753125000000001</v>
      </c>
      <c r="D25" s="17">
        <v>16</v>
      </c>
      <c r="E25" s="17">
        <v>0</v>
      </c>
      <c r="F25" s="18">
        <v>412.05</v>
      </c>
      <c r="G25" s="18">
        <v>0</v>
      </c>
      <c r="H25" s="32">
        <f t="shared" si="1"/>
        <v>0</v>
      </c>
      <c r="I25" s="32">
        <f t="shared" si="2"/>
        <v>0.36883749067939442</v>
      </c>
      <c r="J25" s="33">
        <f t="shared" si="5"/>
        <v>151.97948803444447</v>
      </c>
      <c r="K25" s="33">
        <f t="shared" si="3"/>
        <v>9.4987180021527795</v>
      </c>
      <c r="L25" s="17">
        <v>66</v>
      </c>
      <c r="M25" s="34">
        <f t="shared" si="6"/>
        <v>0.24242424242424243</v>
      </c>
      <c r="N25" s="17">
        <v>137</v>
      </c>
      <c r="O25" s="35">
        <f t="shared" ref="O25:P25" si="33">D25/7</f>
        <v>2.2857142857142856</v>
      </c>
      <c r="P25" s="35">
        <f t="shared" si="33"/>
        <v>0</v>
      </c>
      <c r="Q25" s="30">
        <f t="shared" si="8"/>
        <v>59</v>
      </c>
      <c r="R25" s="30"/>
      <c r="S25" s="36">
        <v>1.67656765676567</v>
      </c>
      <c r="T25" s="29">
        <v>656</v>
      </c>
      <c r="U25" s="37" t="s">
        <v>34</v>
      </c>
      <c r="V25" s="38" t="s">
        <v>720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8.799873032407407E-2</v>
      </c>
      <c r="AD25" s="40">
        <f t="shared" si="12"/>
        <v>-1.9430119655555553</v>
      </c>
      <c r="AE25" s="26">
        <v>-5.42</v>
      </c>
      <c r="AF25" s="26">
        <v>-6.85</v>
      </c>
      <c r="AG25" s="26">
        <v>0</v>
      </c>
    </row>
    <row r="26" spans="1:33" ht="15.75" customHeight="1" x14ac:dyDescent="0.2">
      <c r="A26" s="15" t="s">
        <v>83</v>
      </c>
      <c r="B26" s="15" t="s">
        <v>721</v>
      </c>
      <c r="C26" s="16">
        <f t="shared" si="4"/>
        <v>25.707999999999998</v>
      </c>
      <c r="D26" s="17">
        <v>35</v>
      </c>
      <c r="E26" s="17">
        <v>0</v>
      </c>
      <c r="F26" s="18">
        <v>899.78</v>
      </c>
      <c r="G26" s="18">
        <v>0</v>
      </c>
      <c r="H26" s="32">
        <f t="shared" si="1"/>
        <v>0</v>
      </c>
      <c r="I26" s="32">
        <f t="shared" si="2"/>
        <v>0.3577023398223424</v>
      </c>
      <c r="J26" s="33">
        <f t="shared" si="5"/>
        <v>321.85341132534722</v>
      </c>
      <c r="K26" s="33">
        <f t="shared" si="3"/>
        <v>9.1958117521527782</v>
      </c>
      <c r="L26" s="17">
        <v>81</v>
      </c>
      <c r="M26" s="34">
        <f t="shared" si="6"/>
        <v>0.43209876543209874</v>
      </c>
      <c r="N26" s="17">
        <v>111</v>
      </c>
      <c r="O26" s="35">
        <f t="shared" ref="O26:P26" si="34">D26/7</f>
        <v>5</v>
      </c>
      <c r="P26" s="35">
        <f t="shared" si="34"/>
        <v>0</v>
      </c>
      <c r="Q26" s="30">
        <f t="shared" si="8"/>
        <v>22</v>
      </c>
      <c r="R26" s="30"/>
      <c r="S26" s="22">
        <v>2.0766961651917399</v>
      </c>
      <c r="T26" s="29">
        <v>656</v>
      </c>
      <c r="U26" s="37">
        <v>208</v>
      </c>
      <c r="V26" s="38" t="s">
        <v>722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8.799873032407407E-2</v>
      </c>
      <c r="AD26" s="40">
        <f t="shared" si="12"/>
        <v>-4.2503386746527774</v>
      </c>
      <c r="AE26" s="26">
        <v>-5.68</v>
      </c>
      <c r="AF26" s="26">
        <v>-6.8545499999999997</v>
      </c>
      <c r="AG26" s="26">
        <v>0</v>
      </c>
    </row>
    <row r="27" spans="1:33" ht="15.75" customHeight="1" x14ac:dyDescent="0.2">
      <c r="A27" s="15" t="s">
        <v>84</v>
      </c>
      <c r="B27" s="15" t="s">
        <v>723</v>
      </c>
      <c r="C27" s="16">
        <f t="shared" si="4"/>
        <v>25.72</v>
      </c>
      <c r="D27" s="17">
        <v>63</v>
      </c>
      <c r="E27" s="17">
        <v>1</v>
      </c>
      <c r="F27" s="18">
        <v>1620.36</v>
      </c>
      <c r="G27" s="18">
        <v>-0.08</v>
      </c>
      <c r="H27" s="32">
        <f t="shared" si="1"/>
        <v>4.9371744550593697E-5</v>
      </c>
      <c r="I27" s="32">
        <f t="shared" si="2"/>
        <v>0.35788265594412666</v>
      </c>
      <c r="J27" s="33">
        <f t="shared" si="5"/>
        <v>579.89874038562505</v>
      </c>
      <c r="K27" s="33">
        <f t="shared" si="3"/>
        <v>9.2047419108829374</v>
      </c>
      <c r="L27" s="17">
        <v>116</v>
      </c>
      <c r="M27" s="34">
        <f t="shared" si="6"/>
        <v>0.5431034482758621</v>
      </c>
      <c r="N27" s="17">
        <v>53</v>
      </c>
      <c r="O27" s="35">
        <f t="shared" ref="O27:P27" si="35">D27/7</f>
        <v>9</v>
      </c>
      <c r="P27" s="35">
        <f t="shared" si="35"/>
        <v>0.14285714285714285</v>
      </c>
      <c r="Q27" s="30">
        <f t="shared" si="8"/>
        <v>5</v>
      </c>
      <c r="R27" s="30"/>
      <c r="S27" s="22">
        <v>3.7704918032786892</v>
      </c>
      <c r="T27" s="29">
        <v>656</v>
      </c>
      <c r="U27" s="37">
        <v>208</v>
      </c>
      <c r="V27" s="38" t="s">
        <v>722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8.799873032407407E-2</v>
      </c>
      <c r="AD27" s="40">
        <f t="shared" si="12"/>
        <v>-7.6506096143749991</v>
      </c>
      <c r="AE27" s="26">
        <v>-5.68</v>
      </c>
      <c r="AF27" s="26">
        <v>-6.8545499999999997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>
        <f t="shared" si="4"/>
        <v>26.569512195121948</v>
      </c>
      <c r="D28" s="17">
        <v>41</v>
      </c>
      <c r="E28" s="17">
        <v>0</v>
      </c>
      <c r="F28" s="18">
        <v>1089.3499999999999</v>
      </c>
      <c r="G28" s="18">
        <v>-0.08</v>
      </c>
      <c r="H28" s="32">
        <f t="shared" si="1"/>
        <v>7.3438288887868919E-5</v>
      </c>
      <c r="I28" s="32">
        <f t="shared" si="2"/>
        <v>0.31420462030638835</v>
      </c>
      <c r="J28" s="33">
        <f t="shared" si="5"/>
        <v>342.27880313076412</v>
      </c>
      <c r="K28" s="33">
        <f t="shared" si="3"/>
        <v>8.3482634909942472</v>
      </c>
      <c r="L28" s="17">
        <v>88</v>
      </c>
      <c r="M28" s="34">
        <f t="shared" si="6"/>
        <v>0.46590909090909088</v>
      </c>
      <c r="N28" s="17">
        <v>7</v>
      </c>
      <c r="O28" s="35">
        <f t="shared" ref="O28:P28" si="36">D28/7</f>
        <v>5.8571428571428568</v>
      </c>
      <c r="P28" s="35">
        <f t="shared" si="36"/>
        <v>0</v>
      </c>
      <c r="Q28" s="30">
        <f t="shared" si="8"/>
        <v>1</v>
      </c>
      <c r="R28" s="30"/>
      <c r="S28" s="22">
        <v>3.3313069908814592</v>
      </c>
      <c r="T28" s="15">
        <v>448</v>
      </c>
      <c r="U28" s="23">
        <v>208</v>
      </c>
      <c r="V28" s="1" t="s">
        <v>724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8.799873032407407E-2</v>
      </c>
      <c r="AD28" s="40">
        <f t="shared" si="12"/>
        <v>-4.9789681617361108</v>
      </c>
      <c r="AE28" s="26">
        <v>-5.68</v>
      </c>
      <c r="AF28" s="26">
        <v>-8.4324324074999897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>
        <f t="shared" si="4"/>
        <v>25.99</v>
      </c>
      <c r="D29" s="17">
        <v>1</v>
      </c>
      <c r="E29" s="17">
        <v>0</v>
      </c>
      <c r="F29" s="18">
        <v>25.99</v>
      </c>
      <c r="G29" s="18">
        <v>0</v>
      </c>
      <c r="H29" s="32">
        <f t="shared" si="1"/>
        <v>0</v>
      </c>
      <c r="I29" s="32">
        <f t="shared" si="2"/>
        <v>0.3228055875203073</v>
      </c>
      <c r="J29" s="33">
        <f t="shared" si="5"/>
        <v>8.3897172196527858</v>
      </c>
      <c r="K29" s="33">
        <f t="shared" si="3"/>
        <v>8.3897172196527858</v>
      </c>
      <c r="L29" s="17">
        <v>5</v>
      </c>
      <c r="M29" s="34">
        <f t="shared" si="6"/>
        <v>0.2</v>
      </c>
      <c r="N29" s="17">
        <v>0</v>
      </c>
      <c r="O29" s="35">
        <f t="shared" ref="O29:P29" si="37">D29/7</f>
        <v>0.14285714285714285</v>
      </c>
      <c r="P29" s="35">
        <f t="shared" si="37"/>
        <v>0</v>
      </c>
      <c r="Q29" s="30">
        <f t="shared" si="8"/>
        <v>0</v>
      </c>
      <c r="R29" s="30"/>
      <c r="S29" s="22">
        <v>0</v>
      </c>
      <c r="T29" s="15" t="s">
        <v>34</v>
      </c>
      <c r="U29" s="23">
        <v>208</v>
      </c>
      <c r="V29" s="1" t="s">
        <v>724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8.799873032407407E-2</v>
      </c>
      <c r="AD29" s="40">
        <f t="shared" si="12"/>
        <v>-0.12143824784722221</v>
      </c>
      <c r="AE29" s="26">
        <v>-5.68</v>
      </c>
      <c r="AF29" s="26">
        <v>-7.9003445324999904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>
        <v>368</v>
      </c>
      <c r="V30" s="1" t="s">
        <v>725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8.799873032407407E-2</v>
      </c>
      <c r="AD30" s="40">
        <f t="shared" si="12"/>
        <v>0</v>
      </c>
      <c r="AE30" s="26">
        <v>-5.68</v>
      </c>
      <c r="AF30" s="26">
        <v>-7.4020706576562398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>
        <v>288</v>
      </c>
      <c r="U31" s="23">
        <v>368</v>
      </c>
      <c r="V31" s="1" t="s">
        <v>726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8.799873032407407E-2</v>
      </c>
      <c r="AD31" s="40">
        <f t="shared" si="12"/>
        <v>0</v>
      </c>
      <c r="AE31" s="26">
        <v>-5.68</v>
      </c>
      <c r="AF31" s="43">
        <v>-7.4020706576562487</v>
      </c>
      <c r="AG31" s="26">
        <v>0</v>
      </c>
    </row>
    <row r="32" spans="1:33" ht="15.75" customHeight="1" x14ac:dyDescent="0.2">
      <c r="A32" s="15" t="s">
        <v>96</v>
      </c>
      <c r="B32" s="44" t="s">
        <v>54</v>
      </c>
      <c r="C32" s="16">
        <f t="shared" si="4"/>
        <v>26.79615384615385</v>
      </c>
      <c r="D32" s="17">
        <v>13</v>
      </c>
      <c r="E32" s="17">
        <v>0</v>
      </c>
      <c r="F32" s="18">
        <v>348.35</v>
      </c>
      <c r="G32" s="18">
        <v>-0.08</v>
      </c>
      <c r="H32" s="32">
        <f t="shared" si="1"/>
        <v>2.2965408353667287E-4</v>
      </c>
      <c r="I32" s="32">
        <f t="shared" si="2"/>
        <v>0.35703138862768774</v>
      </c>
      <c r="J32" s="33">
        <f t="shared" si="5"/>
        <v>124.37188422845503</v>
      </c>
      <c r="K32" s="33">
        <f t="shared" si="3"/>
        <v>9.5670680175734635</v>
      </c>
      <c r="L32" s="17">
        <v>59</v>
      </c>
      <c r="M32" s="34">
        <f t="shared" si="6"/>
        <v>0.22033898305084745</v>
      </c>
      <c r="N32" s="17">
        <v>58</v>
      </c>
      <c r="O32" s="35">
        <f t="shared" ref="O32:P32" si="40">D32/7</f>
        <v>1.8571428571428572</v>
      </c>
      <c r="P32" s="35">
        <f t="shared" si="40"/>
        <v>0</v>
      </c>
      <c r="Q32" s="30">
        <f t="shared" si="8"/>
        <v>31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2.9154228855721391</v>
      </c>
      <c r="T32" s="15">
        <f ca="1">IFERROR(__xludf.DUMMYFUNCTION("IFERROR(VLOOKUP($B$2,IMPORTRANGE(""https://docs.google.com/spreadsheets/d/1KiWZV1ko8G7lnRucBRBd29jj3Be6ltMfljMDqzOkQmI/edit#gid=1381463014"",""Lookup!A:D""),4,FALSE),"""")"),288)</f>
        <v>288</v>
      </c>
      <c r="U32" s="23">
        <f ca="1">IFERROR(__xludf.DUMMYFUNCTION("IFERROR(VLOOKUP($B$2,IMPORTRANGE(""https://docs.google.com/spreadsheets/d/1KiWZV1ko8G7lnRucBRBd29jj3Be6ltMfljMDqzOkQmI/edit#gid=1381463014"",""Lookup!A:D""),3,FALSE),"""")"),208)</f>
        <v>208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- 208 units 08/09| S210707  - 160 units 09/17")</f>
        <v>| AGL216  - 208 units 08/09| S210707  - 160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8.799873032407407E-2</v>
      </c>
      <c r="AD32" s="40">
        <f t="shared" si="12"/>
        <v>-1.5786972220138886</v>
      </c>
      <c r="AE32" s="26">
        <v>-5.68</v>
      </c>
      <c r="AF32" s="26">
        <v>-7.4020706576562398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91.1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Natural Wood Stands, 4 Pack - 8x10 Inch Small Table Number Holders Set")</f>
        <v>Mini Acrylic Sign Holders with Natural Wood Stands, 4 Pack - 8x10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Info!B1:BJ5000""),2,FALSE),"""")"),"B07XGMGNPH")</f>
        <v>B07XGMGNPH</v>
      </c>
      <c r="B2" s="3" t="s">
        <v>727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105" customHeight="1" x14ac:dyDescent="0.2">
      <c r="A3" s="57" t="s">
        <v>31</v>
      </c>
      <c r="B3" s="58"/>
      <c r="C3" s="4">
        <f>((AE32+AF32)/0.85)*-1</f>
        <v>15.390671361948517</v>
      </c>
      <c r="D3" s="5">
        <f>SUM(D4:D99519)</f>
        <v>302</v>
      </c>
      <c r="E3" s="5"/>
      <c r="F3" s="6">
        <f t="shared" ref="F3:G3" si="0">SUM(F4:F99519)</f>
        <v>7198.5700000000006</v>
      </c>
      <c r="G3" s="6">
        <f t="shared" si="0"/>
        <v>-2.09</v>
      </c>
      <c r="H3" s="7">
        <f t="shared" ref="H3:H32" si="1">G3/F3*-1</f>
        <v>2.903354416224333E-4</v>
      </c>
      <c r="I3" s="8">
        <f t="shared" ref="I3:I32" si="2">J3/F3</f>
        <v>0.31524454562276094</v>
      </c>
      <c r="J3" s="6">
        <f>SUM(J4:J99519)</f>
        <v>2269.3099287836385</v>
      </c>
      <c r="K3" s="6">
        <f t="shared" ref="K3:K32" si="3">J3/D3</f>
        <v>7.5142712873630417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Sheet!a1:g5000""),2,FALSE),"""")"),"3.0 - March
3.0 - April
3.0 - May
3.0 - June
3.0 - July
3.0 - Aug
3.0 - Sept
3.0 - Oct
3.0 - Nov
3.0 - Dec
2 - Jan
3.0 - Feb")</f>
        <v>3.0 - March
3.0 - April
3.0 - May
3.0 - June
3.0 - July
3.0 - Aug
3.0 - Sept
3.0 - Oct
3.0 - Nov
3.0 - Dec
2 - Jan
3.0 -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1</v>
      </c>
      <c r="X3" s="7">
        <f>W3/D3</f>
        <v>3.3112582781456954E-3</v>
      </c>
      <c r="Y3" s="6"/>
      <c r="Z3" s="5"/>
      <c r="AA3" s="5"/>
      <c r="AB3" s="5"/>
      <c r="AC3" s="5"/>
      <c r="AD3" s="6">
        <f>SUM(AD4:AD99519)</f>
        <v>-43.825957847624565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Info!B2:BZ3000""),37,FALSE)),"""")*-1"),-7.40207065765624)</f>
        <v>-7.4020706576562398</v>
      </c>
      <c r="AG3" s="6">
        <f>SUM(AG4:AG99519)</f>
        <v>0</v>
      </c>
    </row>
    <row r="4" spans="1:33" ht="15.75" customHeight="1" x14ac:dyDescent="0.2">
      <c r="A4" s="15" t="s">
        <v>32</v>
      </c>
      <c r="B4" s="15" t="s">
        <v>102</v>
      </c>
      <c r="C4" s="16">
        <f t="shared" ref="C4:C32" si="4">IFERROR(F4/D4," - ")</f>
        <v>20.073636363636368</v>
      </c>
      <c r="D4" s="17">
        <v>11</v>
      </c>
      <c r="E4" s="17">
        <v>0</v>
      </c>
      <c r="F4" s="18">
        <v>220.81000000000003</v>
      </c>
      <c r="G4" s="18">
        <v>-0.14000000000000001</v>
      </c>
      <c r="H4" s="19">
        <f t="shared" si="1"/>
        <v>6.3402925592138037E-4</v>
      </c>
      <c r="I4" s="19">
        <f t="shared" si="2"/>
        <v>0.23816259410283136</v>
      </c>
      <c r="J4" s="18">
        <f t="shared" ref="J4:J32" si="5">F4*0.85+G4+AF4*D4+D4*AE4+AG4+AD4</f>
        <v>52.5886824038462</v>
      </c>
      <c r="K4" s="18">
        <f t="shared" si="3"/>
        <v>4.7807893094405634</v>
      </c>
      <c r="L4" s="17">
        <v>36</v>
      </c>
      <c r="M4" s="20">
        <f t="shared" ref="M4:M32" si="6">IFERROR(D4/L4,"-")</f>
        <v>0.30555555555555558</v>
      </c>
      <c r="N4" s="17">
        <v>98</v>
      </c>
      <c r="O4" s="21">
        <f t="shared" ref="O4:P4" si="7">D4/7</f>
        <v>1.5714285714285714</v>
      </c>
      <c r="P4" s="21">
        <f t="shared" si="7"/>
        <v>0</v>
      </c>
      <c r="Q4" s="17">
        <f t="shared" ref="Q4:Q32" si="8">ROUNDDOWN(N4/(O4+P4),0)</f>
        <v>62</v>
      </c>
      <c r="R4" s="17"/>
      <c r="S4" s="22">
        <v>1.06930693069306</v>
      </c>
      <c r="T4" s="15">
        <v>304</v>
      </c>
      <c r="U4" s="23">
        <v>96</v>
      </c>
      <c r="V4" s="24" t="s">
        <v>728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0.10514583333333336</v>
      </c>
      <c r="AD4" s="26">
        <f t="shared" ref="AD4:AD32" si="12">IFERROR(AB4*AC4*D4*2,0)</f>
        <v>-1.5961137500000002</v>
      </c>
      <c r="AE4" s="26">
        <v>-5.42</v>
      </c>
      <c r="AF4" s="26">
        <v>-6.7039730769230772</v>
      </c>
      <c r="AG4" s="26">
        <v>0</v>
      </c>
    </row>
    <row r="5" spans="1:33" ht="15.75" customHeight="1" x14ac:dyDescent="0.2">
      <c r="A5" s="29" t="s">
        <v>36</v>
      </c>
      <c r="B5" s="29" t="s">
        <v>729</v>
      </c>
      <c r="C5" s="16">
        <f t="shared" si="4"/>
        <v>20.127500000000001</v>
      </c>
      <c r="D5" s="30">
        <v>32</v>
      </c>
      <c r="E5" s="30">
        <v>1</v>
      </c>
      <c r="F5" s="31">
        <v>644.08000000000004</v>
      </c>
      <c r="G5" s="31">
        <v>-0.21000000000000002</v>
      </c>
      <c r="H5" s="32">
        <f t="shared" si="1"/>
        <v>3.2604645385666376E-4</v>
      </c>
      <c r="I5" s="32">
        <f t="shared" si="2"/>
        <v>0.24009787788913955</v>
      </c>
      <c r="J5" s="33">
        <f t="shared" si="5"/>
        <v>154.64224119083701</v>
      </c>
      <c r="K5" s="33">
        <f t="shared" si="3"/>
        <v>4.8325700372136566</v>
      </c>
      <c r="L5" s="30">
        <v>107</v>
      </c>
      <c r="M5" s="34">
        <f t="shared" si="6"/>
        <v>0.29906542056074764</v>
      </c>
      <c r="N5" s="30">
        <v>68</v>
      </c>
      <c r="O5" s="35">
        <f t="shared" ref="O5:P5" si="13">D5/7</f>
        <v>4.5714285714285712</v>
      </c>
      <c r="P5" s="35">
        <f t="shared" si="13"/>
        <v>0.14285714285714285</v>
      </c>
      <c r="Q5" s="30">
        <f t="shared" si="8"/>
        <v>14</v>
      </c>
      <c r="R5" s="30"/>
      <c r="S5" s="36">
        <v>0.97560975609756095</v>
      </c>
      <c r="T5" s="29">
        <v>304</v>
      </c>
      <c r="U5" s="37">
        <v>96</v>
      </c>
      <c r="V5" s="38" t="s">
        <v>730</v>
      </c>
      <c r="W5" s="29">
        <v>1</v>
      </c>
      <c r="X5" s="39">
        <f t="shared" si="9"/>
        <v>3.125E-2</v>
      </c>
      <c r="Y5" s="40">
        <f t="shared" si="10"/>
        <v>0.21000000000000002</v>
      </c>
      <c r="Z5" s="29">
        <v>0</v>
      </c>
      <c r="AA5" s="29" t="s">
        <v>35</v>
      </c>
      <c r="AB5" s="41">
        <f t="shared" si="11"/>
        <v>-0.69</v>
      </c>
      <c r="AC5" s="42">
        <v>0.10526767091541138</v>
      </c>
      <c r="AD5" s="40">
        <f t="shared" si="12"/>
        <v>-4.6486203476245658</v>
      </c>
      <c r="AE5" s="40">
        <v>-5.42</v>
      </c>
      <c r="AF5" s="40">
        <v>-6.7039730769230772</v>
      </c>
      <c r="AG5" s="40">
        <v>0</v>
      </c>
    </row>
    <row r="6" spans="1:33" ht="15.75" customHeight="1" x14ac:dyDescent="0.2">
      <c r="A6" s="29" t="s">
        <v>38</v>
      </c>
      <c r="B6" s="29" t="s">
        <v>731</v>
      </c>
      <c r="C6" s="16">
        <f t="shared" si="4"/>
        <v>21.674074074074074</v>
      </c>
      <c r="D6" s="30">
        <v>27</v>
      </c>
      <c r="E6" s="30">
        <v>0</v>
      </c>
      <c r="F6" s="31">
        <v>585.20000000000005</v>
      </c>
      <c r="G6" s="31">
        <v>-0.08</v>
      </c>
      <c r="H6" s="32">
        <f t="shared" si="1"/>
        <v>1.3670539986329459E-4</v>
      </c>
      <c r="I6" s="32">
        <f t="shared" si="2"/>
        <v>0.28379185436274257</v>
      </c>
      <c r="J6" s="33">
        <f t="shared" si="5"/>
        <v>166.07499317307696</v>
      </c>
      <c r="K6" s="33">
        <f t="shared" si="3"/>
        <v>6.1509256730769248</v>
      </c>
      <c r="L6" s="30">
        <v>90</v>
      </c>
      <c r="M6" s="34">
        <f t="shared" si="6"/>
        <v>0.3</v>
      </c>
      <c r="N6" s="30">
        <v>39</v>
      </c>
      <c r="O6" s="35">
        <f t="shared" ref="O6:P6" si="14">D6/7</f>
        <v>3.8571428571428572</v>
      </c>
      <c r="P6" s="35">
        <f t="shared" si="14"/>
        <v>0</v>
      </c>
      <c r="Q6" s="30">
        <f t="shared" si="8"/>
        <v>10</v>
      </c>
      <c r="R6" s="30"/>
      <c r="S6" s="36">
        <v>2.1104294478527601</v>
      </c>
      <c r="T6" s="29">
        <v>304</v>
      </c>
      <c r="U6" s="37">
        <v>96</v>
      </c>
      <c r="V6" s="38" t="s">
        <v>732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0.10514583333333336</v>
      </c>
      <c r="AD6" s="40">
        <f t="shared" si="12"/>
        <v>-3.9177337500000005</v>
      </c>
      <c r="AE6" s="40">
        <v>-5.42</v>
      </c>
      <c r="AF6" s="40">
        <v>-6.7039730769230772</v>
      </c>
      <c r="AG6" s="40">
        <v>0</v>
      </c>
    </row>
    <row r="7" spans="1:33" ht="15.75" customHeight="1" x14ac:dyDescent="0.2">
      <c r="A7" s="29" t="s">
        <v>41</v>
      </c>
      <c r="B7" s="29" t="s">
        <v>733</v>
      </c>
      <c r="C7" s="16">
        <f t="shared" si="4"/>
        <v>22.738333333333333</v>
      </c>
      <c r="D7" s="30">
        <v>24</v>
      </c>
      <c r="E7" s="30">
        <v>0</v>
      </c>
      <c r="F7" s="31">
        <v>545.72</v>
      </c>
      <c r="G7" s="31">
        <v>-7.0000000000000007E-2</v>
      </c>
      <c r="H7" s="32">
        <f t="shared" si="1"/>
        <v>1.2827090815802975E-4</v>
      </c>
      <c r="I7" s="32">
        <f t="shared" si="2"/>
        <v>0.31029505268974233</v>
      </c>
      <c r="J7" s="33">
        <f t="shared" si="5"/>
        <v>169.3342161538462</v>
      </c>
      <c r="K7" s="33">
        <f t="shared" si="3"/>
        <v>7.0555923397435913</v>
      </c>
      <c r="L7" s="30">
        <v>97</v>
      </c>
      <c r="M7" s="34">
        <f t="shared" si="6"/>
        <v>0.24742268041237114</v>
      </c>
      <c r="N7" s="30">
        <v>15</v>
      </c>
      <c r="O7" s="35">
        <f t="shared" ref="O7:P7" si="15">D7/7</f>
        <v>3.4285714285714284</v>
      </c>
      <c r="P7" s="35">
        <f t="shared" si="15"/>
        <v>0</v>
      </c>
      <c r="Q7" s="30">
        <f t="shared" si="8"/>
        <v>4</v>
      </c>
      <c r="R7" s="30"/>
      <c r="S7" s="36">
        <v>3.40625</v>
      </c>
      <c r="T7" s="29">
        <v>512</v>
      </c>
      <c r="U7" s="37">
        <v>96</v>
      </c>
      <c r="V7" s="38" t="s">
        <v>734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0.10514583333333336</v>
      </c>
      <c r="AD7" s="40">
        <f t="shared" si="12"/>
        <v>-3.4824300000000004</v>
      </c>
      <c r="AE7" s="40">
        <v>-5.42</v>
      </c>
      <c r="AF7" s="40">
        <v>-6.7039730769230772</v>
      </c>
      <c r="AG7" s="40">
        <v>0</v>
      </c>
    </row>
    <row r="8" spans="1:33" ht="15.75" customHeight="1" x14ac:dyDescent="0.2">
      <c r="A8" s="29" t="s">
        <v>44</v>
      </c>
      <c r="B8" s="29" t="s">
        <v>700</v>
      </c>
      <c r="C8" s="16">
        <f t="shared" si="4"/>
        <v>23.224545454545456</v>
      </c>
      <c r="D8" s="30">
        <v>11</v>
      </c>
      <c r="E8" s="30">
        <v>0</v>
      </c>
      <c r="F8" s="31">
        <v>255.47000000000003</v>
      </c>
      <c r="G8" s="31">
        <v>-0.16</v>
      </c>
      <c r="H8" s="32">
        <f t="shared" si="1"/>
        <v>6.2629662974126113E-4</v>
      </c>
      <c r="I8" s="32">
        <f t="shared" si="2"/>
        <v>0.32126428249892364</v>
      </c>
      <c r="J8" s="33">
        <f t="shared" si="5"/>
        <v>82.073386250000027</v>
      </c>
      <c r="K8" s="33">
        <f t="shared" si="3"/>
        <v>7.4612169318181847</v>
      </c>
      <c r="L8" s="30">
        <v>56</v>
      </c>
      <c r="M8" s="34">
        <f t="shared" si="6"/>
        <v>0.19642857142857142</v>
      </c>
      <c r="N8" s="30">
        <v>0</v>
      </c>
      <c r="O8" s="35">
        <f t="shared" ref="O8:P8" si="16">D8/7</f>
        <v>1.5714285714285714</v>
      </c>
      <c r="P8" s="35">
        <f t="shared" si="16"/>
        <v>0</v>
      </c>
      <c r="Q8" s="30">
        <f t="shared" si="8"/>
        <v>0</v>
      </c>
      <c r="R8" s="30"/>
      <c r="S8" s="36" t="e">
        <v>#N/A</v>
      </c>
      <c r="T8" s="29">
        <v>512</v>
      </c>
      <c r="U8" s="37">
        <v>96</v>
      </c>
      <c r="V8" s="38" t="s">
        <v>735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0.10514583333333336</v>
      </c>
      <c r="AD8" s="40">
        <f t="shared" si="12"/>
        <v>-1.5961137500000002</v>
      </c>
      <c r="AE8" s="40">
        <v>-5.42</v>
      </c>
      <c r="AF8" s="40">
        <v>-6.7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512</v>
      </c>
      <c r="U9" s="37">
        <v>96</v>
      </c>
      <c r="V9" s="38" t="s">
        <v>736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-6.8026269230769199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208</v>
      </c>
      <c r="U10" s="37">
        <v>192</v>
      </c>
      <c r="V10" s="38" t="s">
        <v>737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-6.8026269230769199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208</v>
      </c>
      <c r="U11" s="37">
        <v>192</v>
      </c>
      <c r="V11" s="38" t="s">
        <v>738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-6.8026269230769199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208</v>
      </c>
      <c r="U12" s="37">
        <v>192</v>
      </c>
      <c r="V12" s="38" t="s">
        <v>737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-6.8026269230769199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208</v>
      </c>
      <c r="U13" s="37">
        <v>192</v>
      </c>
      <c r="V13" s="38" t="s">
        <v>737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-6.8545499999999997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128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-6.8545499999999997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128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-6.8545499999999997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128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-6.8545499999999997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128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-6.8545499999999997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128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-6.8545499999999997</v>
      </c>
      <c r="AG18" s="40">
        <v>0</v>
      </c>
    </row>
    <row r="19" spans="1:33" ht="15.75" customHeight="1" x14ac:dyDescent="0.2">
      <c r="A19" s="29" t="s">
        <v>71</v>
      </c>
      <c r="B19" s="29" t="s">
        <v>739</v>
      </c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32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128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e">
        <v>#N/A</v>
      </c>
      <c r="AB19" s="41" t="e">
        <f t="shared" si="11"/>
        <v>#N/A</v>
      </c>
      <c r="AC19" s="42" t="e">
        <v>#N/A</v>
      </c>
      <c r="AD19" s="40">
        <f t="shared" si="12"/>
        <v>0</v>
      </c>
      <c r="AE19" s="40">
        <v>0</v>
      </c>
      <c r="AF19" s="40">
        <v>-6.8545500000000006</v>
      </c>
      <c r="AG19" s="40">
        <v>0</v>
      </c>
    </row>
    <row r="20" spans="1:33" ht="15.75" customHeight="1" x14ac:dyDescent="0.2">
      <c r="A20" s="29" t="s">
        <v>74</v>
      </c>
      <c r="B20" s="29" t="s">
        <v>716</v>
      </c>
      <c r="C20" s="16">
        <f t="shared" si="4"/>
        <v>25.990000000000002</v>
      </c>
      <c r="D20" s="30">
        <v>16</v>
      </c>
      <c r="E20" s="30">
        <v>0</v>
      </c>
      <c r="F20" s="33">
        <v>415.84000000000003</v>
      </c>
      <c r="G20" s="31">
        <v>-0.08</v>
      </c>
      <c r="H20" s="32">
        <f t="shared" si="1"/>
        <v>1.9238168526356289E-4</v>
      </c>
      <c r="I20" s="32">
        <f t="shared" si="2"/>
        <v>0.37194493074259333</v>
      </c>
      <c r="J20" s="33">
        <f t="shared" si="5"/>
        <v>154.66958000000002</v>
      </c>
      <c r="K20" s="33">
        <f t="shared" si="3"/>
        <v>9.6668487500000015</v>
      </c>
      <c r="L20" s="30">
        <v>27</v>
      </c>
      <c r="M20" s="34">
        <f t="shared" si="6"/>
        <v>0.59259259259259256</v>
      </c>
      <c r="N20" s="30">
        <v>113</v>
      </c>
      <c r="O20" s="35">
        <f t="shared" ref="O20:P20" si="28">D20/7</f>
        <v>2.2857142857142856</v>
      </c>
      <c r="P20" s="35">
        <f t="shared" si="28"/>
        <v>0</v>
      </c>
      <c r="Q20" s="30">
        <f t="shared" si="8"/>
        <v>49</v>
      </c>
      <c r="R20" s="30"/>
      <c r="S20" s="36">
        <v>0.57142857142857095</v>
      </c>
      <c r="T20" s="29">
        <v>400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0.10514583333333336</v>
      </c>
      <c r="AD20" s="40">
        <f t="shared" si="12"/>
        <v>-2.3216200000000002</v>
      </c>
      <c r="AE20" s="40">
        <v>-5.42</v>
      </c>
      <c r="AF20" s="40">
        <v>-6.8545500000000006</v>
      </c>
      <c r="AG20" s="40">
        <v>0</v>
      </c>
    </row>
    <row r="21" spans="1:33" ht="15.75" customHeight="1" x14ac:dyDescent="0.2">
      <c r="A21" s="29" t="s">
        <v>75</v>
      </c>
      <c r="B21" s="29" t="s">
        <v>54</v>
      </c>
      <c r="C21" s="16">
        <f t="shared" si="4"/>
        <v>27.055454545454548</v>
      </c>
      <c r="D21" s="30">
        <v>11</v>
      </c>
      <c r="E21" s="30">
        <v>0</v>
      </c>
      <c r="F21" s="33">
        <v>297.61</v>
      </c>
      <c r="G21" s="31">
        <v>-0.13</v>
      </c>
      <c r="H21" s="32">
        <f t="shared" si="1"/>
        <v>4.3681327912368535E-4</v>
      </c>
      <c r="I21" s="32">
        <f t="shared" si="2"/>
        <v>0.39051892157521584</v>
      </c>
      <c r="J21" s="33">
        <f t="shared" si="5"/>
        <v>116.22233624999998</v>
      </c>
      <c r="K21" s="33">
        <f t="shared" si="3"/>
        <v>10.56566693181818</v>
      </c>
      <c r="L21" s="30">
        <v>12</v>
      </c>
      <c r="M21" s="34">
        <f t="shared" si="6"/>
        <v>0.91666666666666663</v>
      </c>
      <c r="N21" s="30">
        <v>166</v>
      </c>
      <c r="O21" s="35">
        <f t="shared" ref="O21:P21" si="29">D21/7</f>
        <v>1.5714285714285714</v>
      </c>
      <c r="P21" s="35">
        <f t="shared" si="29"/>
        <v>0</v>
      </c>
      <c r="Q21" s="30">
        <f t="shared" si="8"/>
        <v>105</v>
      </c>
      <c r="R21" s="30"/>
      <c r="S21" s="36">
        <v>0.5</v>
      </c>
      <c r="T21" s="29">
        <v>400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0.10514583333333336</v>
      </c>
      <c r="AD21" s="40">
        <f t="shared" si="12"/>
        <v>-1.5961137500000002</v>
      </c>
      <c r="AE21" s="40">
        <v>-5.42</v>
      </c>
      <c r="AF21" s="40">
        <v>-6.8545500000000006</v>
      </c>
      <c r="AG21" s="40">
        <v>0</v>
      </c>
    </row>
    <row r="22" spans="1:33" ht="15.75" customHeight="1" x14ac:dyDescent="0.2">
      <c r="A22" s="29" t="s">
        <v>76</v>
      </c>
      <c r="B22" s="29" t="s">
        <v>54</v>
      </c>
      <c r="C22" s="16">
        <f t="shared" si="4"/>
        <v>26.12142857142857</v>
      </c>
      <c r="D22" s="30">
        <v>14</v>
      </c>
      <c r="E22" s="30">
        <v>0</v>
      </c>
      <c r="F22" s="31">
        <v>365.7</v>
      </c>
      <c r="G22" s="31">
        <v>-0.16</v>
      </c>
      <c r="H22" s="32">
        <f t="shared" si="1"/>
        <v>4.375170905113481E-4</v>
      </c>
      <c r="I22" s="32">
        <f t="shared" si="2"/>
        <v>0.37410413590374608</v>
      </c>
      <c r="J22" s="33">
        <f t="shared" si="5"/>
        <v>136.80988249999993</v>
      </c>
      <c r="K22" s="33">
        <f t="shared" si="3"/>
        <v>9.7721344642857098</v>
      </c>
      <c r="L22" s="30">
        <v>82</v>
      </c>
      <c r="M22" s="34">
        <f t="shared" si="6"/>
        <v>0.17073170731707318</v>
      </c>
      <c r="N22" s="30">
        <v>144</v>
      </c>
      <c r="O22" s="35">
        <f t="shared" ref="O22:P22" si="30">D22/7</f>
        <v>2</v>
      </c>
      <c r="P22" s="35">
        <f t="shared" si="30"/>
        <v>0</v>
      </c>
      <c r="Q22" s="30">
        <f t="shared" si="8"/>
        <v>72</v>
      </c>
      <c r="R22" s="30"/>
      <c r="S22" s="36">
        <v>0.95483870967741902</v>
      </c>
      <c r="T22" s="29">
        <v>400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0.10514583333333336</v>
      </c>
      <c r="AD22" s="40">
        <f t="shared" si="12"/>
        <v>-2.0314175000000003</v>
      </c>
      <c r="AE22" s="40">
        <v>-5.42</v>
      </c>
      <c r="AF22" s="40">
        <v>-6.8545500000000006</v>
      </c>
      <c r="AG22" s="40">
        <v>0</v>
      </c>
    </row>
    <row r="23" spans="1:33" ht="15.75" customHeight="1" x14ac:dyDescent="0.2">
      <c r="A23" s="29" t="s">
        <v>77</v>
      </c>
      <c r="B23" s="29" t="s">
        <v>740</v>
      </c>
      <c r="C23" s="16">
        <f t="shared" si="4"/>
        <v>28.599999999999998</v>
      </c>
      <c r="D23" s="30">
        <v>6</v>
      </c>
      <c r="E23" s="30">
        <v>0</v>
      </c>
      <c r="F23" s="33">
        <v>171.6</v>
      </c>
      <c r="G23" s="31">
        <v>-0.04</v>
      </c>
      <c r="H23" s="32">
        <f t="shared" si="1"/>
        <v>2.331002331002331E-4</v>
      </c>
      <c r="I23" s="32">
        <f t="shared" si="2"/>
        <v>0.4155133595571095</v>
      </c>
      <c r="J23" s="33">
        <f t="shared" si="5"/>
        <v>71.302092499999986</v>
      </c>
      <c r="K23" s="33">
        <f t="shared" si="3"/>
        <v>11.883682083333332</v>
      </c>
      <c r="L23" s="30">
        <v>32</v>
      </c>
      <c r="M23" s="34">
        <f t="shared" si="6"/>
        <v>0.1875</v>
      </c>
      <c r="N23" s="30">
        <v>139</v>
      </c>
      <c r="O23" s="35">
        <f t="shared" ref="O23:P23" si="31">D23/7</f>
        <v>0.8571428571428571</v>
      </c>
      <c r="P23" s="35">
        <f t="shared" si="31"/>
        <v>0</v>
      </c>
      <c r="Q23" s="30">
        <f t="shared" si="8"/>
        <v>162</v>
      </c>
      <c r="R23" s="30"/>
      <c r="S23" s="36">
        <v>1.1891891891891799</v>
      </c>
      <c r="T23" s="29">
        <v>400</v>
      </c>
      <c r="U23" s="37" t="s">
        <v>34</v>
      </c>
      <c r="V23" s="38" t="s">
        <v>119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0.10514583333333336</v>
      </c>
      <c r="AD23" s="40">
        <f t="shared" si="12"/>
        <v>-0.87060750000000009</v>
      </c>
      <c r="AE23" s="40">
        <v>-5.42</v>
      </c>
      <c r="AF23" s="40">
        <v>-6.8545500000000006</v>
      </c>
      <c r="AG23" s="40">
        <v>0</v>
      </c>
    </row>
    <row r="24" spans="1:33" ht="15.75" customHeight="1" x14ac:dyDescent="0.2">
      <c r="A24" s="29" t="s">
        <v>79</v>
      </c>
      <c r="B24" s="29" t="s">
        <v>741</v>
      </c>
      <c r="C24" s="16">
        <f t="shared" si="4"/>
        <v>24.743571428571432</v>
      </c>
      <c r="D24" s="30">
        <v>14</v>
      </c>
      <c r="E24" s="30">
        <v>0</v>
      </c>
      <c r="F24" s="33">
        <v>346.41</v>
      </c>
      <c r="G24" s="33">
        <v>-0.18</v>
      </c>
      <c r="H24" s="32">
        <f t="shared" si="1"/>
        <v>5.1961548454143927E-4</v>
      </c>
      <c r="I24" s="32">
        <f t="shared" si="2"/>
        <v>0.34754592101844634</v>
      </c>
      <c r="J24" s="33">
        <f t="shared" si="5"/>
        <v>120.3933825</v>
      </c>
      <c r="K24" s="33">
        <f t="shared" si="3"/>
        <v>8.599527321428571</v>
      </c>
      <c r="L24" s="30">
        <v>24</v>
      </c>
      <c r="M24" s="34">
        <f t="shared" si="6"/>
        <v>0.58333333333333337</v>
      </c>
      <c r="N24" s="30">
        <v>134</v>
      </c>
      <c r="O24" s="35">
        <f t="shared" ref="O24:P24" si="32">D24/7</f>
        <v>2</v>
      </c>
      <c r="P24" s="35">
        <f t="shared" si="32"/>
        <v>0</v>
      </c>
      <c r="Q24" s="30">
        <f t="shared" si="8"/>
        <v>67</v>
      </c>
      <c r="R24" s="30"/>
      <c r="S24" s="36">
        <v>1.22033898305084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Summary!A1:AD5000""),9,FALSE),"""")"),400)</f>
        <v>400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Summary!A1:AD5000""),28,FALSE),"""")"),128)</f>
        <v>128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128 - 08/09/21")</f>
        <v xml:space="preserve"> | AGL216: 128 - 08/09/21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0.10514583333333336</v>
      </c>
      <c r="AD24" s="40">
        <f t="shared" si="12"/>
        <v>-2.0314175000000003</v>
      </c>
      <c r="AE24" s="40">
        <v>-5.42</v>
      </c>
      <c r="AF24" s="40">
        <v>-6.8545500000000006</v>
      </c>
      <c r="AG24" s="40">
        <v>0</v>
      </c>
    </row>
    <row r="25" spans="1:33" ht="15.75" customHeight="1" x14ac:dyDescent="0.2">
      <c r="A25" s="15" t="s">
        <v>81</v>
      </c>
      <c r="B25" s="29" t="s">
        <v>741</v>
      </c>
      <c r="C25" s="16">
        <f t="shared" si="4"/>
        <v>24.031176470588235</v>
      </c>
      <c r="D25" s="17">
        <v>17</v>
      </c>
      <c r="E25" s="17">
        <v>0</v>
      </c>
      <c r="F25" s="18">
        <v>408.53</v>
      </c>
      <c r="G25" s="18">
        <v>-0.32</v>
      </c>
      <c r="H25" s="32">
        <f t="shared" si="1"/>
        <v>7.8329620835679151E-4</v>
      </c>
      <c r="I25" s="32">
        <f t="shared" si="2"/>
        <v>0.33259192409370186</v>
      </c>
      <c r="J25" s="33">
        <f t="shared" si="5"/>
        <v>135.87377875000001</v>
      </c>
      <c r="K25" s="33">
        <f t="shared" si="3"/>
        <v>7.9925752205882361</v>
      </c>
      <c r="L25" s="17">
        <v>47</v>
      </c>
      <c r="M25" s="34">
        <f t="shared" si="6"/>
        <v>0.36170212765957449</v>
      </c>
      <c r="N25" s="17">
        <v>111</v>
      </c>
      <c r="O25" s="35">
        <f t="shared" ref="O25:P25" si="33">D25/7</f>
        <v>2.4285714285714284</v>
      </c>
      <c r="P25" s="35">
        <f t="shared" si="33"/>
        <v>0</v>
      </c>
      <c r="Q25" s="30">
        <f t="shared" si="8"/>
        <v>45</v>
      </c>
      <c r="R25" s="30"/>
      <c r="S25" s="36">
        <v>1.22033898305084</v>
      </c>
      <c r="T25" s="29">
        <v>400</v>
      </c>
      <c r="U25" s="37" t="s">
        <v>34</v>
      </c>
      <c r="V25" s="38" t="s">
        <v>122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0.10514583333333336</v>
      </c>
      <c r="AD25" s="40">
        <f t="shared" si="12"/>
        <v>-2.4667212500000004</v>
      </c>
      <c r="AE25" s="26">
        <v>-5.42</v>
      </c>
      <c r="AF25" s="26">
        <v>-6.85</v>
      </c>
      <c r="AG25" s="26">
        <v>0</v>
      </c>
    </row>
    <row r="26" spans="1:33" ht="15.75" customHeight="1" x14ac:dyDescent="0.2">
      <c r="A26" s="15" t="s">
        <v>83</v>
      </c>
      <c r="B26" s="29" t="s">
        <v>741</v>
      </c>
      <c r="C26" s="16">
        <f t="shared" si="4"/>
        <v>24.008333333333333</v>
      </c>
      <c r="D26" s="17">
        <v>18</v>
      </c>
      <c r="E26" s="17">
        <v>0</v>
      </c>
      <c r="F26" s="18">
        <v>432.15</v>
      </c>
      <c r="G26" s="18">
        <v>-0.08</v>
      </c>
      <c r="H26" s="32">
        <f t="shared" si="1"/>
        <v>1.8512090709244477E-4</v>
      </c>
      <c r="I26" s="32">
        <f t="shared" si="2"/>
        <v>0.32167945736434117</v>
      </c>
      <c r="J26" s="33">
        <f t="shared" si="5"/>
        <v>139.01377750000003</v>
      </c>
      <c r="K26" s="33">
        <f t="shared" si="3"/>
        <v>7.7229876388888909</v>
      </c>
      <c r="L26" s="17">
        <v>77</v>
      </c>
      <c r="M26" s="34">
        <f t="shared" si="6"/>
        <v>0.23376623376623376</v>
      </c>
      <c r="N26" s="17">
        <v>98</v>
      </c>
      <c r="O26" s="35">
        <f t="shared" ref="O26:P26" si="34">D26/7</f>
        <v>2.5714285714285716</v>
      </c>
      <c r="P26" s="35">
        <f t="shared" si="34"/>
        <v>0</v>
      </c>
      <c r="Q26" s="30">
        <f t="shared" si="8"/>
        <v>38</v>
      </c>
      <c r="R26" s="30"/>
      <c r="S26" s="22">
        <v>1.238805970149254</v>
      </c>
      <c r="T26" s="29">
        <v>400</v>
      </c>
      <c r="U26" s="37">
        <v>128</v>
      </c>
      <c r="V26" s="38" t="s">
        <v>124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0.10514583333333336</v>
      </c>
      <c r="AD26" s="40">
        <f t="shared" si="12"/>
        <v>-2.6118225000000002</v>
      </c>
      <c r="AE26" s="26">
        <v>-5.68</v>
      </c>
      <c r="AF26" s="26">
        <v>-6.8545499999999997</v>
      </c>
      <c r="AG26" s="26">
        <v>0</v>
      </c>
    </row>
    <row r="27" spans="1:33" ht="15.75" customHeight="1" x14ac:dyDescent="0.2">
      <c r="A27" s="15" t="s">
        <v>84</v>
      </c>
      <c r="B27" s="15" t="s">
        <v>54</v>
      </c>
      <c r="C27" s="16">
        <f t="shared" si="4"/>
        <v>24.018499999999996</v>
      </c>
      <c r="D27" s="17">
        <v>20</v>
      </c>
      <c r="E27" s="17">
        <v>0</v>
      </c>
      <c r="F27" s="18">
        <v>480.36999999999989</v>
      </c>
      <c r="G27" s="18">
        <v>-0.16</v>
      </c>
      <c r="H27" s="32">
        <f t="shared" si="1"/>
        <v>3.3307658679767688E-4</v>
      </c>
      <c r="I27" s="32">
        <f t="shared" si="2"/>
        <v>0.32175505339634008</v>
      </c>
      <c r="J27" s="33">
        <f t="shared" si="5"/>
        <v>154.56147499999986</v>
      </c>
      <c r="K27" s="33">
        <f t="shared" si="3"/>
        <v>7.728073749999993</v>
      </c>
      <c r="L27" s="17">
        <v>62</v>
      </c>
      <c r="M27" s="34">
        <f t="shared" si="6"/>
        <v>0.32258064516129031</v>
      </c>
      <c r="N27" s="17">
        <v>81</v>
      </c>
      <c r="O27" s="35">
        <f t="shared" ref="O27:P27" si="35">D27/7</f>
        <v>2.8571428571428572</v>
      </c>
      <c r="P27" s="35">
        <f t="shared" si="35"/>
        <v>0</v>
      </c>
      <c r="Q27" s="30">
        <f t="shared" si="8"/>
        <v>28</v>
      </c>
      <c r="R27" s="30"/>
      <c r="S27" s="22">
        <v>1.8620689655172411</v>
      </c>
      <c r="T27" s="29">
        <v>400</v>
      </c>
      <c r="U27" s="37">
        <v>128</v>
      </c>
      <c r="V27" s="38" t="s">
        <v>124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0.10514583333333336</v>
      </c>
      <c r="AD27" s="40">
        <f t="shared" si="12"/>
        <v>-2.9020250000000001</v>
      </c>
      <c r="AE27" s="26">
        <v>-5.68</v>
      </c>
      <c r="AF27" s="26">
        <v>-6.8545499999999997</v>
      </c>
      <c r="AG27" s="26">
        <v>0</v>
      </c>
    </row>
    <row r="28" spans="1:33" ht="15.75" customHeight="1" x14ac:dyDescent="0.2">
      <c r="A28" s="15" t="s">
        <v>85</v>
      </c>
      <c r="B28" s="15" t="s">
        <v>54</v>
      </c>
      <c r="C28" s="16">
        <f t="shared" si="4"/>
        <v>24.322962962962965</v>
      </c>
      <c r="D28" s="17">
        <v>27</v>
      </c>
      <c r="E28" s="17">
        <v>0</v>
      </c>
      <c r="F28" s="18">
        <v>656.72</v>
      </c>
      <c r="G28" s="18">
        <v>0</v>
      </c>
      <c r="H28" s="32">
        <f t="shared" si="1"/>
        <v>0</v>
      </c>
      <c r="I28" s="32">
        <f t="shared" si="2"/>
        <v>0.26382414308609498</v>
      </c>
      <c r="J28" s="33">
        <f t="shared" si="5"/>
        <v>173.25859124750031</v>
      </c>
      <c r="K28" s="33">
        <f t="shared" si="3"/>
        <v>6.4169848610185296</v>
      </c>
      <c r="L28" s="17">
        <v>52</v>
      </c>
      <c r="M28" s="34">
        <f t="shared" si="6"/>
        <v>0.51923076923076927</v>
      </c>
      <c r="N28" s="17">
        <v>51</v>
      </c>
      <c r="O28" s="35">
        <f t="shared" ref="O28:P28" si="36">D28/7</f>
        <v>3.8571428571428572</v>
      </c>
      <c r="P28" s="35">
        <f t="shared" si="36"/>
        <v>0</v>
      </c>
      <c r="Q28" s="30">
        <f t="shared" si="8"/>
        <v>13</v>
      </c>
      <c r="R28" s="30"/>
      <c r="S28" s="22">
        <v>2.259414225941422</v>
      </c>
      <c r="T28" s="15">
        <v>272</v>
      </c>
      <c r="U28" s="23">
        <v>128</v>
      </c>
      <c r="V28" s="1" t="s">
        <v>127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0.10514583333333336</v>
      </c>
      <c r="AD28" s="40">
        <f t="shared" si="12"/>
        <v>-3.9177337500000005</v>
      </c>
      <c r="AE28" s="26">
        <v>-5.68</v>
      </c>
      <c r="AF28" s="26">
        <v>-8.4324324074999897</v>
      </c>
      <c r="AG28" s="26">
        <v>0</v>
      </c>
    </row>
    <row r="29" spans="1:33" ht="15.75" customHeight="1" x14ac:dyDescent="0.2">
      <c r="A29" s="15" t="s">
        <v>88</v>
      </c>
      <c r="B29" s="15" t="s">
        <v>723</v>
      </c>
      <c r="C29" s="16">
        <f t="shared" si="4"/>
        <v>24.44368421052631</v>
      </c>
      <c r="D29" s="17">
        <v>19</v>
      </c>
      <c r="E29" s="17">
        <v>0</v>
      </c>
      <c r="F29" s="18">
        <v>464.42999999999989</v>
      </c>
      <c r="G29" s="18">
        <v>-0.28000000000000003</v>
      </c>
      <c r="H29" s="32">
        <f t="shared" si="1"/>
        <v>6.0288956355101977E-4</v>
      </c>
      <c r="I29" s="32">
        <f t="shared" si="2"/>
        <v>0.28788413783024391</v>
      </c>
      <c r="J29" s="33">
        <f t="shared" si="5"/>
        <v>133.70203013250014</v>
      </c>
      <c r="K29" s="33">
        <f t="shared" si="3"/>
        <v>7.0369489543421126</v>
      </c>
      <c r="L29" s="17">
        <v>75</v>
      </c>
      <c r="M29" s="34">
        <f t="shared" si="6"/>
        <v>0.25333333333333335</v>
      </c>
      <c r="N29" s="17">
        <v>32</v>
      </c>
      <c r="O29" s="35">
        <f t="shared" ref="O29:P29" si="37">D29/7</f>
        <v>2.7142857142857144</v>
      </c>
      <c r="P29" s="35">
        <f t="shared" si="37"/>
        <v>0</v>
      </c>
      <c r="Q29" s="30">
        <f t="shared" si="8"/>
        <v>11</v>
      </c>
      <c r="R29" s="30"/>
      <c r="S29" s="22">
        <v>2.1144781144781151</v>
      </c>
      <c r="T29" s="15" t="s">
        <v>34</v>
      </c>
      <c r="U29" s="23">
        <v>128</v>
      </c>
      <c r="V29" s="1" t="s">
        <v>127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0.10514583333333336</v>
      </c>
      <c r="AD29" s="40">
        <f t="shared" si="12"/>
        <v>-2.7569237500000003</v>
      </c>
      <c r="AE29" s="26">
        <v>-5.68</v>
      </c>
      <c r="AF29" s="26">
        <v>-7.9003445324999904</v>
      </c>
      <c r="AG29" s="26">
        <v>0</v>
      </c>
    </row>
    <row r="30" spans="1:33" ht="15.75" customHeight="1" x14ac:dyDescent="0.2">
      <c r="A30" s="15" t="s">
        <v>90</v>
      </c>
      <c r="B30" s="15" t="s">
        <v>172</v>
      </c>
      <c r="C30" s="16">
        <f t="shared" si="4"/>
        <v>25.891999999999999</v>
      </c>
      <c r="D30" s="17">
        <v>30</v>
      </c>
      <c r="E30" s="17">
        <v>0</v>
      </c>
      <c r="F30" s="18">
        <v>776.76</v>
      </c>
      <c r="G30" s="18">
        <v>0</v>
      </c>
      <c r="H30" s="32">
        <f t="shared" si="1"/>
        <v>0</v>
      </c>
      <c r="I30" s="32">
        <f t="shared" si="2"/>
        <v>0.33914058753065657</v>
      </c>
      <c r="J30" s="33">
        <f t="shared" si="5"/>
        <v>263.43084277031278</v>
      </c>
      <c r="K30" s="33">
        <f t="shared" si="3"/>
        <v>8.7810280923437585</v>
      </c>
      <c r="L30" s="17">
        <v>69</v>
      </c>
      <c r="M30" s="34">
        <f t="shared" si="6"/>
        <v>0.43478260869565216</v>
      </c>
      <c r="N30" s="17">
        <v>3</v>
      </c>
      <c r="O30" s="35">
        <f t="shared" ref="O30:P30" si="38">D30/7</f>
        <v>4.2857142857142856</v>
      </c>
      <c r="P30" s="35">
        <f t="shared" si="38"/>
        <v>0</v>
      </c>
      <c r="Q30" s="30">
        <f t="shared" si="8"/>
        <v>0</v>
      </c>
      <c r="R30" s="30"/>
      <c r="S30" s="22">
        <v>2.237942122186495</v>
      </c>
      <c r="T30" s="15" t="s">
        <v>34</v>
      </c>
      <c r="U30" s="23">
        <v>256</v>
      </c>
      <c r="V30" s="1" t="s">
        <v>742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0.10514583333333336</v>
      </c>
      <c r="AD30" s="40">
        <f t="shared" si="12"/>
        <v>-4.3530375000000001</v>
      </c>
      <c r="AE30" s="26">
        <v>-5.68</v>
      </c>
      <c r="AF30" s="26">
        <v>-7.4020706576562398</v>
      </c>
      <c r="AG30" s="26">
        <v>0</v>
      </c>
    </row>
    <row r="31" spans="1:33" ht="15.75" customHeight="1" x14ac:dyDescent="0.2">
      <c r="A31" s="15" t="s">
        <v>93</v>
      </c>
      <c r="B31" s="15"/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>
        <v>3.0278884462151301</v>
      </c>
      <c r="T31" s="15">
        <v>144</v>
      </c>
      <c r="U31" s="23">
        <v>256</v>
      </c>
      <c r="V31" s="1" t="s">
        <v>743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0.10514583333333336</v>
      </c>
      <c r="AD31" s="40">
        <f t="shared" si="12"/>
        <v>0</v>
      </c>
      <c r="AE31" s="26">
        <v>-5.68</v>
      </c>
      <c r="AF31" s="43">
        <v>-7.4020706576562487</v>
      </c>
      <c r="AG31" s="26">
        <v>0</v>
      </c>
    </row>
    <row r="32" spans="1:33" ht="15.75" customHeight="1" x14ac:dyDescent="0.2">
      <c r="A32" s="15" t="s">
        <v>96</v>
      </c>
      <c r="B32" s="44" t="s">
        <v>54</v>
      </c>
      <c r="C32" s="16">
        <f t="shared" si="4"/>
        <v>26.233999999999998</v>
      </c>
      <c r="D32" s="17">
        <v>5</v>
      </c>
      <c r="E32" s="17">
        <v>0</v>
      </c>
      <c r="F32" s="18">
        <v>131.16999999999999</v>
      </c>
      <c r="G32" s="18">
        <v>0</v>
      </c>
      <c r="H32" s="32">
        <f t="shared" si="1"/>
        <v>0</v>
      </c>
      <c r="I32" s="32">
        <f t="shared" si="2"/>
        <v>0.34580041519950278</v>
      </c>
      <c r="J32" s="33">
        <f t="shared" si="5"/>
        <v>45.358640461718778</v>
      </c>
      <c r="K32" s="33">
        <f t="shared" si="3"/>
        <v>9.071728092343756</v>
      </c>
      <c r="L32" s="17">
        <v>29</v>
      </c>
      <c r="M32" s="34">
        <f t="shared" si="6"/>
        <v>0.17241379310344829</v>
      </c>
      <c r="N32" s="17">
        <v>12</v>
      </c>
      <c r="O32" s="35">
        <f t="shared" ref="O32:P32" si="40">D32/7</f>
        <v>0.7142857142857143</v>
      </c>
      <c r="P32" s="35">
        <f t="shared" si="40"/>
        <v>0</v>
      </c>
      <c r="Q32" s="30">
        <f t="shared" si="8"/>
        <v>16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2.953846153846154</v>
      </c>
      <c r="T32" s="15">
        <f ca="1">IFERROR(__xludf.DUMMYFUNCTION("IFERROR(VLOOKUP($B$2,IMPORTRANGE(""https://docs.google.com/spreadsheets/d/1KiWZV1ko8G7lnRucBRBd29jj3Be6ltMfljMDqzOkQmI/edit#gid=1381463014"",""Lookup!A:D""),4,FALSE),"""")"),144)</f>
        <v>144</v>
      </c>
      <c r="U32" s="23">
        <f ca="1">IFERROR(__xludf.DUMMYFUNCTION("IFERROR(VLOOKUP($B$2,IMPORTRANGE(""https://docs.google.com/spreadsheets/d/1KiWZV1ko8G7lnRucBRBd29jj3Be6ltMfljMDqzOkQmI/edit#gid=1381463014"",""Lookup!A:D""),3,FALSE),"""")"),128)</f>
        <v>128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- 128 units 08/09| S210707  - 128 units 09/17")</f>
        <v>| AGL216  - 128 units 08/09| S210707  - 128 units 09/17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0.10514583333333336</v>
      </c>
      <c r="AD32" s="40">
        <f t="shared" si="12"/>
        <v>-0.72550625000000002</v>
      </c>
      <c r="AE32" s="26">
        <v>-5.68</v>
      </c>
      <c r="AF32" s="26">
        <v>-7.4020706576562398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9.16406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6" customWidth="1"/>
    <col min="16" max="16" width="11" customWidth="1"/>
    <col min="17" max="18" width="8.5" customWidth="1"/>
    <col min="19" max="19" width="8.33203125" customWidth="1"/>
    <col min="20" max="20" width="12.83203125" customWidth="1"/>
    <col min="21" max="21" width="15.5" customWidth="1"/>
    <col min="22" max="22" width="29.16406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Info!B1:BJ5000""),3,FALSE),"""")"),"Mini Acrylic Sign Holders with White Wood Stands, 4 Pack - 8x10 Inch Small Table Number Holders Set")</f>
        <v>Mini Acrylic Sign Holders with White Wood Stands, 4 Pack - 8x10 Inch Small Table Number Holders Set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Info!B1:BJ5000""),2,FALSE),"""")"),"B07XHN5146")</f>
        <v>B07XHN5146</v>
      </c>
      <c r="B2" s="3" t="s">
        <v>744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96" customHeight="1" x14ac:dyDescent="0.2">
      <c r="A3" s="57" t="s">
        <v>31</v>
      </c>
      <c r="B3" s="58"/>
      <c r="C3" s="4">
        <f>((AE32+AF32)/0.85)*-1</f>
        <v>15.390671361948529</v>
      </c>
      <c r="D3" s="5">
        <f>SUM(D4:D99519)</f>
        <v>335</v>
      </c>
      <c r="E3" s="5"/>
      <c r="F3" s="6">
        <f t="shared" ref="F3:G3" si="0">SUM(F4:F99519)</f>
        <v>8776.6099999999988</v>
      </c>
      <c r="G3" s="6">
        <f t="shared" si="0"/>
        <v>-1.26</v>
      </c>
      <c r="H3" s="7">
        <f t="shared" ref="H3:H32" si="1">G3/F3*-1</f>
        <v>1.4356340318186637E-4</v>
      </c>
      <c r="I3" s="8">
        <f t="shared" ref="I3:I32" si="2">J3/F3</f>
        <v>0.37559550078553383</v>
      </c>
      <c r="J3" s="6">
        <f>SUM(J4:J99519)</f>
        <v>3296.4552281493234</v>
      </c>
      <c r="K3" s="6">
        <f t="shared" ref="K3:K32" si="3">J3/D3</f>
        <v>9.8401648601472331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Sheet!a1:g5000""),2,FALSE),"""")"),"5.0 - March
5.0 - April
5.0 - May
5.0 - June
5.0 - July
5.0 - Aug
5.0 - Sept
5.0 - Oct
5.0 - Nov
5.0 - Dec
2 - Jan
5.0 - Feb")</f>
        <v>5.0 - March
5.0 - April
5.0 - May
5.0 - June
5.0 - July
5.0 - Aug
5.0 - Sept
5.0 - Oct
5.0 - Nov
5.0 - Dec
2 - Jan
5.0 -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QTY-")</f>
        <v>Del QTY-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-41.877155532513761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Info!B2:BZ3000""),37,FALSE)),"""")*-1"),-7.40207065765625)</f>
        <v>-7.4020706576562496</v>
      </c>
      <c r="AG3" s="6">
        <f>SUM(AG4:AG99519)</f>
        <v>0</v>
      </c>
    </row>
    <row r="4" spans="1:33" x14ac:dyDescent="0.2">
      <c r="A4" s="15" t="s">
        <v>32</v>
      </c>
      <c r="B4" s="15" t="s">
        <v>745</v>
      </c>
      <c r="C4" s="16">
        <f t="shared" ref="C4:C32" si="4">IFERROR(F4/D4," - ")</f>
        <v>22.461874999999999</v>
      </c>
      <c r="D4" s="17">
        <v>16</v>
      </c>
      <c r="E4" s="17">
        <v>0</v>
      </c>
      <c r="F4" s="18">
        <v>359.39</v>
      </c>
      <c r="G4" s="18">
        <v>-0.16</v>
      </c>
      <c r="H4" s="19">
        <f t="shared" si="1"/>
        <v>4.4519880909318568E-4</v>
      </c>
      <c r="I4" s="19">
        <f t="shared" si="2"/>
        <v>0.30423296229508534</v>
      </c>
      <c r="J4" s="18">
        <f t="shared" ref="J4:J32" si="5">F4*0.85+G4+AF4*D4+D4*AE4+AG4+AD4</f>
        <v>109.33828431923072</v>
      </c>
      <c r="K4" s="18">
        <f t="shared" si="3"/>
        <v>6.8336427699519202</v>
      </c>
      <c r="L4" s="17">
        <v>59</v>
      </c>
      <c r="M4" s="20">
        <f t="shared" ref="M4:M32" si="6">IFERROR(D4/L4,"-")</f>
        <v>0.2711864406779661</v>
      </c>
      <c r="N4" s="17">
        <v>67</v>
      </c>
      <c r="O4" s="21">
        <f t="shared" ref="O4:P4" si="7">D4/7</f>
        <v>2.2857142857142856</v>
      </c>
      <c r="P4" s="21">
        <f t="shared" si="7"/>
        <v>0</v>
      </c>
      <c r="Q4" s="17">
        <f t="shared" ref="Q4:Q32" si="8">ROUNDDOWN(N4/(O4+P4),0)</f>
        <v>29</v>
      </c>
      <c r="R4" s="17"/>
      <c r="S4" s="22">
        <v>3.06849315068493</v>
      </c>
      <c r="T4" s="15">
        <v>320</v>
      </c>
      <c r="U4" s="23">
        <v>112</v>
      </c>
      <c r="V4" s="24" t="s">
        <v>746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s">
        <v>35</v>
      </c>
      <c r="AB4" s="27">
        <f t="shared" ref="AB4:AB32" si="11">IF(OR(AA4="UsLargeStandardSize",AA4="UsSmallStandardSize"),-0.69,-0.48)</f>
        <v>-0.69</v>
      </c>
      <c r="AC4" s="28">
        <v>9.0563697916666658E-2</v>
      </c>
      <c r="AD4" s="26">
        <f t="shared" ref="AD4:AD32" si="12">IFERROR(AB4*AC4*D4*2,0)</f>
        <v>-1.9996464499999997</v>
      </c>
      <c r="AE4" s="26">
        <v>-5.42</v>
      </c>
      <c r="AF4" s="26">
        <v>-6.7039730769230772</v>
      </c>
      <c r="AG4" s="26">
        <v>0</v>
      </c>
    </row>
    <row r="5" spans="1:33" ht="15.75" customHeight="1" x14ac:dyDescent="0.2">
      <c r="A5" s="29" t="s">
        <v>36</v>
      </c>
      <c r="B5" s="29" t="s">
        <v>704</v>
      </c>
      <c r="C5" s="16">
        <f t="shared" si="4"/>
        <v>21.861428571428569</v>
      </c>
      <c r="D5" s="30">
        <v>21</v>
      </c>
      <c r="E5" s="30">
        <v>0</v>
      </c>
      <c r="F5" s="31">
        <v>459.09</v>
      </c>
      <c r="G5" s="31">
        <v>-0.16</v>
      </c>
      <c r="H5" s="32">
        <f t="shared" si="1"/>
        <v>3.4851554161493393E-4</v>
      </c>
      <c r="I5" s="32">
        <f t="shared" si="2"/>
        <v>0.28934520081409232</v>
      </c>
      <c r="J5" s="33">
        <f t="shared" si="5"/>
        <v>132.83548824174164</v>
      </c>
      <c r="K5" s="33">
        <f t="shared" si="3"/>
        <v>6.3254994400829352</v>
      </c>
      <c r="L5" s="30">
        <v>147</v>
      </c>
      <c r="M5" s="34">
        <f t="shared" si="6"/>
        <v>0.14285714285714285</v>
      </c>
      <c r="N5" s="30">
        <v>48</v>
      </c>
      <c r="O5" s="35">
        <f t="shared" ref="O5:P5" si="13">D5/7</f>
        <v>3</v>
      </c>
      <c r="P5" s="35">
        <f t="shared" si="13"/>
        <v>0</v>
      </c>
      <c r="Q5" s="30">
        <f t="shared" si="8"/>
        <v>16</v>
      </c>
      <c r="R5" s="30"/>
      <c r="S5" s="36">
        <v>1.5906432748538</v>
      </c>
      <c r="T5" s="29">
        <v>320</v>
      </c>
      <c r="U5" s="37">
        <v>112</v>
      </c>
      <c r="V5" s="38" t="s">
        <v>747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s">
        <v>35</v>
      </c>
      <c r="AB5" s="41">
        <f t="shared" si="11"/>
        <v>-0.69</v>
      </c>
      <c r="AC5" s="42">
        <v>9.0668638470451909E-2</v>
      </c>
      <c r="AD5" s="40">
        <f t="shared" si="12"/>
        <v>-2.627577142873696</v>
      </c>
      <c r="AE5" s="40">
        <v>-5.42</v>
      </c>
      <c r="AF5" s="40">
        <v>-6.7039730769230772</v>
      </c>
      <c r="AG5" s="40">
        <v>0</v>
      </c>
    </row>
    <row r="6" spans="1:33" ht="15.75" customHeight="1" x14ac:dyDescent="0.2">
      <c r="A6" s="29" t="s">
        <v>38</v>
      </c>
      <c r="B6" s="29" t="s">
        <v>681</v>
      </c>
      <c r="C6" s="16">
        <f t="shared" si="4"/>
        <v>22.447111111111106</v>
      </c>
      <c r="D6" s="30">
        <v>45</v>
      </c>
      <c r="E6" s="30">
        <v>0</v>
      </c>
      <c r="F6" s="31">
        <v>1010.1199999999998</v>
      </c>
      <c r="G6" s="31">
        <v>-0.02</v>
      </c>
      <c r="H6" s="32">
        <f t="shared" si="1"/>
        <v>1.9799627766997986E-5</v>
      </c>
      <c r="I6" s="32">
        <f t="shared" si="2"/>
        <v>0.30429324148561188</v>
      </c>
      <c r="J6" s="33">
        <f t="shared" si="5"/>
        <v>307.37268908944623</v>
      </c>
      <c r="K6" s="33">
        <f t="shared" si="3"/>
        <v>6.8305042019876936</v>
      </c>
      <c r="L6" s="30">
        <v>159</v>
      </c>
      <c r="M6" s="34">
        <f t="shared" si="6"/>
        <v>0.28301886792452829</v>
      </c>
      <c r="N6" s="30">
        <v>1</v>
      </c>
      <c r="O6" s="35">
        <f t="shared" ref="O6:P6" si="14">D6/7</f>
        <v>6.4285714285714288</v>
      </c>
      <c r="P6" s="35">
        <f t="shared" si="14"/>
        <v>0</v>
      </c>
      <c r="Q6" s="30">
        <f t="shared" si="8"/>
        <v>0</v>
      </c>
      <c r="R6" s="30"/>
      <c r="S6" s="36">
        <v>4.2990654205607397</v>
      </c>
      <c r="T6" s="29">
        <v>320</v>
      </c>
      <c r="U6" s="37">
        <v>112</v>
      </c>
      <c r="V6" s="38" t="s">
        <v>748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s">
        <v>35</v>
      </c>
      <c r="AB6" s="41">
        <f t="shared" si="11"/>
        <v>-0.69</v>
      </c>
      <c r="AC6" s="42">
        <v>9.0668638470451909E-2</v>
      </c>
      <c r="AD6" s="40">
        <f t="shared" si="12"/>
        <v>-5.6305224490150625</v>
      </c>
      <c r="AE6" s="40">
        <v>-5.42</v>
      </c>
      <c r="AF6" s="40">
        <v>-6.7039730769230772</v>
      </c>
      <c r="AG6" s="40">
        <v>0</v>
      </c>
    </row>
    <row r="7" spans="1:33" ht="15.75" customHeight="1" x14ac:dyDescent="0.2">
      <c r="A7" s="29" t="s">
        <v>41</v>
      </c>
      <c r="B7" s="29"/>
      <c r="C7" s="16" t="str">
        <f t="shared" si="4"/>
        <v xml:space="preserve"> - </v>
      </c>
      <c r="D7" s="30">
        <v>0</v>
      </c>
      <c r="E7" s="30">
        <v>0</v>
      </c>
      <c r="F7" s="31">
        <v>0</v>
      </c>
      <c r="G7" s="31">
        <v>0</v>
      </c>
      <c r="H7" s="32" t="e">
        <f t="shared" si="1"/>
        <v>#DIV/0!</v>
      </c>
      <c r="I7" s="32" t="e">
        <f t="shared" si="2"/>
        <v>#DIV/0!</v>
      </c>
      <c r="J7" s="33">
        <f t="shared" si="5"/>
        <v>0</v>
      </c>
      <c r="K7" s="33" t="e">
        <f t="shared" si="3"/>
        <v>#DIV/0!</v>
      </c>
      <c r="L7" s="30">
        <v>0</v>
      </c>
      <c r="M7" s="34" t="str">
        <f t="shared" si="6"/>
        <v>-</v>
      </c>
      <c r="N7" s="30">
        <v>0</v>
      </c>
      <c r="O7" s="35">
        <f t="shared" ref="O7:P7" si="15">D7/7</f>
        <v>0</v>
      </c>
      <c r="P7" s="35">
        <f t="shared" si="15"/>
        <v>0</v>
      </c>
      <c r="Q7" s="30" t="e">
        <f t="shared" si="8"/>
        <v>#DIV/0!</v>
      </c>
      <c r="R7" s="30"/>
      <c r="S7" s="36" t="e">
        <v>#N/A</v>
      </c>
      <c r="T7" s="29">
        <v>576</v>
      </c>
      <c r="U7" s="37">
        <v>112</v>
      </c>
      <c r="V7" s="38" t="s">
        <v>749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e">
        <v>#N/A</v>
      </c>
      <c r="AB7" s="41" t="e">
        <f t="shared" si="11"/>
        <v>#N/A</v>
      </c>
      <c r="AC7" s="42" t="e">
        <v>#N/A</v>
      </c>
      <c r="AD7" s="40">
        <f t="shared" si="12"/>
        <v>0</v>
      </c>
      <c r="AE7" s="40">
        <v>0</v>
      </c>
      <c r="AF7" s="40">
        <v>-6.7039730769230772</v>
      </c>
      <c r="AG7" s="40">
        <v>0</v>
      </c>
    </row>
    <row r="8" spans="1:33" ht="15.75" customHeight="1" x14ac:dyDescent="0.2">
      <c r="A8" s="29" t="s">
        <v>44</v>
      </c>
      <c r="B8" s="29"/>
      <c r="C8" s="16" t="str">
        <f t="shared" si="4"/>
        <v xml:space="preserve"> - </v>
      </c>
      <c r="D8" s="30">
        <v>0</v>
      </c>
      <c r="E8" s="30">
        <v>0</v>
      </c>
      <c r="F8" s="31">
        <v>0</v>
      </c>
      <c r="G8" s="31">
        <v>0</v>
      </c>
      <c r="H8" s="32" t="e">
        <f t="shared" si="1"/>
        <v>#DIV/0!</v>
      </c>
      <c r="I8" s="32" t="e">
        <f t="shared" si="2"/>
        <v>#DIV/0!</v>
      </c>
      <c r="J8" s="33">
        <f t="shared" si="5"/>
        <v>0</v>
      </c>
      <c r="K8" s="33" t="e">
        <f t="shared" si="3"/>
        <v>#DIV/0!</v>
      </c>
      <c r="L8" s="30">
        <v>0</v>
      </c>
      <c r="M8" s="34" t="str">
        <f t="shared" si="6"/>
        <v>-</v>
      </c>
      <c r="N8" s="30">
        <v>0</v>
      </c>
      <c r="O8" s="35">
        <f t="shared" ref="O8:P8" si="16">D8/7</f>
        <v>0</v>
      </c>
      <c r="P8" s="35">
        <f t="shared" si="16"/>
        <v>0</v>
      </c>
      <c r="Q8" s="30" t="e">
        <f t="shared" si="8"/>
        <v>#DIV/0!</v>
      </c>
      <c r="R8" s="30"/>
      <c r="S8" s="36" t="e">
        <v>#N/A</v>
      </c>
      <c r="T8" s="29">
        <v>576</v>
      </c>
      <c r="U8" s="37">
        <v>112</v>
      </c>
      <c r="V8" s="38" t="s">
        <v>750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e">
        <v>#N/A</v>
      </c>
      <c r="AB8" s="41" t="e">
        <f t="shared" si="11"/>
        <v>#N/A</v>
      </c>
      <c r="AC8" s="42" t="e">
        <v>#N/A</v>
      </c>
      <c r="AD8" s="40">
        <f t="shared" si="12"/>
        <v>0</v>
      </c>
      <c r="AE8" s="40">
        <v>0</v>
      </c>
      <c r="AF8" s="40">
        <v>-6.7</v>
      </c>
      <c r="AG8" s="40">
        <v>0</v>
      </c>
    </row>
    <row r="9" spans="1:33" ht="15.75" customHeight="1" x14ac:dyDescent="0.2">
      <c r="A9" s="29" t="s">
        <v>47</v>
      </c>
      <c r="B9" s="29"/>
      <c r="C9" s="16" t="str">
        <f t="shared" si="4"/>
        <v xml:space="preserve"> - </v>
      </c>
      <c r="D9" s="30">
        <v>0</v>
      </c>
      <c r="E9" s="30">
        <v>0</v>
      </c>
      <c r="F9" s="31">
        <v>0</v>
      </c>
      <c r="G9" s="31">
        <v>0</v>
      </c>
      <c r="H9" s="32" t="e">
        <f t="shared" si="1"/>
        <v>#DIV/0!</v>
      </c>
      <c r="I9" s="32" t="e">
        <f t="shared" si="2"/>
        <v>#DIV/0!</v>
      </c>
      <c r="J9" s="33">
        <f t="shared" si="5"/>
        <v>0</v>
      </c>
      <c r="K9" s="33" t="e">
        <f t="shared" si="3"/>
        <v>#DIV/0!</v>
      </c>
      <c r="L9" s="30">
        <v>0</v>
      </c>
      <c r="M9" s="34" t="str">
        <f t="shared" si="6"/>
        <v>-</v>
      </c>
      <c r="N9" s="30">
        <v>0</v>
      </c>
      <c r="O9" s="35">
        <f t="shared" ref="O9:P9" si="17">D9/7</f>
        <v>0</v>
      </c>
      <c r="P9" s="35">
        <f t="shared" si="17"/>
        <v>0</v>
      </c>
      <c r="Q9" s="30" t="e">
        <f t="shared" si="8"/>
        <v>#DIV/0!</v>
      </c>
      <c r="R9" s="30"/>
      <c r="S9" s="36" t="e">
        <v>#N/A</v>
      </c>
      <c r="T9" s="29">
        <v>576</v>
      </c>
      <c r="U9" s="37">
        <v>112</v>
      </c>
      <c r="V9" s="38" t="s">
        <v>751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e">
        <v>#N/A</v>
      </c>
      <c r="AB9" s="41" t="e">
        <f t="shared" si="11"/>
        <v>#N/A</v>
      </c>
      <c r="AC9" s="42" t="e">
        <v>#N/A</v>
      </c>
      <c r="AD9" s="40">
        <f t="shared" si="12"/>
        <v>0</v>
      </c>
      <c r="AE9" s="40">
        <v>0</v>
      </c>
      <c r="AF9" s="40">
        <v>-6.8026269230769199</v>
      </c>
      <c r="AG9" s="40">
        <v>0</v>
      </c>
    </row>
    <row r="10" spans="1:33" ht="15.75" customHeight="1" x14ac:dyDescent="0.2">
      <c r="A10" s="29" t="s">
        <v>50</v>
      </c>
      <c r="B10" s="29"/>
      <c r="C10" s="16" t="str">
        <f t="shared" si="4"/>
        <v xml:space="preserve"> - </v>
      </c>
      <c r="D10" s="30">
        <v>0</v>
      </c>
      <c r="E10" s="30">
        <v>0</v>
      </c>
      <c r="F10" s="31">
        <v>0</v>
      </c>
      <c r="G10" s="31">
        <v>0</v>
      </c>
      <c r="H10" s="32" t="e">
        <f t="shared" si="1"/>
        <v>#DIV/0!</v>
      </c>
      <c r="I10" s="32" t="e">
        <f t="shared" si="2"/>
        <v>#DIV/0!</v>
      </c>
      <c r="J10" s="33">
        <f t="shared" si="5"/>
        <v>0</v>
      </c>
      <c r="K10" s="33" t="e">
        <f t="shared" si="3"/>
        <v>#DIV/0!</v>
      </c>
      <c r="L10" s="30">
        <v>0</v>
      </c>
      <c r="M10" s="34" t="str">
        <f t="shared" si="6"/>
        <v>-</v>
      </c>
      <c r="N10" s="30">
        <v>0</v>
      </c>
      <c r="O10" s="35">
        <f t="shared" ref="O10:P10" si="18">D10/7</f>
        <v>0</v>
      </c>
      <c r="P10" s="35">
        <f t="shared" si="18"/>
        <v>0</v>
      </c>
      <c r="Q10" s="30" t="e">
        <f t="shared" si="8"/>
        <v>#DIV/0!</v>
      </c>
      <c r="R10" s="30"/>
      <c r="S10" s="36" t="e">
        <v>#N/A</v>
      </c>
      <c r="T10" s="29">
        <v>256</v>
      </c>
      <c r="U10" s="37">
        <v>208</v>
      </c>
      <c r="V10" s="38" t="s">
        <v>752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e">
        <v>#N/A</v>
      </c>
      <c r="AB10" s="41" t="e">
        <f t="shared" si="11"/>
        <v>#N/A</v>
      </c>
      <c r="AC10" s="42" t="e">
        <v>#N/A</v>
      </c>
      <c r="AD10" s="40">
        <f t="shared" si="12"/>
        <v>0</v>
      </c>
      <c r="AE10" s="40">
        <v>0</v>
      </c>
      <c r="AF10" s="40">
        <v>-6.8026269230769199</v>
      </c>
      <c r="AG10" s="40">
        <v>0</v>
      </c>
    </row>
    <row r="11" spans="1:33" ht="15.75" customHeight="1" x14ac:dyDescent="0.2">
      <c r="A11" s="29" t="s">
        <v>53</v>
      </c>
      <c r="B11" s="29"/>
      <c r="C11" s="16" t="str">
        <f t="shared" si="4"/>
        <v xml:space="preserve"> - </v>
      </c>
      <c r="D11" s="30">
        <v>0</v>
      </c>
      <c r="E11" s="30">
        <v>0</v>
      </c>
      <c r="F11" s="31">
        <v>0</v>
      </c>
      <c r="G11" s="31">
        <v>0</v>
      </c>
      <c r="H11" s="32" t="e">
        <f t="shared" si="1"/>
        <v>#DIV/0!</v>
      </c>
      <c r="I11" s="32" t="e">
        <f t="shared" si="2"/>
        <v>#DIV/0!</v>
      </c>
      <c r="J11" s="33">
        <f t="shared" si="5"/>
        <v>0</v>
      </c>
      <c r="K11" s="33" t="e">
        <f t="shared" si="3"/>
        <v>#DIV/0!</v>
      </c>
      <c r="L11" s="30">
        <v>0</v>
      </c>
      <c r="M11" s="34" t="str">
        <f t="shared" si="6"/>
        <v>-</v>
      </c>
      <c r="N11" s="30">
        <v>0</v>
      </c>
      <c r="O11" s="35">
        <f t="shared" ref="O11:P11" si="19">D11/7</f>
        <v>0</v>
      </c>
      <c r="P11" s="35">
        <f t="shared" si="19"/>
        <v>0</v>
      </c>
      <c r="Q11" s="30" t="e">
        <f t="shared" si="8"/>
        <v>#DIV/0!</v>
      </c>
      <c r="R11" s="30"/>
      <c r="S11" s="36" t="e">
        <v>#N/A</v>
      </c>
      <c r="T11" s="29">
        <v>256</v>
      </c>
      <c r="U11" s="37">
        <v>208</v>
      </c>
      <c r="V11" s="38" t="s">
        <v>753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e">
        <v>#N/A</v>
      </c>
      <c r="AB11" s="41" t="e">
        <f t="shared" si="11"/>
        <v>#N/A</v>
      </c>
      <c r="AC11" s="42" t="e">
        <v>#N/A</v>
      </c>
      <c r="AD11" s="40">
        <f t="shared" si="12"/>
        <v>0</v>
      </c>
      <c r="AE11" s="40">
        <v>0</v>
      </c>
      <c r="AF11" s="40">
        <v>-6.8026269230769199</v>
      </c>
      <c r="AG11" s="40">
        <v>0</v>
      </c>
    </row>
    <row r="12" spans="1:33" ht="15.75" customHeight="1" x14ac:dyDescent="0.2">
      <c r="A12" s="29" t="s">
        <v>56</v>
      </c>
      <c r="B12" s="29"/>
      <c r="C12" s="16" t="str">
        <f t="shared" si="4"/>
        <v xml:space="preserve"> - </v>
      </c>
      <c r="D12" s="30">
        <v>0</v>
      </c>
      <c r="E12" s="30">
        <v>0</v>
      </c>
      <c r="F12" s="31">
        <v>0</v>
      </c>
      <c r="G12" s="31">
        <v>0</v>
      </c>
      <c r="H12" s="32" t="e">
        <f t="shared" si="1"/>
        <v>#DIV/0!</v>
      </c>
      <c r="I12" s="32" t="e">
        <f t="shared" si="2"/>
        <v>#DIV/0!</v>
      </c>
      <c r="J12" s="33">
        <f t="shared" si="5"/>
        <v>0</v>
      </c>
      <c r="K12" s="33" t="e">
        <f t="shared" si="3"/>
        <v>#DIV/0!</v>
      </c>
      <c r="L12" s="30">
        <v>0</v>
      </c>
      <c r="M12" s="34" t="str">
        <f t="shared" si="6"/>
        <v>-</v>
      </c>
      <c r="N12" s="30">
        <v>0</v>
      </c>
      <c r="O12" s="35">
        <f t="shared" ref="O12:P12" si="20">D12/7</f>
        <v>0</v>
      </c>
      <c r="P12" s="35">
        <f t="shared" si="20"/>
        <v>0</v>
      </c>
      <c r="Q12" s="30" t="e">
        <f t="shared" si="8"/>
        <v>#DIV/0!</v>
      </c>
      <c r="R12" s="30"/>
      <c r="S12" s="36" t="e">
        <v>#N/A</v>
      </c>
      <c r="T12" s="29">
        <v>256</v>
      </c>
      <c r="U12" s="37">
        <v>208</v>
      </c>
      <c r="V12" s="38" t="s">
        <v>752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e">
        <v>#N/A</v>
      </c>
      <c r="AB12" s="41" t="e">
        <f t="shared" si="11"/>
        <v>#N/A</v>
      </c>
      <c r="AC12" s="42" t="e">
        <v>#N/A</v>
      </c>
      <c r="AD12" s="40">
        <f t="shared" si="12"/>
        <v>0</v>
      </c>
      <c r="AE12" s="40">
        <v>0</v>
      </c>
      <c r="AF12" s="40">
        <v>-6.8026269230769199</v>
      </c>
      <c r="AG12" s="40">
        <v>0</v>
      </c>
    </row>
    <row r="13" spans="1:33" ht="15.75" customHeight="1" x14ac:dyDescent="0.2">
      <c r="A13" s="29" t="s">
        <v>57</v>
      </c>
      <c r="B13" s="29"/>
      <c r="C13" s="16" t="str">
        <f t="shared" si="4"/>
        <v xml:space="preserve"> - </v>
      </c>
      <c r="D13" s="30">
        <v>0</v>
      </c>
      <c r="E13" s="30">
        <v>0</v>
      </c>
      <c r="F13" s="33">
        <v>0</v>
      </c>
      <c r="G13" s="31">
        <v>0</v>
      </c>
      <c r="H13" s="32" t="e">
        <f t="shared" si="1"/>
        <v>#DIV/0!</v>
      </c>
      <c r="I13" s="32" t="e">
        <f t="shared" si="2"/>
        <v>#DIV/0!</v>
      </c>
      <c r="J13" s="33">
        <f t="shared" si="5"/>
        <v>0</v>
      </c>
      <c r="K13" s="33" t="e">
        <f t="shared" si="3"/>
        <v>#DIV/0!</v>
      </c>
      <c r="L13" s="30">
        <v>0</v>
      </c>
      <c r="M13" s="34" t="str">
        <f t="shared" si="6"/>
        <v>-</v>
      </c>
      <c r="N13" s="30">
        <v>0</v>
      </c>
      <c r="O13" s="35">
        <f t="shared" ref="O13:P13" si="21">D13/7</f>
        <v>0</v>
      </c>
      <c r="P13" s="35">
        <f t="shared" si="21"/>
        <v>0</v>
      </c>
      <c r="Q13" s="30" t="e">
        <f t="shared" si="8"/>
        <v>#DIV/0!</v>
      </c>
      <c r="R13" s="30"/>
      <c r="S13" s="36" t="e">
        <v>#N/A</v>
      </c>
      <c r="T13" s="29">
        <v>256</v>
      </c>
      <c r="U13" s="37">
        <v>208</v>
      </c>
      <c r="V13" s="38" t="s">
        <v>752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e">
        <v>#N/A</v>
      </c>
      <c r="AB13" s="41" t="e">
        <f t="shared" si="11"/>
        <v>#N/A</v>
      </c>
      <c r="AC13" s="42" t="e">
        <v>#N/A</v>
      </c>
      <c r="AD13" s="40">
        <f t="shared" si="12"/>
        <v>0</v>
      </c>
      <c r="AE13" s="40">
        <v>0</v>
      </c>
      <c r="AF13" s="40">
        <v>-6.8545499999999997</v>
      </c>
      <c r="AG13" s="40">
        <v>0</v>
      </c>
    </row>
    <row r="14" spans="1:33" ht="15.75" customHeight="1" x14ac:dyDescent="0.2">
      <c r="A14" s="29" t="s">
        <v>59</v>
      </c>
      <c r="B14" s="29"/>
      <c r="C14" s="16" t="str">
        <f t="shared" si="4"/>
        <v xml:space="preserve"> - </v>
      </c>
      <c r="D14" s="30">
        <v>0</v>
      </c>
      <c r="E14" s="30">
        <v>0</v>
      </c>
      <c r="F14" s="33">
        <v>0</v>
      </c>
      <c r="G14" s="31">
        <v>0</v>
      </c>
      <c r="H14" s="32" t="e">
        <f t="shared" si="1"/>
        <v>#DIV/0!</v>
      </c>
      <c r="I14" s="32" t="e">
        <f t="shared" si="2"/>
        <v>#DIV/0!</v>
      </c>
      <c r="J14" s="33">
        <f t="shared" si="5"/>
        <v>0</v>
      </c>
      <c r="K14" s="33" t="e">
        <f t="shared" si="3"/>
        <v>#DIV/0!</v>
      </c>
      <c r="L14" s="30">
        <v>0</v>
      </c>
      <c r="M14" s="34" t="str">
        <f t="shared" si="6"/>
        <v>-</v>
      </c>
      <c r="N14" s="30">
        <v>0</v>
      </c>
      <c r="O14" s="35">
        <f t="shared" ref="O14:P14" si="22">D14/7</f>
        <v>0</v>
      </c>
      <c r="P14" s="35">
        <f t="shared" si="22"/>
        <v>0</v>
      </c>
      <c r="Q14" s="30" t="e">
        <f t="shared" si="8"/>
        <v>#DIV/0!</v>
      </c>
      <c r="R14" s="30"/>
      <c r="S14" s="36" t="e">
        <v>#N/A</v>
      </c>
      <c r="T14" s="29">
        <v>80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e">
        <v>#N/A</v>
      </c>
      <c r="AB14" s="41" t="e">
        <f t="shared" si="11"/>
        <v>#N/A</v>
      </c>
      <c r="AC14" s="42" t="e">
        <v>#N/A</v>
      </c>
      <c r="AD14" s="40">
        <f t="shared" si="12"/>
        <v>0</v>
      </c>
      <c r="AE14" s="40">
        <v>0</v>
      </c>
      <c r="AF14" s="40">
        <v>-6.8545499999999997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80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e">
        <v>#N/A</v>
      </c>
      <c r="AB15" s="41" t="e">
        <f t="shared" si="11"/>
        <v>#N/A</v>
      </c>
      <c r="AC15" s="42" t="e">
        <v>#N/A</v>
      </c>
      <c r="AD15" s="40">
        <f t="shared" si="12"/>
        <v>0</v>
      </c>
      <c r="AE15" s="40">
        <v>0</v>
      </c>
      <c r="AF15" s="40">
        <v>-6.8545499999999997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80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e">
        <v>#N/A</v>
      </c>
      <c r="AB16" s="41" t="e">
        <f t="shared" si="11"/>
        <v>#N/A</v>
      </c>
      <c r="AC16" s="42" t="e">
        <v>#N/A</v>
      </c>
      <c r="AD16" s="40">
        <f t="shared" si="12"/>
        <v>0</v>
      </c>
      <c r="AE16" s="40">
        <v>0</v>
      </c>
      <c r="AF16" s="40">
        <v>-6.8545499999999997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0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</v>
      </c>
      <c r="Q17" s="30" t="e">
        <f t="shared" si="8"/>
        <v>#DIV/0!</v>
      </c>
      <c r="R17" s="30"/>
      <c r="S17" s="36" t="e">
        <v>#N/A</v>
      </c>
      <c r="T17" s="29">
        <v>80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e">
        <v>#N/A</v>
      </c>
      <c r="AB17" s="41" t="e">
        <f t="shared" si="11"/>
        <v>#N/A</v>
      </c>
      <c r="AC17" s="42" t="e">
        <v>#N/A</v>
      </c>
      <c r="AD17" s="40">
        <f t="shared" si="12"/>
        <v>0</v>
      </c>
      <c r="AE17" s="40">
        <v>0</v>
      </c>
      <c r="AF17" s="40">
        <v>-6.8545499999999997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80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e">
        <v>#N/A</v>
      </c>
      <c r="AB18" s="41" t="e">
        <f t="shared" si="11"/>
        <v>#N/A</v>
      </c>
      <c r="AC18" s="42" t="e">
        <v>#N/A</v>
      </c>
      <c r="AD18" s="40">
        <f t="shared" si="12"/>
        <v>0</v>
      </c>
      <c r="AE18" s="40">
        <v>0</v>
      </c>
      <c r="AF18" s="40">
        <v>-6.8545499999999997</v>
      </c>
      <c r="AG18" s="40">
        <v>0</v>
      </c>
    </row>
    <row r="19" spans="1:33" ht="15.75" customHeight="1" x14ac:dyDescent="0.2">
      <c r="A19" s="29" t="s">
        <v>71</v>
      </c>
      <c r="B19" s="29" t="s">
        <v>188</v>
      </c>
      <c r="C19" s="16">
        <f t="shared" si="4"/>
        <v>22.723571428571425</v>
      </c>
      <c r="D19" s="30">
        <v>14</v>
      </c>
      <c r="E19" s="30">
        <v>0</v>
      </c>
      <c r="F19" s="33">
        <v>318.12999999999994</v>
      </c>
      <c r="G19" s="31">
        <v>0</v>
      </c>
      <c r="H19" s="32">
        <f t="shared" si="1"/>
        <v>0</v>
      </c>
      <c r="I19" s="32">
        <f t="shared" si="2"/>
        <v>0.30433190631581419</v>
      </c>
      <c r="J19" s="33">
        <f t="shared" si="5"/>
        <v>96.817109356249944</v>
      </c>
      <c r="K19" s="33">
        <f t="shared" si="3"/>
        <v>6.91550781116071</v>
      </c>
      <c r="L19" s="30">
        <v>26</v>
      </c>
      <c r="M19" s="34">
        <f t="shared" si="6"/>
        <v>0.53846153846153844</v>
      </c>
      <c r="N19" s="30">
        <v>196</v>
      </c>
      <c r="O19" s="35">
        <f t="shared" ref="O19:P19" si="27">D19/7</f>
        <v>2</v>
      </c>
      <c r="P19" s="35">
        <f t="shared" si="27"/>
        <v>0</v>
      </c>
      <c r="Q19" s="30">
        <f t="shared" si="8"/>
        <v>98</v>
      </c>
      <c r="R19" s="30"/>
      <c r="S19" s="36">
        <v>0.29473684210526302</v>
      </c>
      <c r="T19" s="29">
        <v>80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9.0563697916666658E-2</v>
      </c>
      <c r="AD19" s="40">
        <f t="shared" si="12"/>
        <v>-1.7496906437499997</v>
      </c>
      <c r="AE19" s="40">
        <v>-5.42</v>
      </c>
      <c r="AF19" s="40">
        <v>-6.8545500000000006</v>
      </c>
      <c r="AG19" s="40">
        <v>0</v>
      </c>
    </row>
    <row r="20" spans="1:33" ht="15.75" customHeight="1" x14ac:dyDescent="0.2">
      <c r="A20" s="29" t="s">
        <v>74</v>
      </c>
      <c r="B20" s="29" t="s">
        <v>716</v>
      </c>
      <c r="C20" s="16">
        <f t="shared" si="4"/>
        <v>23.529117647058822</v>
      </c>
      <c r="D20" s="30">
        <v>34</v>
      </c>
      <c r="E20" s="30">
        <v>0</v>
      </c>
      <c r="F20" s="33">
        <v>799.9899999999999</v>
      </c>
      <c r="G20" s="31">
        <v>-0.05</v>
      </c>
      <c r="H20" s="32">
        <f t="shared" si="1"/>
        <v>6.2500781259765758E-5</v>
      </c>
      <c r="I20" s="32">
        <f t="shared" si="2"/>
        <v>0.32295097600438749</v>
      </c>
      <c r="J20" s="33">
        <f t="shared" si="5"/>
        <v>258.35755129374991</v>
      </c>
      <c r="K20" s="33">
        <f t="shared" si="3"/>
        <v>7.5987515086397028</v>
      </c>
      <c r="L20" s="30">
        <v>72</v>
      </c>
      <c r="M20" s="34">
        <f t="shared" si="6"/>
        <v>0.47222222222222221</v>
      </c>
      <c r="N20" s="30">
        <v>168</v>
      </c>
      <c r="O20" s="35">
        <f t="shared" ref="O20:P20" si="28">D20/7</f>
        <v>4.8571428571428568</v>
      </c>
      <c r="P20" s="35">
        <f t="shared" si="28"/>
        <v>0</v>
      </c>
      <c r="Q20" s="30">
        <f t="shared" si="8"/>
        <v>34</v>
      </c>
      <c r="R20" s="30"/>
      <c r="S20" s="36">
        <v>0.64088397790055196</v>
      </c>
      <c r="T20" s="29">
        <v>352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9.0563697916666658E-2</v>
      </c>
      <c r="AD20" s="40">
        <f t="shared" si="12"/>
        <v>-4.2492487062499995</v>
      </c>
      <c r="AE20" s="40">
        <v>-5.42</v>
      </c>
      <c r="AF20" s="40">
        <v>-6.8545500000000006</v>
      </c>
      <c r="AG20" s="40">
        <v>0</v>
      </c>
    </row>
    <row r="21" spans="1:33" ht="15.75" customHeight="1" x14ac:dyDescent="0.2">
      <c r="A21" s="29" t="s">
        <v>75</v>
      </c>
      <c r="B21" s="29" t="s">
        <v>637</v>
      </c>
      <c r="C21" s="16">
        <f t="shared" si="4"/>
        <v>26.028113207547175</v>
      </c>
      <c r="D21" s="30">
        <v>53</v>
      </c>
      <c r="E21" s="30">
        <v>0</v>
      </c>
      <c r="F21" s="33">
        <v>1379.4900000000002</v>
      </c>
      <c r="G21" s="31">
        <v>-0.14000000000000001</v>
      </c>
      <c r="H21" s="32">
        <f t="shared" si="1"/>
        <v>1.0148678134672958E-4</v>
      </c>
      <c r="I21" s="32">
        <f t="shared" si="2"/>
        <v>0.37350870331381519</v>
      </c>
      <c r="J21" s="33">
        <f t="shared" si="5"/>
        <v>515.25152113437503</v>
      </c>
      <c r="K21" s="33">
        <f t="shared" si="3"/>
        <v>9.721726813856133</v>
      </c>
      <c r="L21" s="30">
        <v>56</v>
      </c>
      <c r="M21" s="34">
        <f t="shared" si="6"/>
        <v>0.9464285714285714</v>
      </c>
      <c r="N21" s="30">
        <v>106</v>
      </c>
      <c r="O21" s="35">
        <f t="shared" ref="O21:P21" si="29">D21/7</f>
        <v>7.5714285714285712</v>
      </c>
      <c r="P21" s="35">
        <f t="shared" si="29"/>
        <v>0</v>
      </c>
      <c r="Q21" s="30">
        <f t="shared" si="8"/>
        <v>14</v>
      </c>
      <c r="R21" s="30"/>
      <c r="S21" s="36">
        <v>3.0169491525423702</v>
      </c>
      <c r="T21" s="29">
        <v>352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9.0563697916666658E-2</v>
      </c>
      <c r="AD21" s="40">
        <f t="shared" si="12"/>
        <v>-6.6238288656249988</v>
      </c>
      <c r="AE21" s="40">
        <v>-5.42</v>
      </c>
      <c r="AF21" s="40">
        <v>-6.8545500000000006</v>
      </c>
      <c r="AG21" s="40">
        <v>0</v>
      </c>
    </row>
    <row r="22" spans="1:33" ht="15.75" customHeight="1" x14ac:dyDescent="0.2">
      <c r="A22" s="29" t="s">
        <v>76</v>
      </c>
      <c r="B22" s="29" t="s">
        <v>637</v>
      </c>
      <c r="C22" s="16">
        <f t="shared" si="4"/>
        <v>29.245999999999981</v>
      </c>
      <c r="D22" s="30">
        <v>40</v>
      </c>
      <c r="E22" s="30">
        <v>0</v>
      </c>
      <c r="F22" s="31">
        <v>1169.8399999999992</v>
      </c>
      <c r="G22" s="31">
        <v>-0.08</v>
      </c>
      <c r="H22" s="32">
        <f t="shared" si="1"/>
        <v>6.8385420228407346E-5</v>
      </c>
      <c r="I22" s="32">
        <f t="shared" si="2"/>
        <v>0.42595815143523869</v>
      </c>
      <c r="J22" s="33">
        <f t="shared" si="5"/>
        <v>498.30288387499928</v>
      </c>
      <c r="K22" s="33">
        <f t="shared" si="3"/>
        <v>12.457572096874982</v>
      </c>
      <c r="L22" s="30">
        <v>120</v>
      </c>
      <c r="M22" s="34">
        <f t="shared" si="6"/>
        <v>0.33333333333333331</v>
      </c>
      <c r="N22" s="30">
        <v>67</v>
      </c>
      <c r="O22" s="35">
        <f t="shared" ref="O22:P22" si="30">D22/7</f>
        <v>5.7142857142857144</v>
      </c>
      <c r="P22" s="35">
        <f t="shared" si="30"/>
        <v>0</v>
      </c>
      <c r="Q22" s="30">
        <f t="shared" si="8"/>
        <v>11</v>
      </c>
      <c r="R22" s="30"/>
      <c r="S22" s="36">
        <v>7.6056338028169002</v>
      </c>
      <c r="T22" s="29">
        <v>352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9.0563697916666658E-2</v>
      </c>
      <c r="AD22" s="40">
        <f t="shared" si="12"/>
        <v>-4.9991161249999996</v>
      </c>
      <c r="AE22" s="40">
        <v>-5.42</v>
      </c>
      <c r="AF22" s="40">
        <v>-6.8545500000000006</v>
      </c>
      <c r="AG22" s="40">
        <v>0</v>
      </c>
    </row>
    <row r="23" spans="1:33" ht="15.75" customHeight="1" x14ac:dyDescent="0.2">
      <c r="A23" s="29" t="s">
        <v>77</v>
      </c>
      <c r="B23" s="29" t="s">
        <v>54</v>
      </c>
      <c r="C23" s="16">
        <f t="shared" si="4"/>
        <v>30.129130434782599</v>
      </c>
      <c r="D23" s="30">
        <v>23</v>
      </c>
      <c r="E23" s="30">
        <v>1</v>
      </c>
      <c r="F23" s="33">
        <v>692.9699999999998</v>
      </c>
      <c r="G23" s="31">
        <v>-0.32</v>
      </c>
      <c r="H23" s="32">
        <f t="shared" si="1"/>
        <v>4.6178045225623058E-4</v>
      </c>
      <c r="I23" s="32">
        <f t="shared" si="2"/>
        <v>0.43799206059154766</v>
      </c>
      <c r="J23" s="33">
        <f t="shared" si="5"/>
        <v>303.51535822812468</v>
      </c>
      <c r="K23" s="33">
        <f t="shared" si="3"/>
        <v>13.196319922961942</v>
      </c>
      <c r="L23" s="30">
        <v>101</v>
      </c>
      <c r="M23" s="34">
        <f t="shared" si="6"/>
        <v>0.22772277227722773</v>
      </c>
      <c r="N23" s="30">
        <v>41</v>
      </c>
      <c r="O23" s="35">
        <f t="shared" ref="O23:P23" si="31">D23/7</f>
        <v>3.2857142857142856</v>
      </c>
      <c r="P23" s="35">
        <f t="shared" si="31"/>
        <v>0.14285714285714285</v>
      </c>
      <c r="Q23" s="30">
        <f t="shared" si="8"/>
        <v>11</v>
      </c>
      <c r="R23" s="30"/>
      <c r="S23" s="36">
        <v>12.156862745098</v>
      </c>
      <c r="T23" s="29">
        <v>352</v>
      </c>
      <c r="U23" s="37" t="s">
        <v>34</v>
      </c>
      <c r="V23" s="38" t="s">
        <v>754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9.0563697916666658E-2</v>
      </c>
      <c r="AD23" s="40">
        <f t="shared" si="12"/>
        <v>-2.8744917718749998</v>
      </c>
      <c r="AE23" s="40">
        <v>-5.42</v>
      </c>
      <c r="AF23" s="40">
        <v>-6.8545500000000006</v>
      </c>
      <c r="AG23" s="40">
        <v>0</v>
      </c>
    </row>
    <row r="24" spans="1:33" ht="15.75" customHeight="1" x14ac:dyDescent="0.2">
      <c r="A24" s="29" t="s">
        <v>79</v>
      </c>
      <c r="B24" s="29" t="s">
        <v>172</v>
      </c>
      <c r="C24" s="16">
        <f t="shared" si="4"/>
        <v>29.232068965517247</v>
      </c>
      <c r="D24" s="30">
        <v>29</v>
      </c>
      <c r="E24" s="30">
        <v>0</v>
      </c>
      <c r="F24" s="33">
        <v>847.73000000000013</v>
      </c>
      <c r="G24" s="33">
        <v>-0.08</v>
      </c>
      <c r="H24" s="32">
        <f t="shared" si="1"/>
        <v>9.4369669588194343E-5</v>
      </c>
      <c r="I24" s="32">
        <f t="shared" si="2"/>
        <v>0.42573011549594197</v>
      </c>
      <c r="J24" s="33">
        <f t="shared" si="5"/>
        <v>360.90419080937494</v>
      </c>
      <c r="K24" s="33">
        <f t="shared" si="3"/>
        <v>12.444972096874999</v>
      </c>
      <c r="L24" s="30">
        <v>87</v>
      </c>
      <c r="M24" s="34">
        <f t="shared" si="6"/>
        <v>0.33333333333333331</v>
      </c>
      <c r="N24" s="30">
        <v>14</v>
      </c>
      <c r="O24" s="35">
        <f t="shared" ref="O24:P24" si="32">D24/7</f>
        <v>4.1428571428571432</v>
      </c>
      <c r="P24" s="35">
        <f t="shared" si="32"/>
        <v>0</v>
      </c>
      <c r="Q24" s="30">
        <f t="shared" si="8"/>
        <v>3</v>
      </c>
      <c r="R24" s="30"/>
      <c r="S24" s="36">
        <v>3.2477064220183398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Summary!A1:AD5000""),9,FALSE),"""")"),352)</f>
        <v>352</v>
      </c>
      <c r="U24" s="37">
        <f ca="1">IFERROR(__xludf.DUMMYFUNCTION("IFERROR(VLOOKUP($B$2,IMPORTRANGE(""https://docs.google.com/spreadsheets/d/1iVgg6Mw12RULLujzHmfOFIY8Q_KaAD8anoZzgtVAQ74/edit#gid=1503384807"",""Ubiquitty - Summary!A1:AD5000""),28,FALSE),"""")"),80)</f>
        <v>80</v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 | AGL216: 80 - 08/09/21")</f>
        <v xml:space="preserve"> | AGL216: 80 - 08/09/21</v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9.0563697916666658E-2</v>
      </c>
      <c r="AD24" s="40">
        <f t="shared" si="12"/>
        <v>-3.6243591906249994</v>
      </c>
      <c r="AE24" s="40">
        <v>-5.42</v>
      </c>
      <c r="AF24" s="40">
        <v>-6.8545500000000006</v>
      </c>
      <c r="AG24" s="40">
        <v>0</v>
      </c>
    </row>
    <row r="25" spans="1:33" ht="15.75" customHeight="1" x14ac:dyDescent="0.2">
      <c r="A25" s="15" t="s">
        <v>81</v>
      </c>
      <c r="B25" s="15" t="s">
        <v>637</v>
      </c>
      <c r="C25" s="16">
        <f t="shared" si="4"/>
        <v>28.99</v>
      </c>
      <c r="D25" s="17">
        <v>16</v>
      </c>
      <c r="E25" s="17">
        <v>1</v>
      </c>
      <c r="F25" s="18">
        <v>463.84</v>
      </c>
      <c r="G25" s="18">
        <v>0</v>
      </c>
      <c r="H25" s="32">
        <f t="shared" si="1"/>
        <v>0</v>
      </c>
      <c r="I25" s="32">
        <f t="shared" si="2"/>
        <v>0.42243953421438429</v>
      </c>
      <c r="J25" s="33">
        <f t="shared" si="5"/>
        <v>195.94435354999999</v>
      </c>
      <c r="K25" s="33">
        <f t="shared" si="3"/>
        <v>12.246522096874999</v>
      </c>
      <c r="L25" s="17">
        <v>67</v>
      </c>
      <c r="M25" s="34">
        <f t="shared" si="6"/>
        <v>0.23880597014925373</v>
      </c>
      <c r="N25" s="17">
        <v>50</v>
      </c>
      <c r="O25" s="35">
        <f t="shared" ref="O25:P25" si="33">D25/7</f>
        <v>2.2857142857142856</v>
      </c>
      <c r="P25" s="35">
        <f t="shared" si="33"/>
        <v>0.14285714285714285</v>
      </c>
      <c r="Q25" s="30">
        <f t="shared" si="8"/>
        <v>20</v>
      </c>
      <c r="R25" s="30"/>
      <c r="S25" s="36">
        <v>3.2477064220183398</v>
      </c>
      <c r="T25" s="29">
        <v>352</v>
      </c>
      <c r="U25" s="37" t="s">
        <v>34</v>
      </c>
      <c r="V25" s="38" t="s">
        <v>755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9.0563697916666658E-2</v>
      </c>
      <c r="AD25" s="40">
        <f t="shared" si="12"/>
        <v>-1.9996464499999997</v>
      </c>
      <c r="AE25" s="26">
        <v>-5.42</v>
      </c>
      <c r="AF25" s="26">
        <v>-6.85</v>
      </c>
      <c r="AG25" s="26">
        <v>0</v>
      </c>
    </row>
    <row r="26" spans="1:33" ht="15.75" customHeight="1" x14ac:dyDescent="0.2">
      <c r="A26" s="15" t="s">
        <v>83</v>
      </c>
      <c r="B26" s="15" t="s">
        <v>54</v>
      </c>
      <c r="C26" s="16">
        <f t="shared" si="4"/>
        <v>28.99</v>
      </c>
      <c r="D26" s="17">
        <v>21</v>
      </c>
      <c r="E26" s="17">
        <v>0</v>
      </c>
      <c r="F26" s="18">
        <v>608.79</v>
      </c>
      <c r="G26" s="18">
        <v>-0.16</v>
      </c>
      <c r="H26" s="32">
        <f t="shared" si="1"/>
        <v>2.628164063141642E-4</v>
      </c>
      <c r="I26" s="32">
        <f t="shared" si="2"/>
        <v>0.41305115726995351</v>
      </c>
      <c r="J26" s="33">
        <f t="shared" si="5"/>
        <v>251.461414034375</v>
      </c>
      <c r="K26" s="33">
        <f t="shared" si="3"/>
        <v>11.974353049255953</v>
      </c>
      <c r="L26" s="17">
        <v>78</v>
      </c>
      <c r="M26" s="34">
        <f t="shared" si="6"/>
        <v>0.26923076923076922</v>
      </c>
      <c r="N26" s="17">
        <v>34</v>
      </c>
      <c r="O26" s="35">
        <f t="shared" ref="O26:P26" si="34">D26/7</f>
        <v>3</v>
      </c>
      <c r="P26" s="35">
        <f t="shared" si="34"/>
        <v>0</v>
      </c>
      <c r="Q26" s="30">
        <f t="shared" si="8"/>
        <v>11</v>
      </c>
      <c r="R26" s="30"/>
      <c r="S26" s="22">
        <v>7.1803278688524594</v>
      </c>
      <c r="T26" s="29">
        <v>352</v>
      </c>
      <c r="U26" s="37">
        <v>80</v>
      </c>
      <c r="V26" s="38" t="s">
        <v>756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9.0563697916666658E-2</v>
      </c>
      <c r="AD26" s="40">
        <f t="shared" si="12"/>
        <v>-2.6245359656249998</v>
      </c>
      <c r="AE26" s="26">
        <v>-5.68</v>
      </c>
      <c r="AF26" s="26">
        <v>-6.8545499999999997</v>
      </c>
      <c r="AG26" s="26">
        <v>0</v>
      </c>
    </row>
    <row r="27" spans="1:33" ht="15.75" customHeight="1" x14ac:dyDescent="0.2">
      <c r="A27" s="15" t="s">
        <v>84</v>
      </c>
      <c r="B27" s="15" t="s">
        <v>172</v>
      </c>
      <c r="C27" s="16">
        <f t="shared" si="4"/>
        <v>29.020666666666667</v>
      </c>
      <c r="D27" s="17">
        <v>15</v>
      </c>
      <c r="E27" s="17">
        <v>0</v>
      </c>
      <c r="F27" s="18">
        <v>435.31</v>
      </c>
      <c r="G27" s="18">
        <v>-0.09</v>
      </c>
      <c r="H27" s="32">
        <f t="shared" si="1"/>
        <v>2.0674921320438307E-4</v>
      </c>
      <c r="I27" s="32">
        <f t="shared" si="2"/>
        <v>0.41356867853512447</v>
      </c>
      <c r="J27" s="33">
        <f t="shared" si="5"/>
        <v>180.03058145312502</v>
      </c>
      <c r="K27" s="33">
        <f t="shared" si="3"/>
        <v>12.002038763541668</v>
      </c>
      <c r="L27" s="17">
        <v>75</v>
      </c>
      <c r="M27" s="34">
        <f t="shared" si="6"/>
        <v>0.2</v>
      </c>
      <c r="N27" s="17">
        <v>11</v>
      </c>
      <c r="O27" s="35">
        <f t="shared" ref="O27:P27" si="35">D27/7</f>
        <v>2.1428571428571428</v>
      </c>
      <c r="P27" s="35">
        <f t="shared" si="35"/>
        <v>0</v>
      </c>
      <c r="Q27" s="30">
        <f t="shared" si="8"/>
        <v>5</v>
      </c>
      <c r="R27" s="30"/>
      <c r="S27" s="22">
        <v>15.87096774193548</v>
      </c>
      <c r="T27" s="29">
        <v>352</v>
      </c>
      <c r="U27" s="37">
        <v>80</v>
      </c>
      <c r="V27" s="38" t="s">
        <v>756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9.0563697916666658E-2</v>
      </c>
      <c r="AD27" s="40">
        <f t="shared" si="12"/>
        <v>-1.8746685468749997</v>
      </c>
      <c r="AE27" s="26">
        <v>-5.68</v>
      </c>
      <c r="AF27" s="26">
        <v>-6.8545499999999997</v>
      </c>
      <c r="AG27" s="26">
        <v>0</v>
      </c>
    </row>
    <row r="28" spans="1:33" ht="15.75" customHeight="1" x14ac:dyDescent="0.2">
      <c r="A28" s="15" t="s">
        <v>85</v>
      </c>
      <c r="B28" s="15" t="s">
        <v>172</v>
      </c>
      <c r="C28" s="16">
        <f t="shared" si="4"/>
        <v>28.99</v>
      </c>
      <c r="D28" s="17">
        <v>5</v>
      </c>
      <c r="E28" s="17">
        <v>0</v>
      </c>
      <c r="F28" s="18">
        <v>144.94999999999999</v>
      </c>
      <c r="G28" s="18">
        <v>0</v>
      </c>
      <c r="H28" s="32">
        <f t="shared" si="1"/>
        <v>0</v>
      </c>
      <c r="I28" s="32">
        <f t="shared" si="2"/>
        <v>0.35888546703604723</v>
      </c>
      <c r="J28" s="33">
        <f t="shared" si="5"/>
        <v>52.020448446875044</v>
      </c>
      <c r="K28" s="33">
        <f t="shared" si="3"/>
        <v>10.404089689375009</v>
      </c>
      <c r="L28" s="17">
        <v>34</v>
      </c>
      <c r="M28" s="34">
        <f t="shared" si="6"/>
        <v>0.14705882352941177</v>
      </c>
      <c r="N28" s="17">
        <v>0</v>
      </c>
      <c r="O28" s="35">
        <f t="shared" ref="O28:P28" si="36">D28/7</f>
        <v>0.7142857142857143</v>
      </c>
      <c r="P28" s="35">
        <f t="shared" si="36"/>
        <v>0</v>
      </c>
      <c r="Q28" s="30">
        <f t="shared" si="8"/>
        <v>0</v>
      </c>
      <c r="R28" s="30"/>
      <c r="S28" s="22">
        <v>0</v>
      </c>
      <c r="T28" s="15">
        <v>272</v>
      </c>
      <c r="U28" s="23">
        <v>80</v>
      </c>
      <c r="V28" s="1" t="s">
        <v>757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9.0563697916666658E-2</v>
      </c>
      <c r="AD28" s="40">
        <f t="shared" si="12"/>
        <v>-0.62488951562499995</v>
      </c>
      <c r="AE28" s="26">
        <v>-5.68</v>
      </c>
      <c r="AF28" s="26">
        <v>-8.4324324074999897</v>
      </c>
      <c r="AG28" s="26">
        <v>0</v>
      </c>
    </row>
    <row r="29" spans="1:33" ht="15.75" customHeight="1" x14ac:dyDescent="0.2">
      <c r="A29" s="15" t="s">
        <v>88</v>
      </c>
      <c r="B29" s="15" t="s">
        <v>172</v>
      </c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>
        <v>352</v>
      </c>
      <c r="V29" s="1" t="s">
        <v>758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9.0563697916666658E-2</v>
      </c>
      <c r="AD29" s="40">
        <f t="shared" si="12"/>
        <v>0</v>
      </c>
      <c r="AE29" s="26">
        <v>-5.68</v>
      </c>
      <c r="AF29" s="26">
        <v>-7.9003445324999904</v>
      </c>
      <c r="AG29" s="26">
        <v>0</v>
      </c>
    </row>
    <row r="30" spans="1:33" ht="15.75" customHeight="1" x14ac:dyDescent="0.2">
      <c r="A30" s="15" t="s">
        <v>90</v>
      </c>
      <c r="B30" s="15" t="s">
        <v>172</v>
      </c>
      <c r="C30" s="16">
        <f t="shared" si="4"/>
        <v>28.99</v>
      </c>
      <c r="D30" s="17">
        <v>1</v>
      </c>
      <c r="E30" s="17">
        <v>0</v>
      </c>
      <c r="F30" s="18">
        <v>28.99</v>
      </c>
      <c r="G30" s="18">
        <v>0</v>
      </c>
      <c r="H30" s="32">
        <f t="shared" si="1"/>
        <v>0</v>
      </c>
      <c r="I30" s="32">
        <f t="shared" si="2"/>
        <v>0.39442743840009481</v>
      </c>
      <c r="J30" s="33">
        <f t="shared" si="5"/>
        <v>11.434451439218748</v>
      </c>
      <c r="K30" s="33">
        <f t="shared" si="3"/>
        <v>11.434451439218748</v>
      </c>
      <c r="L30" s="17">
        <v>0</v>
      </c>
      <c r="M30" s="34" t="str">
        <f t="shared" si="6"/>
        <v>-</v>
      </c>
      <c r="N30" s="17">
        <v>1</v>
      </c>
      <c r="O30" s="35">
        <f t="shared" ref="O30:P30" si="38">D30/7</f>
        <v>0.14285714285714285</v>
      </c>
      <c r="P30" s="35">
        <f t="shared" si="38"/>
        <v>0</v>
      </c>
      <c r="Q30" s="30">
        <f t="shared" si="8"/>
        <v>7</v>
      </c>
      <c r="R30" s="30"/>
      <c r="S30" s="22">
        <v>5.9644970414201186</v>
      </c>
      <c r="T30" s="15" t="s">
        <v>34</v>
      </c>
      <c r="U30" s="23">
        <v>352</v>
      </c>
      <c r="V30" s="1" t="s">
        <v>759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9.0563697916666658E-2</v>
      </c>
      <c r="AD30" s="40">
        <f t="shared" si="12"/>
        <v>-0.12497790312499998</v>
      </c>
      <c r="AE30" s="26">
        <v>-5.68</v>
      </c>
      <c r="AF30" s="26">
        <v>-7.4020706576562496</v>
      </c>
      <c r="AG30" s="26">
        <v>0</v>
      </c>
    </row>
    <row r="31" spans="1:33" ht="15.75" customHeight="1" x14ac:dyDescent="0.2">
      <c r="A31" s="15" t="s">
        <v>93</v>
      </c>
      <c r="B31" s="15"/>
      <c r="C31" s="16">
        <f t="shared" si="4"/>
        <v>28.99</v>
      </c>
      <c r="D31" s="17">
        <v>1</v>
      </c>
      <c r="E31" s="17">
        <v>0</v>
      </c>
      <c r="F31" s="18">
        <v>28.99</v>
      </c>
      <c r="G31" s="18">
        <v>0</v>
      </c>
      <c r="H31" s="32">
        <f t="shared" si="1"/>
        <v>0</v>
      </c>
      <c r="I31" s="32">
        <f t="shared" si="2"/>
        <v>0.39442743840009481</v>
      </c>
      <c r="J31" s="33">
        <f t="shared" si="5"/>
        <v>11.434451439218748</v>
      </c>
      <c r="K31" s="33">
        <f t="shared" si="3"/>
        <v>11.434451439218748</v>
      </c>
      <c r="L31" s="17">
        <v>9</v>
      </c>
      <c r="M31" s="34">
        <f t="shared" si="6"/>
        <v>0.1111111111111111</v>
      </c>
      <c r="N31" s="17">
        <v>0</v>
      </c>
      <c r="O31" s="35">
        <f t="shared" ref="O31:P31" si="39">D31/7</f>
        <v>0.14285714285714285</v>
      </c>
      <c r="P31" s="35">
        <f t="shared" si="39"/>
        <v>0</v>
      </c>
      <c r="Q31" s="30">
        <f t="shared" si="8"/>
        <v>0</v>
      </c>
      <c r="R31" s="30"/>
      <c r="S31" s="22">
        <v>10.6105263157894</v>
      </c>
      <c r="T31" s="15" t="s">
        <v>34</v>
      </c>
      <c r="U31" s="23">
        <v>352</v>
      </c>
      <c r="V31" s="1" t="s">
        <v>760</v>
      </c>
      <c r="W31" s="15">
        <v>0</v>
      </c>
      <c r="X31" s="39">
        <f t="shared" si="9"/>
        <v>0</v>
      </c>
      <c r="Y31" s="40">
        <f t="shared" si="10"/>
        <v>0</v>
      </c>
      <c r="Z31" s="15">
        <v>0</v>
      </c>
      <c r="AA31" s="15" t="s">
        <v>35</v>
      </c>
      <c r="AB31" s="41">
        <f t="shared" si="11"/>
        <v>-0.69</v>
      </c>
      <c r="AC31" s="28">
        <v>9.0563697916666658E-2</v>
      </c>
      <c r="AD31" s="40">
        <f t="shared" si="12"/>
        <v>-0.12497790312499998</v>
      </c>
      <c r="AE31" s="26">
        <v>-5.68</v>
      </c>
      <c r="AF31" s="43">
        <v>-7.4020706576562496</v>
      </c>
      <c r="AG31" s="26">
        <v>0</v>
      </c>
    </row>
    <row r="32" spans="1:33" ht="15.75" customHeight="1" x14ac:dyDescent="0.2">
      <c r="A32" s="15" t="s">
        <v>96</v>
      </c>
      <c r="B32" s="44" t="s">
        <v>172</v>
      </c>
      <c r="C32" s="16">
        <f t="shared" si="4"/>
        <v>28.99</v>
      </c>
      <c r="D32" s="17">
        <v>1</v>
      </c>
      <c r="E32" s="17">
        <v>0</v>
      </c>
      <c r="F32" s="18">
        <v>28.99</v>
      </c>
      <c r="G32" s="18">
        <v>0</v>
      </c>
      <c r="H32" s="32">
        <f t="shared" si="1"/>
        <v>0</v>
      </c>
      <c r="I32" s="32">
        <f t="shared" si="2"/>
        <v>0.39442743840009481</v>
      </c>
      <c r="J32" s="33">
        <f t="shared" si="5"/>
        <v>11.434451439218748</v>
      </c>
      <c r="K32" s="33">
        <f t="shared" si="3"/>
        <v>11.434451439218748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0.14285714285714285</v>
      </c>
      <c r="P32" s="35">
        <f t="shared" si="40"/>
        <v>0</v>
      </c>
      <c r="Q32" s="30">
        <f t="shared" si="8"/>
        <v>0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4.1191489361702116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>
        <f ca="1">IFERROR(__xludf.DUMMYFUNCTION("IFERROR(VLOOKUP($B$2,IMPORTRANGE(""https://docs.google.com/spreadsheets/d/1KiWZV1ko8G7lnRucBRBd29jj3Be6ltMfljMDqzOkQmI/edit#gid=1381463014"",""Lookup!A:D""),3,FALSE),"""")"),352)</f>
        <v>352</v>
      </c>
      <c r="V32" s="1" t="str">
        <f ca="1">IFERROR(__xludf.DUMMYFUNCTION("IFERROR(VLOOKUP($B$2,IMPORTRANGE(""https://docs.google.com/spreadsheets/d/1KiWZV1ko8G7lnRucBRBd29jj3Be6ltMfljMDqzOkQmI/edit#gid=1381463014"",""Lookup!A:D""),2,FALSE),"""")"),"| AGL216  - 80 units 08/09| S210702  - 272 units 08/16")</f>
        <v>| AGL216  - 80 units 08/09| S210702  - 272 units 08/16</v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9.0563697916666658E-2</v>
      </c>
      <c r="AD32" s="40">
        <f t="shared" si="12"/>
        <v>-0.12497790312499998</v>
      </c>
      <c r="AE32" s="26">
        <v>-5.68</v>
      </c>
      <c r="AF32" s="26">
        <v>-7.4020706576562496</v>
      </c>
      <c r="AG32" s="26">
        <v>0</v>
      </c>
    </row>
    <row r="33" spans="1:33" ht="15.75" customHeight="1" x14ac:dyDescent="0.2">
      <c r="A33" s="15"/>
      <c r="B33" s="1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ht="15.75" customHeight="1" x14ac:dyDescent="0.2">
      <c r="A34" s="15"/>
      <c r="B34" s="1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.75" customHeight="1" x14ac:dyDescent="0.2">
      <c r="A35" s="15"/>
      <c r="B35" s="1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15.75" customHeight="1" x14ac:dyDescent="0.2">
      <c r="A36" s="15"/>
      <c r="B36" s="1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15.75" customHeight="1" x14ac:dyDescent="0.2">
      <c r="A37" s="15"/>
      <c r="B37" s="1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15.75" customHeight="1" x14ac:dyDescent="0.2">
      <c r="A38" s="15"/>
      <c r="B38" s="1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15.75" customHeight="1" x14ac:dyDescent="0.2">
      <c r="A39" s="15"/>
      <c r="B39" s="1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.75" customHeight="1" x14ac:dyDescent="0.2">
      <c r="A40" s="15"/>
      <c r="B40" s="1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15.75" customHeight="1" x14ac:dyDescent="0.2">
      <c r="A41" s="15"/>
      <c r="B41" s="1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15.75" customHeight="1" x14ac:dyDescent="0.2">
      <c r="A42" s="15"/>
      <c r="B42" s="1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15.75" customHeight="1" x14ac:dyDescent="0.2">
      <c r="A43" s="15"/>
      <c r="B43" s="1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15.75" customHeight="1" x14ac:dyDescent="0.2">
      <c r="A44" s="15"/>
      <c r="B44" s="1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.75" customHeight="1" x14ac:dyDescent="0.2">
      <c r="A45" s="15"/>
      <c r="B45" s="1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15.75" customHeight="1" x14ac:dyDescent="0.2">
      <c r="A46" s="15"/>
      <c r="B46" s="1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15.75" customHeight="1" x14ac:dyDescent="0.2">
      <c r="A47" s="15"/>
      <c r="B47" s="1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5.75" customHeight="1" x14ac:dyDescent="0.2">
      <c r="A48" s="15"/>
      <c r="B48" s="1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15.75" customHeight="1" x14ac:dyDescent="0.2">
      <c r="A49" s="15"/>
      <c r="B49" s="1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5.75" customHeight="1" x14ac:dyDescent="0.2">
      <c r="A50" s="15"/>
      <c r="B50" s="1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5.75" customHeight="1" x14ac:dyDescent="0.2">
      <c r="A51" s="15"/>
      <c r="B51" s="1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5.75" customHeight="1" x14ac:dyDescent="0.2">
      <c r="A52" s="15"/>
      <c r="B52" s="1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5.75" customHeight="1" x14ac:dyDescent="0.2">
      <c r="A53" s="15"/>
      <c r="B53" s="1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15.75" customHeight="1" x14ac:dyDescent="0.2">
      <c r="A54" s="15"/>
      <c r="B54" s="1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15.75" customHeight="1" x14ac:dyDescent="0.2">
      <c r="A55" s="15"/>
      <c r="B55" s="1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15.75" customHeight="1" x14ac:dyDescent="0.2">
      <c r="A56" s="15"/>
      <c r="B56" s="1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15.75" customHeight="1" x14ac:dyDescent="0.2">
      <c r="A57" s="15"/>
      <c r="B57" s="1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15.75" customHeight="1" x14ac:dyDescent="0.2">
      <c r="A58" s="15"/>
      <c r="B58" s="1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15.75" customHeight="1" x14ac:dyDescent="0.2">
      <c r="A59" s="15"/>
      <c r="B59" s="1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15.75" customHeight="1" x14ac:dyDescent="0.2">
      <c r="A60" s="15"/>
      <c r="B60" s="1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15.75" customHeight="1" x14ac:dyDescent="0.2">
      <c r="A61" s="15"/>
      <c r="B61" s="1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15.75" customHeight="1" x14ac:dyDescent="0.2">
      <c r="A62" s="15"/>
      <c r="B62" s="1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15.75" customHeight="1" x14ac:dyDescent="0.2">
      <c r="A63" s="15"/>
      <c r="B63" s="1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15.75" customHeight="1" x14ac:dyDescent="0.2">
      <c r="A64" s="15"/>
      <c r="B64" s="1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.75" customHeight="1" x14ac:dyDescent="0.2">
      <c r="A65" s="15"/>
      <c r="B65" s="1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15.75" customHeight="1" x14ac:dyDescent="0.2">
      <c r="A66" s="15"/>
      <c r="B66" s="1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15.75" customHeight="1" x14ac:dyDescent="0.2">
      <c r="A67" s="15"/>
      <c r="B67" s="1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ht="15.75" customHeight="1" x14ac:dyDescent="0.2">
      <c r="A68" s="15"/>
      <c r="B68" s="1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15.75" customHeight="1" x14ac:dyDescent="0.2">
      <c r="A69" s="15"/>
      <c r="B69" s="1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ht="15.75" customHeight="1" x14ac:dyDescent="0.2">
      <c r="A70" s="15"/>
      <c r="B70" s="1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ht="15.75" customHeight="1" x14ac:dyDescent="0.2">
      <c r="A71" s="15"/>
      <c r="B71" s="1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spans="1:33" ht="15.75" customHeight="1" x14ac:dyDescent="0.2">
      <c r="A72" s="15"/>
      <c r="B72" s="1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15.75" customHeight="1" x14ac:dyDescent="0.2">
      <c r="A73" s="15"/>
      <c r="B73" s="1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spans="1:33" ht="15.75" customHeight="1" x14ac:dyDescent="0.2">
      <c r="A74" s="15"/>
      <c r="B74" s="1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ht="15.75" customHeight="1" x14ac:dyDescent="0.2">
      <c r="A75" s="15"/>
      <c r="B75" s="1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15.75" customHeight="1" x14ac:dyDescent="0.2">
      <c r="A76" s="15"/>
      <c r="B76" s="1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15.75" customHeight="1" x14ac:dyDescent="0.2">
      <c r="A77" s="15"/>
      <c r="B77" s="1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15.75" customHeight="1" x14ac:dyDescent="0.2">
      <c r="A78" s="15"/>
      <c r="B78" s="1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15.75" customHeight="1" x14ac:dyDescent="0.2">
      <c r="A79" s="15"/>
      <c r="B79" s="1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15.75" customHeight="1" x14ac:dyDescent="0.2">
      <c r="A80" s="15"/>
      <c r="B80" s="1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15.75" customHeight="1" x14ac:dyDescent="0.2">
      <c r="A81" s="15"/>
      <c r="B81" s="1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15.75" customHeight="1" x14ac:dyDescent="0.2">
      <c r="A82" s="15"/>
      <c r="B82" s="1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15.75" customHeight="1" x14ac:dyDescent="0.2">
      <c r="A83" s="15"/>
      <c r="B83" s="1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15.75" customHeight="1" x14ac:dyDescent="0.2">
      <c r="A84" s="15"/>
      <c r="B84" s="1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15.75" customHeight="1" x14ac:dyDescent="0.2">
      <c r="A85" s="15"/>
      <c r="B85" s="1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15.75" customHeight="1" x14ac:dyDescent="0.2">
      <c r="A86" s="15"/>
      <c r="B86" s="1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15.75" customHeight="1" x14ac:dyDescent="0.2">
      <c r="A87" s="15"/>
      <c r="B87" s="1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15.75" customHeight="1" x14ac:dyDescent="0.2">
      <c r="A88" s="15"/>
      <c r="B88" s="1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15.75" customHeight="1" x14ac:dyDescent="0.2">
      <c r="A89" s="15"/>
      <c r="B89" s="1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15.75" customHeight="1" x14ac:dyDescent="0.2">
      <c r="A90" s="15"/>
      <c r="B90" s="1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15.75" customHeight="1" x14ac:dyDescent="0.2">
      <c r="A91" s="15"/>
      <c r="B91" s="1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15.75" customHeight="1" x14ac:dyDescent="0.2">
      <c r="A92" s="15"/>
      <c r="B92" s="1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15.75" customHeight="1" x14ac:dyDescent="0.2">
      <c r="A93" s="15"/>
      <c r="B93" s="1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15.75" customHeight="1" x14ac:dyDescent="0.2">
      <c r="A94" s="15"/>
      <c r="B94" s="1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5.75" customHeight="1" x14ac:dyDescent="0.2">
      <c r="A95" s="15"/>
      <c r="B95" s="1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.75" customHeight="1" x14ac:dyDescent="0.2">
      <c r="A96" s="15"/>
      <c r="B96" s="1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15.75" customHeight="1" x14ac:dyDescent="0.2">
      <c r="A97" s="15"/>
      <c r="B97" s="1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15.75" customHeight="1" x14ac:dyDescent="0.2">
      <c r="A98" s="15"/>
      <c r="B98" s="1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15.75" customHeight="1" x14ac:dyDescent="0.2">
      <c r="A99" s="15"/>
      <c r="B99" s="1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15.75" customHeight="1" x14ac:dyDescent="0.2">
      <c r="A100" s="15"/>
      <c r="B100" s="1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15.75" customHeight="1" x14ac:dyDescent="0.2">
      <c r="A101" s="15"/>
      <c r="B101" s="1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15.75" customHeight="1" x14ac:dyDescent="0.2">
      <c r="A102" s="15"/>
      <c r="B102" s="1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ht="15.75" customHeight="1" x14ac:dyDescent="0.2">
      <c r="A103" s="15"/>
      <c r="B103" s="1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1:33" ht="15.75" customHeight="1" x14ac:dyDescent="0.2">
      <c r="A104" s="15"/>
      <c r="B104" s="1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ht="15.75" customHeight="1" x14ac:dyDescent="0.2">
      <c r="A105" s="15"/>
      <c r="B105" s="1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1:33" ht="15.75" customHeight="1" x14ac:dyDescent="0.2">
      <c r="A106" s="15"/>
      <c r="B106" s="1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ht="15.75" customHeight="1" x14ac:dyDescent="0.2">
      <c r="A107" s="15"/>
      <c r="B107" s="1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1:33" ht="15.75" customHeight="1" x14ac:dyDescent="0.2">
      <c r="A108" s="15"/>
      <c r="B108" s="1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ht="15.75" customHeight="1" x14ac:dyDescent="0.2">
      <c r="A109" s="15"/>
      <c r="B109" s="1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.75" customHeight="1" x14ac:dyDescent="0.2">
      <c r="A110" s="15"/>
      <c r="B110" s="1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ht="15.75" customHeight="1" x14ac:dyDescent="0.2">
      <c r="A111" s="15"/>
      <c r="B111" s="1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ht="15.75" customHeight="1" x14ac:dyDescent="0.2">
      <c r="A112" s="15"/>
      <c r="B112" s="1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ht="15.75" customHeight="1" x14ac:dyDescent="0.2">
      <c r="A113" s="15"/>
      <c r="B113" s="1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1:33" ht="15.75" customHeight="1" x14ac:dyDescent="0.2">
      <c r="A114" s="15"/>
      <c r="B114" s="1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.75" customHeight="1" x14ac:dyDescent="0.2">
      <c r="A115" s="15"/>
      <c r="B115" s="1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1:33" ht="15.75" customHeight="1" x14ac:dyDescent="0.2">
      <c r="A116" s="15"/>
      <c r="B116" s="1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ht="15.75" customHeight="1" x14ac:dyDescent="0.2">
      <c r="A117" s="15"/>
      <c r="B117" s="1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1:33" ht="15.75" customHeight="1" x14ac:dyDescent="0.2">
      <c r="A118" s="15"/>
      <c r="B118" s="1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.75" customHeight="1" x14ac:dyDescent="0.2">
      <c r="A119" s="15"/>
      <c r="B119" s="1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1:33" ht="15.75" customHeight="1" x14ac:dyDescent="0.2">
      <c r="A120" s="15"/>
      <c r="B120" s="1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ht="15.75" customHeight="1" x14ac:dyDescent="0.2">
      <c r="A121" s="15"/>
      <c r="B121" s="1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1:33" ht="15.75" customHeight="1" x14ac:dyDescent="0.2">
      <c r="A122" s="15"/>
      <c r="B122" s="1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ht="15.75" customHeight="1" x14ac:dyDescent="0.2">
      <c r="A123" s="15"/>
      <c r="B123" s="1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1:33" ht="15.75" customHeight="1" x14ac:dyDescent="0.2">
      <c r="A124" s="15"/>
      <c r="B124" s="1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.75" customHeight="1" x14ac:dyDescent="0.2">
      <c r="A125" s="15"/>
      <c r="B125" s="1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1:33" ht="15.75" customHeight="1" x14ac:dyDescent="0.2">
      <c r="A126" s="15"/>
      <c r="B126" s="1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ht="15.75" customHeight="1" x14ac:dyDescent="0.2">
      <c r="A127" s="15"/>
      <c r="B127" s="1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1:33" ht="15.75" customHeight="1" x14ac:dyDescent="0.2">
      <c r="A128" s="15"/>
      <c r="B128" s="1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ht="15.75" customHeight="1" x14ac:dyDescent="0.2">
      <c r="A129" s="15"/>
      <c r="B129" s="1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1:33" ht="15.75" customHeight="1" x14ac:dyDescent="0.2">
      <c r="A130" s="15"/>
      <c r="B130" s="1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ht="15.75" customHeight="1" x14ac:dyDescent="0.2">
      <c r="A131" s="15"/>
      <c r="B131" s="1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.75" customHeight="1" x14ac:dyDescent="0.2">
      <c r="A132" s="15"/>
      <c r="B132" s="1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ht="15.75" customHeight="1" x14ac:dyDescent="0.2">
      <c r="A133" s="15"/>
      <c r="B133" s="1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1:33" ht="15.75" customHeight="1" x14ac:dyDescent="0.2">
      <c r="A134" s="15"/>
      <c r="B134" s="1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ht="15.75" customHeight="1" x14ac:dyDescent="0.2">
      <c r="A135" s="15"/>
      <c r="B135" s="1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.75" customHeight="1" x14ac:dyDescent="0.2">
      <c r="A136" s="15"/>
      <c r="B136" s="1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ht="15.75" customHeight="1" x14ac:dyDescent="0.2">
      <c r="A137" s="15"/>
      <c r="B137" s="1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1:33" ht="15.75" customHeight="1" x14ac:dyDescent="0.2">
      <c r="A138" s="15"/>
      <c r="B138" s="1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.75" customHeight="1" x14ac:dyDescent="0.2">
      <c r="A139" s="15"/>
      <c r="B139" s="1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ht="15.75" customHeight="1" x14ac:dyDescent="0.2">
      <c r="A140" s="15"/>
      <c r="B140" s="1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ht="15.75" customHeight="1" x14ac:dyDescent="0.2">
      <c r="A141" s="15"/>
      <c r="B141" s="1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ht="15.75" customHeight="1" x14ac:dyDescent="0.2">
      <c r="A142" s="15"/>
      <c r="B142" s="1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ht="15.75" customHeight="1" x14ac:dyDescent="0.2">
      <c r="A143" s="15"/>
      <c r="B143" s="1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ht="15.75" customHeight="1" x14ac:dyDescent="0.2">
      <c r="A144" s="15"/>
      <c r="B144" s="1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1:33" ht="15.75" customHeight="1" x14ac:dyDescent="0.2">
      <c r="A145" s="15"/>
      <c r="B145" s="1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1:33" ht="15.75" customHeight="1" x14ac:dyDescent="0.2">
      <c r="A146" s="15"/>
      <c r="B146" s="1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1:33" ht="15.75" customHeight="1" x14ac:dyDescent="0.2">
      <c r="A147" s="15"/>
      <c r="B147" s="1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1:33" ht="15.75" customHeight="1" x14ac:dyDescent="0.2">
      <c r="A148" s="15"/>
      <c r="B148" s="1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.75" customHeight="1" x14ac:dyDescent="0.2">
      <c r="A149" s="15"/>
      <c r="B149" s="1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1:33" ht="15.75" customHeight="1" x14ac:dyDescent="0.2">
      <c r="A150" s="15"/>
      <c r="B150" s="1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1:33" ht="15.75" customHeight="1" x14ac:dyDescent="0.2">
      <c r="A151" s="15"/>
      <c r="B151" s="1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1:33" ht="15.75" customHeight="1" x14ac:dyDescent="0.2">
      <c r="A152" s="15"/>
      <c r="B152" s="1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1:33" ht="15.75" customHeight="1" x14ac:dyDescent="0.2">
      <c r="A153" s="15"/>
      <c r="B153" s="1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1:33" ht="15.75" customHeight="1" x14ac:dyDescent="0.2">
      <c r="A154" s="15"/>
      <c r="B154" s="1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1:33" ht="15.75" customHeight="1" x14ac:dyDescent="0.2">
      <c r="A155" s="15"/>
      <c r="B155" s="1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1:33" ht="15.75" customHeight="1" x14ac:dyDescent="0.2">
      <c r="A156" s="15"/>
      <c r="B156" s="1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1:33" ht="15.75" customHeight="1" x14ac:dyDescent="0.2">
      <c r="A157" s="15"/>
      <c r="B157" s="1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1:33" ht="15.75" customHeight="1" x14ac:dyDescent="0.2">
      <c r="A158" s="15"/>
      <c r="B158" s="1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1:33" ht="15.75" customHeight="1" x14ac:dyDescent="0.2">
      <c r="A159" s="15"/>
      <c r="B159" s="1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33" ht="15.75" customHeight="1" x14ac:dyDescent="0.2">
      <c r="A160" s="15"/>
      <c r="B160" s="1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ht="15.75" customHeight="1" x14ac:dyDescent="0.2">
      <c r="A161" s="15"/>
      <c r="B161" s="1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1:33" ht="15.75" customHeight="1" x14ac:dyDescent="0.2">
      <c r="A162" s="15"/>
      <c r="B162" s="1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ht="15.75" customHeight="1" x14ac:dyDescent="0.2">
      <c r="A163" s="15"/>
      <c r="B163" s="1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1:33" ht="15.75" customHeight="1" x14ac:dyDescent="0.2">
      <c r="A164" s="15"/>
      <c r="B164" s="1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1:33" ht="15.75" customHeight="1" x14ac:dyDescent="0.2">
      <c r="A165" s="15"/>
      <c r="B165" s="1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1:33" ht="15.75" customHeight="1" x14ac:dyDescent="0.2">
      <c r="A166" s="15"/>
      <c r="B166" s="1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1:33" ht="15.75" customHeight="1" x14ac:dyDescent="0.2">
      <c r="A167" s="15"/>
      <c r="B167" s="1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1:33" ht="15.75" customHeight="1" x14ac:dyDescent="0.2">
      <c r="A168" s="15"/>
      <c r="B168" s="1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1:33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1:33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1:33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1:33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1:33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1:33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1:33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1:33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0000"/>
  </sheetPr>
  <dimension ref="A1:AG1000"/>
  <sheetViews>
    <sheetView tabSelected="1" workbookViewId="0">
      <pane xSplit="2" ySplit="3" topLeftCell="C4" activePane="bottomRight" state="frozen"/>
      <selection activeCell="R33" sqref="R33"/>
      <selection pane="topRight" activeCell="R33" sqref="R33"/>
      <selection pane="bottomLeft" activeCell="R33" sqref="R33"/>
      <selection pane="bottomRight" activeCell="R33" sqref="R33"/>
    </sheetView>
  </sheetViews>
  <sheetFormatPr baseColWidth="10" defaultColWidth="14.5" defaultRowHeight="15" customHeight="1" x14ac:dyDescent="0.2"/>
  <cols>
    <col min="1" max="1" width="15.5" customWidth="1"/>
    <col min="2" max="2" width="21.83203125" customWidth="1"/>
    <col min="3" max="3" width="9.1640625" customWidth="1"/>
    <col min="4" max="4" width="6.5" customWidth="1"/>
    <col min="5" max="5" width="9.6640625" customWidth="1"/>
    <col min="6" max="6" width="12.1640625" customWidth="1"/>
    <col min="7" max="7" width="11.5" customWidth="1"/>
    <col min="8" max="8" width="10.33203125" customWidth="1"/>
    <col min="9" max="10" width="13.5" customWidth="1"/>
    <col min="11" max="12" width="10" customWidth="1"/>
    <col min="13" max="13" width="11" customWidth="1"/>
    <col min="14" max="14" width="5.5" customWidth="1"/>
    <col min="15" max="15" width="17.6640625" customWidth="1"/>
    <col min="16" max="16" width="11" customWidth="1"/>
    <col min="17" max="18" width="8.5" customWidth="1"/>
    <col min="19" max="19" width="8.33203125" customWidth="1"/>
    <col min="20" max="20" width="14.6640625" customWidth="1"/>
    <col min="21" max="21" width="24.1640625" customWidth="1"/>
    <col min="22" max="22" width="15.33203125" customWidth="1"/>
    <col min="23" max="23" width="8.83203125" customWidth="1"/>
    <col min="24" max="24" width="8.6640625" customWidth="1"/>
    <col min="25" max="25" width="9.33203125" customWidth="1"/>
    <col min="26" max="26" width="12.83203125" customWidth="1"/>
    <col min="27" max="27" width="17.5" customWidth="1"/>
    <col min="28" max="28" width="11.1640625" customWidth="1"/>
    <col min="29" max="29" width="8.1640625" customWidth="1"/>
    <col min="30" max="30" width="12.5" customWidth="1"/>
    <col min="31" max="31" width="8.1640625" customWidth="1"/>
    <col min="32" max="32" width="11.5" customWidth="1"/>
    <col min="33" max="33" width="10.1640625" customWidth="1"/>
  </cols>
  <sheetData>
    <row r="1" spans="1:33" ht="18.75" customHeight="1" x14ac:dyDescent="0.2">
      <c r="A1" s="48" t="str">
        <f ca="1">IFERROR(__xludf.DUMMYFUNCTION("IFERROR(VLOOKUP(B2,IMPORTRANGE(""https://docs.google.com/spreadsheets/d/1x0DhHglkXKoEBOD2MBsuK_EyIr1ouxD2ftIpqOYFa-k/edit?usp=sharing"",""Ubiquitty-SKU-Specific Info!B1:BJ5000""),3,FALSE),"""")"),"Tabletop Chalkboard Sign - 10x14 Wooden A-Frame Freestanding Sandwich Board Menu Display - White")</f>
        <v>Tabletop Chalkboard Sign - 10x14 Wooden A-Frame Freestanding Sandwich Board Menu Display - White</v>
      </c>
      <c r="B1" s="49"/>
      <c r="C1" s="50" t="s">
        <v>0</v>
      </c>
      <c r="D1" s="52" t="s">
        <v>1</v>
      </c>
      <c r="E1" s="52" t="s">
        <v>2</v>
      </c>
      <c r="F1" s="54" t="s">
        <v>3</v>
      </c>
      <c r="G1" s="54" t="s">
        <v>4</v>
      </c>
      <c r="H1" s="55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9" t="s">
        <v>10</v>
      </c>
      <c r="N1" s="60" t="s">
        <v>11</v>
      </c>
      <c r="O1" s="52" t="s">
        <v>12</v>
      </c>
      <c r="P1" s="52" t="s">
        <v>13</v>
      </c>
      <c r="Q1" s="52" t="s">
        <v>14</v>
      </c>
      <c r="R1" s="52" t="s">
        <v>15</v>
      </c>
      <c r="S1" s="61" t="s">
        <v>16</v>
      </c>
      <c r="T1" s="63" t="s">
        <v>767</v>
      </c>
      <c r="U1" s="63" t="s">
        <v>17</v>
      </c>
      <c r="V1" s="63" t="s">
        <v>18</v>
      </c>
      <c r="W1" s="63" t="s">
        <v>19</v>
      </c>
      <c r="X1" s="63" t="s">
        <v>20</v>
      </c>
      <c r="Y1" s="63" t="s">
        <v>21</v>
      </c>
      <c r="Z1" s="63" t="s">
        <v>22</v>
      </c>
      <c r="AA1" s="63" t="s">
        <v>23</v>
      </c>
      <c r="AB1" s="63" t="s">
        <v>24</v>
      </c>
      <c r="AC1" s="63" t="s">
        <v>25</v>
      </c>
      <c r="AD1" s="65" t="s">
        <v>26</v>
      </c>
      <c r="AE1" s="66" t="s">
        <v>27</v>
      </c>
      <c r="AF1" s="67" t="s">
        <v>28</v>
      </c>
      <c r="AG1" s="66" t="s">
        <v>29</v>
      </c>
    </row>
    <row r="2" spans="1:33" ht="15.75" customHeight="1" x14ac:dyDescent="0.2">
      <c r="A2" s="2" t="str">
        <f ca="1">IFERROR(__xludf.DUMMYFUNCTION("IFERROR(VLOOKUP(B2,IMPORTRANGE(""https://docs.google.com/spreadsheets/d/1x0DhHglkXKoEBOD2MBsuK_EyIr1ouxD2ftIpqOYFa-k/edit?usp=sharing"",""Ubiquitty-SKU-Specific Info!B1:BJ5000""),2,FALSE),"""")"),"B07H7RCG2C")</f>
        <v>B07H7RCG2C</v>
      </c>
      <c r="B2" s="3" t="s">
        <v>761</v>
      </c>
      <c r="C2" s="51"/>
      <c r="D2" s="51"/>
      <c r="E2" s="53"/>
      <c r="F2" s="51"/>
      <c r="G2" s="51"/>
      <c r="H2" s="56"/>
      <c r="I2" s="51"/>
      <c r="J2" s="51"/>
      <c r="K2" s="56"/>
      <c r="L2" s="56"/>
      <c r="M2" s="56"/>
      <c r="N2" s="51"/>
      <c r="O2" s="51"/>
      <c r="P2" s="53"/>
      <c r="Q2" s="51"/>
      <c r="R2" s="51"/>
      <c r="S2" s="62"/>
      <c r="T2" s="49"/>
      <c r="U2" s="64"/>
      <c r="V2" s="64"/>
      <c r="W2" s="49"/>
      <c r="X2" s="49"/>
      <c r="Y2" s="49"/>
      <c r="Z2" s="49"/>
      <c r="AA2" s="64"/>
      <c r="AB2" s="64"/>
      <c r="AC2" s="64"/>
      <c r="AD2" s="64"/>
      <c r="AE2" s="49"/>
      <c r="AF2" s="49"/>
      <c r="AG2" s="49"/>
    </row>
    <row r="3" spans="1:33" ht="48.75" customHeight="1" x14ac:dyDescent="0.2">
      <c r="A3" s="57" t="s">
        <v>31</v>
      </c>
      <c r="B3" s="58"/>
      <c r="C3" s="4">
        <f>((AE32+AF32)/0.85)*-1</f>
        <v>13.726815440441175</v>
      </c>
      <c r="D3" s="5">
        <f>SUM(D4:D99519)</f>
        <v>20</v>
      </c>
      <c r="E3" s="5"/>
      <c r="F3" s="6">
        <f t="shared" ref="F3:G3" si="0">SUM(F4:F99519)</f>
        <v>386.26</v>
      </c>
      <c r="G3" s="6">
        <f t="shared" si="0"/>
        <v>-0.22</v>
      </c>
      <c r="H3" s="7">
        <f t="shared" ref="H3:H32" si="1">G3/F3*-1</f>
        <v>5.6956454201832968E-4</v>
      </c>
      <c r="I3" s="8">
        <f t="shared" ref="I3:I32" si="2">J3/F3</f>
        <v>0.22972763308177571</v>
      </c>
      <c r="J3" s="6">
        <f>SUM(J4:J99519)</f>
        <v>88.734595554166688</v>
      </c>
      <c r="K3" s="6">
        <f t="shared" ref="K3:K32" si="3">J3/D3</f>
        <v>4.4367297777083348</v>
      </c>
      <c r="L3" s="5"/>
      <c r="M3" s="9"/>
      <c r="N3" s="10"/>
      <c r="O3" s="5" t="str">
        <f ca="1">IFERROR(__xludf.DUMMYFUNCTION("IFERROR(VLOOKUP(B2,IMPORTRANGE(""https://docs.google.com/spreadsheets/d/1N8jvpEHDVkurDv7NrPxwI3eH6hQsvtb1QltGNCalRjU/edit#gid=865736387"",""Compiled Sheet!a1:g5000""),2,FALSE),"""")"),"disc. - March
disc. - April
disc. - May
disc. - June
disc. - July
disc. - Aug
disc. - Sept
disc. - Oct
disc. - Nov
disc. - Dec
disc. - Jan
disc. - Feb")</f>
        <v>disc. - March
disc. - April
disc. - May
disc. - June
disc. - July
disc. - Aug
disc. - Sept
disc. - Oct
disc. - Nov
disc. - Dec
disc. - Jan
disc. - Feb</v>
      </c>
      <c r="P3" s="5"/>
      <c r="Q3" s="11"/>
      <c r="R3" s="11"/>
      <c r="S3" s="12"/>
      <c r="T3" s="13" t="str">
        <f ca="1">IFERROR(__xludf.DUMMYFUNCTION("CONCATENATE(""Del QTY"", ""-"",IFERROR(VLOOKUP($B$2,IMPORTRANGE(""https://docs.google.com/spreadsheets/d/1_esbIR7_dYaLQXq3pOe98A6enPdKY7UPO5aCcj2tn1I/edit#gid=973934429"",""Inventory Input!A1:AD5000""),2,FALSE),""""))"),"Del QTY-0")</f>
        <v>Del QTY-0</v>
      </c>
      <c r="U3" s="13" t="str">
        <f ca="1">IFERROR(__xludf.DUMMYFUNCTION("CONCATENATE(""US QTY"", ""-"",iferror(VLOOKUP($B$2,IMPORTRANGE(""https://docs.google.com/spreadsheets/d/11afDUGgwIurytGWIAj1e7JPdtkZEoccxCski0CJdjqQ/edit#gid=1950799886"",""US Storage!a1:AD5000""),2,FALSE),""""))"),"US QTY-")</f>
        <v>US QTY-</v>
      </c>
      <c r="V3" s="13" t="str">
        <f ca="1">IFERROR(__xludf.DUMMYFUNCTION("CONCATENATE(""In Transit"", ""-"",IFERROR(VLOOKUP($B$2,IMPORTRANGE(""https://docs.google.com/spreadsheets/d/11afDUGgwIurytGWIAj1e7JPdtkZEoccxCski0CJdjqQ/edit#gid=1950799886"",""US Storage!a1:AD5000""),3,FALSE),""""))"),"In Transit-")</f>
        <v>In Transit-</v>
      </c>
      <c r="W3" s="5">
        <f>SUM(W4:W99519)</f>
        <v>0</v>
      </c>
      <c r="X3" s="7">
        <f>W3/D3</f>
        <v>0</v>
      </c>
      <c r="Y3" s="6"/>
      <c r="Z3" s="5"/>
      <c r="AA3" s="5"/>
      <c r="AB3" s="5"/>
      <c r="AC3" s="5"/>
      <c r="AD3" s="6">
        <f>SUM(AD4:AD99519)</f>
        <v>-5.6277194458333328</v>
      </c>
      <c r="AE3" s="14"/>
      <c r="AF3" s="6">
        <f ca="1">IFERROR(__xludf.DUMMYFUNCTION("IFERROR(IFERROR(IFERROR(VLOOKUP($B$2,IMPORTRANGE(""https://docs.google.com/spreadsheets/d/1x0DhHglkXKoEBOD2MBsuK_EyIr1ouxD2ftIpqOYFa-k/edit#gid=2093395059"",""Ubiquitty-SKU-Specific Info!B2:BZ3000""),51,FALSE),VLOOKUP($B$2,IMPORTRANGE(""https://docs.googl"&amp;"e.com/spreadsheets/d/1x0DhHglkXKoEBOD2MBsuK_EyIr1ouxD2ftIpqOYFa-k/edit#gid=2093395059"",""OllieShops-SKU-Specific Info!B2:BZ3000""),36,FALSE)),VLOOKUP($B$2,IMPORTRANGE(""https://docs.google.com/spreadsheets/d/1x0DhHglkXKoEBOD2MBsuK_EyIr1ouxD2ftIpqOYFa-k/e"&amp;"dit#gid=2093395059"",""SecondStar-SKU-Specific Info!B2:BZ3000""),37,FALSE)),"""")*-1"),-6.247793124375)</f>
        <v>-6.2477931243749998</v>
      </c>
      <c r="AG3" s="6">
        <f>SUM(AG4:AG99519)</f>
        <v>0</v>
      </c>
    </row>
    <row r="4" spans="1:33" ht="15.75" customHeight="1" x14ac:dyDescent="0.2">
      <c r="A4" s="15" t="s">
        <v>32</v>
      </c>
      <c r="B4" s="15"/>
      <c r="C4" s="16" t="str">
        <f t="shared" ref="C4:C32" si="4">IFERROR(F4/D4," - ")</f>
        <v xml:space="preserve"> - </v>
      </c>
      <c r="D4" s="17">
        <v>0</v>
      </c>
      <c r="E4" s="17">
        <v>0</v>
      </c>
      <c r="F4" s="18">
        <v>0</v>
      </c>
      <c r="G4" s="18">
        <v>0</v>
      </c>
      <c r="H4" s="19" t="e">
        <f t="shared" si="1"/>
        <v>#DIV/0!</v>
      </c>
      <c r="I4" s="19" t="e">
        <f t="shared" si="2"/>
        <v>#DIV/0!</v>
      </c>
      <c r="J4" s="18">
        <f t="shared" ref="J4:J32" si="5">F4*0.85+G4+AF4*D4+D4*AE4+AG4+AD4</f>
        <v>0</v>
      </c>
      <c r="K4" s="18" t="e">
        <f t="shared" si="3"/>
        <v>#DIV/0!</v>
      </c>
      <c r="L4" s="17">
        <v>0</v>
      </c>
      <c r="M4" s="20" t="str">
        <f t="shared" ref="M4:M32" si="6">IFERROR(D4/L4,"-")</f>
        <v>-</v>
      </c>
      <c r="N4" s="17">
        <v>0</v>
      </c>
      <c r="O4" s="21">
        <f t="shared" ref="O4:P4" si="7">D4/7</f>
        <v>0</v>
      </c>
      <c r="P4" s="21">
        <f t="shared" si="7"/>
        <v>0</v>
      </c>
      <c r="Q4" s="17" t="e">
        <f t="shared" ref="Q4:Q32" si="8">ROUNDDOWN(N4/(O4+P4),0)</f>
        <v>#DIV/0!</v>
      </c>
      <c r="R4" s="17"/>
      <c r="S4" s="22" t="e">
        <v>#N/A</v>
      </c>
      <c r="T4" s="15">
        <v>20</v>
      </c>
      <c r="U4" s="23">
        <v>20</v>
      </c>
      <c r="V4" s="24" t="s">
        <v>762</v>
      </c>
      <c r="W4" s="15">
        <v>0</v>
      </c>
      <c r="X4" s="25">
        <f t="shared" ref="X4:X32" si="9">IFERROR(W4/D4,0)</f>
        <v>0</v>
      </c>
      <c r="Y4" s="26">
        <f t="shared" ref="Y4:Y32" si="10">IFERROR(G4/(W4+Z4)*-1,0)</f>
        <v>0</v>
      </c>
      <c r="Z4" s="15">
        <v>0</v>
      </c>
      <c r="AA4" s="2" t="e">
        <v>#N/A</v>
      </c>
      <c r="AB4" s="27" t="e">
        <f t="shared" ref="AB4:AB32" si="11">IF(OR(AA4="UsLargeStandardSize",AA4="UsSmallStandardSize"),-0.69,-0.48)</f>
        <v>#N/A</v>
      </c>
      <c r="AC4" s="28" t="e">
        <v>#N/A</v>
      </c>
      <c r="AD4" s="26">
        <f t="shared" ref="AD4:AD32" si="12">IFERROR(AB4*AC4*D4*2,0)</f>
        <v>0</v>
      </c>
      <c r="AE4" s="26">
        <v>0</v>
      </c>
      <c r="AF4" s="26">
        <v>-6.0725049999999996</v>
      </c>
      <c r="AG4" s="26">
        <v>0</v>
      </c>
    </row>
    <row r="5" spans="1:33" ht="15.75" customHeight="1" x14ac:dyDescent="0.2">
      <c r="A5" s="29" t="s">
        <v>36</v>
      </c>
      <c r="B5" s="29"/>
      <c r="C5" s="16" t="str">
        <f t="shared" si="4"/>
        <v xml:space="preserve"> - </v>
      </c>
      <c r="D5" s="30">
        <v>0</v>
      </c>
      <c r="E5" s="30">
        <v>0</v>
      </c>
      <c r="F5" s="31">
        <v>0</v>
      </c>
      <c r="G5" s="31">
        <v>0</v>
      </c>
      <c r="H5" s="32" t="e">
        <f t="shared" si="1"/>
        <v>#DIV/0!</v>
      </c>
      <c r="I5" s="32" t="e">
        <f t="shared" si="2"/>
        <v>#DIV/0!</v>
      </c>
      <c r="J5" s="33">
        <f t="shared" si="5"/>
        <v>0</v>
      </c>
      <c r="K5" s="33" t="e">
        <f t="shared" si="3"/>
        <v>#DIV/0!</v>
      </c>
      <c r="L5" s="30">
        <v>0</v>
      </c>
      <c r="M5" s="34" t="str">
        <f t="shared" si="6"/>
        <v>-</v>
      </c>
      <c r="N5" s="30">
        <v>0</v>
      </c>
      <c r="O5" s="35">
        <f t="shared" ref="O5:P5" si="13">D5/7</f>
        <v>0</v>
      </c>
      <c r="P5" s="35">
        <f t="shared" si="13"/>
        <v>0</v>
      </c>
      <c r="Q5" s="30" t="e">
        <f t="shared" si="8"/>
        <v>#DIV/0!</v>
      </c>
      <c r="R5" s="30"/>
      <c r="S5" s="36" t="e">
        <v>#N/A</v>
      </c>
      <c r="T5" s="29">
        <v>20</v>
      </c>
      <c r="U5" s="37">
        <v>20</v>
      </c>
      <c r="V5" s="38" t="s">
        <v>763</v>
      </c>
      <c r="W5" s="29">
        <v>0</v>
      </c>
      <c r="X5" s="39">
        <f t="shared" si="9"/>
        <v>0</v>
      </c>
      <c r="Y5" s="40">
        <f t="shared" si="10"/>
        <v>0</v>
      </c>
      <c r="Z5" s="29">
        <v>0</v>
      </c>
      <c r="AA5" s="29" t="e">
        <v>#N/A</v>
      </c>
      <c r="AB5" s="41" t="e">
        <f t="shared" si="11"/>
        <v>#N/A</v>
      </c>
      <c r="AC5" s="42" t="e">
        <v>#N/A</v>
      </c>
      <c r="AD5" s="40">
        <f t="shared" si="12"/>
        <v>0</v>
      </c>
      <c r="AE5" s="40">
        <v>0</v>
      </c>
      <c r="AF5" s="40">
        <v>-6.0725049999999996</v>
      </c>
      <c r="AG5" s="40">
        <v>0</v>
      </c>
    </row>
    <row r="6" spans="1:33" ht="15.75" customHeight="1" x14ac:dyDescent="0.2">
      <c r="A6" s="29" t="s">
        <v>38</v>
      </c>
      <c r="B6" s="29"/>
      <c r="C6" s="16" t="str">
        <f t="shared" si="4"/>
        <v xml:space="preserve"> - </v>
      </c>
      <c r="D6" s="30">
        <v>0</v>
      </c>
      <c r="E6" s="30">
        <v>0</v>
      </c>
      <c r="F6" s="31">
        <v>0</v>
      </c>
      <c r="G6" s="31">
        <v>0</v>
      </c>
      <c r="H6" s="32" t="e">
        <f t="shared" si="1"/>
        <v>#DIV/0!</v>
      </c>
      <c r="I6" s="32" t="e">
        <f t="shared" si="2"/>
        <v>#DIV/0!</v>
      </c>
      <c r="J6" s="33">
        <f t="shared" si="5"/>
        <v>0</v>
      </c>
      <c r="K6" s="33" t="e">
        <f t="shared" si="3"/>
        <v>#DIV/0!</v>
      </c>
      <c r="L6" s="30">
        <v>0</v>
      </c>
      <c r="M6" s="34" t="str">
        <f t="shared" si="6"/>
        <v>-</v>
      </c>
      <c r="N6" s="30">
        <v>0</v>
      </c>
      <c r="O6" s="35">
        <f t="shared" ref="O6:P6" si="14">D6/7</f>
        <v>0</v>
      </c>
      <c r="P6" s="35">
        <f t="shared" si="14"/>
        <v>0</v>
      </c>
      <c r="Q6" s="30" t="e">
        <f t="shared" si="8"/>
        <v>#DIV/0!</v>
      </c>
      <c r="R6" s="30"/>
      <c r="S6" s="36" t="e">
        <v>#N/A</v>
      </c>
      <c r="T6" s="29">
        <v>0</v>
      </c>
      <c r="U6" s="37" t="s">
        <v>34</v>
      </c>
      <c r="V6" s="38" t="s">
        <v>131</v>
      </c>
      <c r="W6" s="29">
        <v>0</v>
      </c>
      <c r="X6" s="39">
        <f t="shared" si="9"/>
        <v>0</v>
      </c>
      <c r="Y6" s="40">
        <f t="shared" si="10"/>
        <v>0</v>
      </c>
      <c r="Z6" s="29">
        <v>0</v>
      </c>
      <c r="AA6" s="29" t="e">
        <v>#N/A</v>
      </c>
      <c r="AB6" s="41" t="e">
        <f t="shared" si="11"/>
        <v>#N/A</v>
      </c>
      <c r="AC6" s="42" t="e">
        <v>#N/A</v>
      </c>
      <c r="AD6" s="40">
        <f t="shared" si="12"/>
        <v>0</v>
      </c>
      <c r="AE6" s="40">
        <v>0</v>
      </c>
      <c r="AF6" s="40">
        <v>-6.0725049999999996</v>
      </c>
      <c r="AG6" s="40">
        <v>0</v>
      </c>
    </row>
    <row r="7" spans="1:33" ht="15.75" customHeight="1" x14ac:dyDescent="0.2">
      <c r="A7" s="29" t="s">
        <v>41</v>
      </c>
      <c r="B7" s="29"/>
      <c r="C7" s="16">
        <f t="shared" si="4"/>
        <v>16.989999999999998</v>
      </c>
      <c r="D7" s="30">
        <v>1</v>
      </c>
      <c r="E7" s="30">
        <v>0</v>
      </c>
      <c r="F7" s="31">
        <v>16.989999999999998</v>
      </c>
      <c r="G7" s="31">
        <v>0</v>
      </c>
      <c r="H7" s="32">
        <f t="shared" si="1"/>
        <v>0</v>
      </c>
      <c r="I7" s="32">
        <f t="shared" si="2"/>
        <v>0.15701053724004307</v>
      </c>
      <c r="J7" s="33">
        <f t="shared" si="5"/>
        <v>2.6676090277083317</v>
      </c>
      <c r="K7" s="33">
        <f t="shared" si="3"/>
        <v>2.6676090277083317</v>
      </c>
      <c r="L7" s="30">
        <v>0</v>
      </c>
      <c r="M7" s="34" t="str">
        <f t="shared" si="6"/>
        <v>-</v>
      </c>
      <c r="N7" s="30">
        <v>20</v>
      </c>
      <c r="O7" s="35">
        <f t="shared" ref="O7:P7" si="15">D7/7</f>
        <v>0.14285714285714285</v>
      </c>
      <c r="P7" s="35">
        <f t="shared" si="15"/>
        <v>0</v>
      </c>
      <c r="Q7" s="30">
        <f t="shared" si="8"/>
        <v>140</v>
      </c>
      <c r="R7" s="30"/>
      <c r="S7" s="36">
        <v>0</v>
      </c>
      <c r="T7" s="29">
        <v>0</v>
      </c>
      <c r="U7" s="37" t="s">
        <v>34</v>
      </c>
      <c r="V7" s="38" t="s">
        <v>131</v>
      </c>
      <c r="W7" s="29">
        <v>0</v>
      </c>
      <c r="X7" s="39">
        <f t="shared" si="9"/>
        <v>0</v>
      </c>
      <c r="Y7" s="40">
        <f t="shared" si="10"/>
        <v>0</v>
      </c>
      <c r="Z7" s="29">
        <v>0</v>
      </c>
      <c r="AA7" s="29" t="s">
        <v>35</v>
      </c>
      <c r="AB7" s="41">
        <f t="shared" si="11"/>
        <v>-0.69</v>
      </c>
      <c r="AC7" s="42">
        <v>0.20390287847222219</v>
      </c>
      <c r="AD7" s="40">
        <f t="shared" si="12"/>
        <v>-0.28138597229166662</v>
      </c>
      <c r="AE7" s="40">
        <v>-5.42</v>
      </c>
      <c r="AF7" s="40">
        <v>-6.0725049999999996</v>
      </c>
      <c r="AG7" s="40">
        <v>0</v>
      </c>
    </row>
    <row r="8" spans="1:33" ht="15.75" customHeight="1" x14ac:dyDescent="0.2">
      <c r="A8" s="29" t="s">
        <v>44</v>
      </c>
      <c r="B8" s="29" t="s">
        <v>764</v>
      </c>
      <c r="C8" s="16">
        <f t="shared" si="4"/>
        <v>16.989999999999998</v>
      </c>
      <c r="D8" s="30">
        <v>3</v>
      </c>
      <c r="E8" s="30">
        <v>0</v>
      </c>
      <c r="F8" s="31">
        <v>50.97</v>
      </c>
      <c r="G8" s="31">
        <v>0</v>
      </c>
      <c r="H8" s="32">
        <f t="shared" si="1"/>
        <v>0</v>
      </c>
      <c r="I8" s="32">
        <f t="shared" si="2"/>
        <v>0.15715797691043754</v>
      </c>
      <c r="J8" s="33">
        <f t="shared" si="5"/>
        <v>8.0103420831250016</v>
      </c>
      <c r="K8" s="33">
        <f t="shared" si="3"/>
        <v>2.6701140277083337</v>
      </c>
      <c r="L8" s="30">
        <v>20</v>
      </c>
      <c r="M8" s="34">
        <f t="shared" si="6"/>
        <v>0.15</v>
      </c>
      <c r="N8" s="30">
        <v>16</v>
      </c>
      <c r="O8" s="35">
        <f t="shared" ref="O8:P8" si="16">D8/7</f>
        <v>0.42857142857142855</v>
      </c>
      <c r="P8" s="35">
        <f t="shared" si="16"/>
        <v>0</v>
      </c>
      <c r="Q8" s="30">
        <f t="shared" si="8"/>
        <v>37</v>
      </c>
      <c r="R8" s="30"/>
      <c r="S8" s="36">
        <v>1</v>
      </c>
      <c r="T8" s="29">
        <v>0</v>
      </c>
      <c r="U8" s="37" t="s">
        <v>34</v>
      </c>
      <c r="V8" s="38" t="s">
        <v>34</v>
      </c>
      <c r="W8" s="29">
        <v>0</v>
      </c>
      <c r="X8" s="39">
        <f t="shared" si="9"/>
        <v>0</v>
      </c>
      <c r="Y8" s="40">
        <f t="shared" si="10"/>
        <v>0</v>
      </c>
      <c r="Z8" s="29">
        <v>0</v>
      </c>
      <c r="AA8" s="29" t="s">
        <v>35</v>
      </c>
      <c r="AB8" s="41">
        <f t="shared" si="11"/>
        <v>-0.69</v>
      </c>
      <c r="AC8" s="42">
        <v>0.20390287847222219</v>
      </c>
      <c r="AD8" s="40">
        <f t="shared" si="12"/>
        <v>-0.84415791687499986</v>
      </c>
      <c r="AE8" s="40">
        <v>-5.42</v>
      </c>
      <c r="AF8" s="40">
        <v>-6.07</v>
      </c>
      <c r="AG8" s="40">
        <v>0</v>
      </c>
    </row>
    <row r="9" spans="1:33" ht="15.75" customHeight="1" x14ac:dyDescent="0.2">
      <c r="A9" s="29" t="s">
        <v>47</v>
      </c>
      <c r="B9" s="29" t="s">
        <v>765</v>
      </c>
      <c r="C9" s="16">
        <f t="shared" si="4"/>
        <v>18.114999999999998</v>
      </c>
      <c r="D9" s="30">
        <v>2</v>
      </c>
      <c r="E9" s="30">
        <v>0</v>
      </c>
      <c r="F9" s="31">
        <v>36.229999999999997</v>
      </c>
      <c r="G9" s="31">
        <v>-0.08</v>
      </c>
      <c r="H9" s="32">
        <f t="shared" si="1"/>
        <v>2.2081148219707425E-3</v>
      </c>
      <c r="I9" s="32">
        <f t="shared" si="2"/>
        <v>0.18522683012466654</v>
      </c>
      <c r="J9" s="33">
        <f t="shared" si="5"/>
        <v>6.7107680554166675</v>
      </c>
      <c r="K9" s="33">
        <f t="shared" si="3"/>
        <v>3.3553840277083338</v>
      </c>
      <c r="L9" s="30">
        <v>19</v>
      </c>
      <c r="M9" s="34">
        <f t="shared" si="6"/>
        <v>0.10526315789473684</v>
      </c>
      <c r="N9" s="30">
        <v>14</v>
      </c>
      <c r="O9" s="35">
        <f t="shared" ref="O9:P9" si="17">D9/7</f>
        <v>0.2857142857142857</v>
      </c>
      <c r="P9" s="35">
        <f t="shared" si="17"/>
        <v>0</v>
      </c>
      <c r="Q9" s="30">
        <f t="shared" si="8"/>
        <v>49</v>
      </c>
      <c r="R9" s="30"/>
      <c r="S9" s="36">
        <v>1.71428571428571</v>
      </c>
      <c r="T9" s="29">
        <v>0</v>
      </c>
      <c r="U9" s="37" t="s">
        <v>34</v>
      </c>
      <c r="V9" s="38" t="s">
        <v>34</v>
      </c>
      <c r="W9" s="29">
        <v>0</v>
      </c>
      <c r="X9" s="39">
        <f t="shared" si="9"/>
        <v>0</v>
      </c>
      <c r="Y9" s="40">
        <f t="shared" si="10"/>
        <v>0</v>
      </c>
      <c r="Z9" s="29">
        <v>0</v>
      </c>
      <c r="AA9" s="29" t="s">
        <v>35</v>
      </c>
      <c r="AB9" s="41">
        <f t="shared" si="11"/>
        <v>-0.69</v>
      </c>
      <c r="AC9" s="42">
        <v>0.20390287847222219</v>
      </c>
      <c r="AD9" s="40">
        <f t="shared" si="12"/>
        <v>-0.56277194458333324</v>
      </c>
      <c r="AE9" s="40">
        <v>-5.42</v>
      </c>
      <c r="AF9" s="40">
        <v>-6.30098</v>
      </c>
      <c r="AG9" s="40">
        <v>0</v>
      </c>
    </row>
    <row r="10" spans="1:33" ht="15.75" customHeight="1" x14ac:dyDescent="0.2">
      <c r="A10" s="29" t="s">
        <v>50</v>
      </c>
      <c r="B10" s="29" t="s">
        <v>766</v>
      </c>
      <c r="C10" s="16">
        <f t="shared" si="4"/>
        <v>18.787142857142857</v>
      </c>
      <c r="D10" s="30">
        <v>7</v>
      </c>
      <c r="E10" s="30">
        <v>0</v>
      </c>
      <c r="F10" s="31">
        <v>131.51</v>
      </c>
      <c r="G10" s="31">
        <v>-0.08</v>
      </c>
      <c r="H10" s="32">
        <f t="shared" si="1"/>
        <v>6.0831875902973159E-4</v>
      </c>
      <c r="I10" s="32">
        <f t="shared" si="2"/>
        <v>0.21053104854352012</v>
      </c>
      <c r="J10" s="33">
        <f t="shared" si="5"/>
        <v>27.68693819395833</v>
      </c>
      <c r="K10" s="33">
        <f t="shared" si="3"/>
        <v>3.9552768848511901</v>
      </c>
      <c r="L10" s="30">
        <v>33</v>
      </c>
      <c r="M10" s="34">
        <f t="shared" si="6"/>
        <v>0.21212121212121213</v>
      </c>
      <c r="N10" s="30">
        <v>8</v>
      </c>
      <c r="O10" s="35">
        <f t="shared" ref="O10:P10" si="18">D10/7</f>
        <v>1</v>
      </c>
      <c r="P10" s="35">
        <f t="shared" si="18"/>
        <v>0</v>
      </c>
      <c r="Q10" s="30">
        <f t="shared" si="8"/>
        <v>8</v>
      </c>
      <c r="R10" s="30"/>
      <c r="S10" s="36">
        <v>6</v>
      </c>
      <c r="T10" s="29">
        <v>0</v>
      </c>
      <c r="U10" s="37" t="s">
        <v>34</v>
      </c>
      <c r="V10" s="38" t="s">
        <v>34</v>
      </c>
      <c r="W10" s="29">
        <v>0</v>
      </c>
      <c r="X10" s="39">
        <f t="shared" si="9"/>
        <v>0</v>
      </c>
      <c r="Y10" s="40">
        <f t="shared" si="10"/>
        <v>0</v>
      </c>
      <c r="Z10" s="29">
        <v>0</v>
      </c>
      <c r="AA10" s="29" t="s">
        <v>35</v>
      </c>
      <c r="AB10" s="41">
        <f t="shared" si="11"/>
        <v>-0.69</v>
      </c>
      <c r="AC10" s="42">
        <v>0.20390287847222219</v>
      </c>
      <c r="AD10" s="40">
        <f t="shared" si="12"/>
        <v>-1.9697018060416664</v>
      </c>
      <c r="AE10" s="40">
        <v>-5.42</v>
      </c>
      <c r="AF10" s="40">
        <v>-6.30098</v>
      </c>
      <c r="AG10" s="40">
        <v>0</v>
      </c>
    </row>
    <row r="11" spans="1:33" ht="15.75" customHeight="1" x14ac:dyDescent="0.2">
      <c r="A11" s="29" t="s">
        <v>53</v>
      </c>
      <c r="B11" s="29" t="s">
        <v>316</v>
      </c>
      <c r="C11" s="16">
        <f t="shared" si="4"/>
        <v>21.97</v>
      </c>
      <c r="D11" s="30">
        <v>1</v>
      </c>
      <c r="E11" s="30">
        <v>0</v>
      </c>
      <c r="F11" s="31">
        <v>21.97</v>
      </c>
      <c r="G11" s="31">
        <v>0</v>
      </c>
      <c r="H11" s="32">
        <f t="shared" si="1"/>
        <v>0</v>
      </c>
      <c r="I11" s="32">
        <f t="shared" si="2"/>
        <v>0.30369294618608705</v>
      </c>
      <c r="J11" s="33">
        <f t="shared" si="5"/>
        <v>6.6721340277083323</v>
      </c>
      <c r="K11" s="33">
        <f t="shared" si="3"/>
        <v>6.6721340277083323</v>
      </c>
      <c r="L11" s="30">
        <v>22</v>
      </c>
      <c r="M11" s="34">
        <f t="shared" si="6"/>
        <v>4.5454545454545456E-2</v>
      </c>
      <c r="N11" s="30">
        <v>6</v>
      </c>
      <c r="O11" s="35">
        <f t="shared" ref="O11:P11" si="19">D11/7</f>
        <v>0.14285714285714285</v>
      </c>
      <c r="P11" s="35">
        <f t="shared" si="19"/>
        <v>0</v>
      </c>
      <c r="Q11" s="30">
        <f t="shared" si="8"/>
        <v>42</v>
      </c>
      <c r="R11" s="30"/>
      <c r="S11" s="36">
        <v>1.92592592592592</v>
      </c>
      <c r="T11" s="29">
        <v>0</v>
      </c>
      <c r="U11" s="37" t="s">
        <v>34</v>
      </c>
      <c r="V11" s="38" t="s">
        <v>34</v>
      </c>
      <c r="W11" s="29">
        <v>0</v>
      </c>
      <c r="X11" s="39">
        <f t="shared" si="9"/>
        <v>0</v>
      </c>
      <c r="Y11" s="40">
        <f t="shared" si="10"/>
        <v>0</v>
      </c>
      <c r="Z11" s="29">
        <v>0</v>
      </c>
      <c r="AA11" s="29" t="s">
        <v>35</v>
      </c>
      <c r="AB11" s="41">
        <f t="shared" si="11"/>
        <v>-0.69</v>
      </c>
      <c r="AC11" s="42">
        <v>0.20390287847222219</v>
      </c>
      <c r="AD11" s="40">
        <f t="shared" si="12"/>
        <v>-0.28138597229166662</v>
      </c>
      <c r="AE11" s="40">
        <v>-5.42</v>
      </c>
      <c r="AF11" s="40">
        <v>-6.30098</v>
      </c>
      <c r="AG11" s="40">
        <v>0</v>
      </c>
    </row>
    <row r="12" spans="1:33" ht="15.75" customHeight="1" x14ac:dyDescent="0.2">
      <c r="A12" s="29" t="s">
        <v>56</v>
      </c>
      <c r="B12" s="29" t="s">
        <v>288</v>
      </c>
      <c r="C12" s="16">
        <f t="shared" si="4"/>
        <v>21.852500000000003</v>
      </c>
      <c r="D12" s="30">
        <v>4</v>
      </c>
      <c r="E12" s="30">
        <v>0</v>
      </c>
      <c r="F12" s="31">
        <v>87.410000000000011</v>
      </c>
      <c r="G12" s="31">
        <v>0</v>
      </c>
      <c r="H12" s="32">
        <f t="shared" si="1"/>
        <v>0</v>
      </c>
      <c r="I12" s="32">
        <f t="shared" si="2"/>
        <v>0.30075547547000731</v>
      </c>
      <c r="J12" s="33">
        <f t="shared" si="5"/>
        <v>26.28903611083334</v>
      </c>
      <c r="K12" s="33">
        <f t="shared" si="3"/>
        <v>6.572259027708335</v>
      </c>
      <c r="L12" s="30">
        <v>18</v>
      </c>
      <c r="M12" s="34">
        <f t="shared" si="6"/>
        <v>0.22222222222222221</v>
      </c>
      <c r="N12" s="30">
        <v>3</v>
      </c>
      <c r="O12" s="35">
        <f t="shared" ref="O12:P12" si="20">D12/7</f>
        <v>0.5714285714285714</v>
      </c>
      <c r="P12" s="35">
        <f t="shared" si="20"/>
        <v>0</v>
      </c>
      <c r="Q12" s="30">
        <f t="shared" si="8"/>
        <v>5</v>
      </c>
      <c r="R12" s="30"/>
      <c r="S12" s="36">
        <v>3.57894736842105</v>
      </c>
      <c r="T12" s="29">
        <v>0</v>
      </c>
      <c r="U12" s="37" t="s">
        <v>34</v>
      </c>
      <c r="V12" s="38" t="s">
        <v>34</v>
      </c>
      <c r="W12" s="29">
        <v>0</v>
      </c>
      <c r="X12" s="39">
        <f t="shared" si="9"/>
        <v>0</v>
      </c>
      <c r="Y12" s="40">
        <f t="shared" si="10"/>
        <v>0</v>
      </c>
      <c r="Z12" s="29">
        <v>0</v>
      </c>
      <c r="AA12" s="29" t="s">
        <v>35</v>
      </c>
      <c r="AB12" s="41">
        <f t="shared" si="11"/>
        <v>-0.69</v>
      </c>
      <c r="AC12" s="42">
        <v>0.20390287847222219</v>
      </c>
      <c r="AD12" s="40">
        <f t="shared" si="12"/>
        <v>-1.1255438891666665</v>
      </c>
      <c r="AE12" s="40">
        <v>-5.42</v>
      </c>
      <c r="AF12" s="40">
        <v>-6.30098</v>
      </c>
      <c r="AG12" s="40">
        <v>0</v>
      </c>
    </row>
    <row r="13" spans="1:33" ht="15.75" customHeight="1" x14ac:dyDescent="0.2">
      <c r="A13" s="29" t="s">
        <v>57</v>
      </c>
      <c r="B13" s="29" t="s">
        <v>288</v>
      </c>
      <c r="C13" s="16">
        <f t="shared" si="4"/>
        <v>20.66</v>
      </c>
      <c r="D13" s="30">
        <v>1</v>
      </c>
      <c r="E13" s="30">
        <v>0</v>
      </c>
      <c r="F13" s="33">
        <v>20.66</v>
      </c>
      <c r="G13" s="31">
        <v>-0.06</v>
      </c>
      <c r="H13" s="32">
        <f t="shared" si="1"/>
        <v>2.9041626331074537E-3</v>
      </c>
      <c r="I13" s="32">
        <f t="shared" si="2"/>
        <v>0.26032836532954229</v>
      </c>
      <c r="J13" s="33">
        <f t="shared" si="5"/>
        <v>5.3783840277083437</v>
      </c>
      <c r="K13" s="33">
        <f t="shared" si="3"/>
        <v>5.3783840277083437</v>
      </c>
      <c r="L13" s="30">
        <v>22</v>
      </c>
      <c r="M13" s="34">
        <f t="shared" si="6"/>
        <v>4.5454545454545456E-2</v>
      </c>
      <c r="N13" s="30">
        <v>1</v>
      </c>
      <c r="O13" s="35">
        <f t="shared" ref="O13:P13" si="21">D13/7</f>
        <v>0.14285714285714285</v>
      </c>
      <c r="P13" s="35">
        <f t="shared" si="21"/>
        <v>0</v>
      </c>
      <c r="Q13" s="30">
        <f t="shared" si="8"/>
        <v>7</v>
      </c>
      <c r="R13" s="30"/>
      <c r="S13" s="36">
        <v>4</v>
      </c>
      <c r="T13" s="29">
        <v>0</v>
      </c>
      <c r="U13" s="37" t="s">
        <v>34</v>
      </c>
      <c r="V13" s="38" t="s">
        <v>34</v>
      </c>
      <c r="W13" s="29">
        <v>0</v>
      </c>
      <c r="X13" s="39">
        <f t="shared" si="9"/>
        <v>0</v>
      </c>
      <c r="Y13" s="40">
        <f t="shared" si="10"/>
        <v>0</v>
      </c>
      <c r="Z13" s="29">
        <v>0</v>
      </c>
      <c r="AA13" s="29" t="s">
        <v>35</v>
      </c>
      <c r="AB13" s="41">
        <f t="shared" si="11"/>
        <v>-0.69</v>
      </c>
      <c r="AC13" s="42">
        <v>0.20390287847222219</v>
      </c>
      <c r="AD13" s="40">
        <f t="shared" si="12"/>
        <v>-0.28138597229166662</v>
      </c>
      <c r="AE13" s="40">
        <v>-5.42</v>
      </c>
      <c r="AF13" s="40">
        <v>-6.4212299999999898</v>
      </c>
      <c r="AG13" s="40">
        <v>0</v>
      </c>
    </row>
    <row r="14" spans="1:33" ht="15.75" customHeight="1" x14ac:dyDescent="0.2">
      <c r="A14" s="29" t="s">
        <v>59</v>
      </c>
      <c r="B14" s="29" t="s">
        <v>289</v>
      </c>
      <c r="C14" s="16">
        <f t="shared" si="4"/>
        <v>20.52</v>
      </c>
      <c r="D14" s="30">
        <v>1</v>
      </c>
      <c r="E14" s="30">
        <v>0</v>
      </c>
      <c r="F14" s="33">
        <v>20.52</v>
      </c>
      <c r="G14" s="31">
        <v>0</v>
      </c>
      <c r="H14" s="32">
        <f t="shared" si="1"/>
        <v>0</v>
      </c>
      <c r="I14" s="32">
        <f t="shared" si="2"/>
        <v>0.25922924111639095</v>
      </c>
      <c r="J14" s="33">
        <f t="shared" si="5"/>
        <v>5.3193840277083426</v>
      </c>
      <c r="K14" s="33">
        <f t="shared" si="3"/>
        <v>5.3193840277083426</v>
      </c>
      <c r="L14" s="30">
        <v>25</v>
      </c>
      <c r="M14" s="34">
        <f t="shared" si="6"/>
        <v>0.04</v>
      </c>
      <c r="N14" s="30">
        <v>0</v>
      </c>
      <c r="O14" s="35">
        <f t="shared" ref="O14:P14" si="22">D14/7</f>
        <v>0.14285714285714285</v>
      </c>
      <c r="P14" s="35">
        <f t="shared" si="22"/>
        <v>0</v>
      </c>
      <c r="Q14" s="30">
        <f t="shared" si="8"/>
        <v>0</v>
      </c>
      <c r="R14" s="30"/>
      <c r="S14" s="36" t="e">
        <v>#N/A</v>
      </c>
      <c r="T14" s="29">
        <v>0</v>
      </c>
      <c r="U14" s="37" t="s">
        <v>34</v>
      </c>
      <c r="V14" s="38" t="s">
        <v>34</v>
      </c>
      <c r="W14" s="29">
        <v>0</v>
      </c>
      <c r="X14" s="39">
        <f t="shared" si="9"/>
        <v>0</v>
      </c>
      <c r="Y14" s="40">
        <f t="shared" si="10"/>
        <v>0</v>
      </c>
      <c r="Z14" s="29">
        <v>0</v>
      </c>
      <c r="AA14" s="29" t="s">
        <v>35</v>
      </c>
      <c r="AB14" s="41">
        <f t="shared" si="11"/>
        <v>-0.69</v>
      </c>
      <c r="AC14" s="42">
        <v>0.20390287847222219</v>
      </c>
      <c r="AD14" s="40">
        <f t="shared" si="12"/>
        <v>-0.28138597229166662</v>
      </c>
      <c r="AE14" s="40">
        <v>-5.42</v>
      </c>
      <c r="AF14" s="40">
        <v>-6.4212299999999898</v>
      </c>
      <c r="AG14" s="40">
        <v>0</v>
      </c>
    </row>
    <row r="15" spans="1:33" ht="15.75" customHeight="1" x14ac:dyDescent="0.2">
      <c r="A15" s="29" t="s">
        <v>61</v>
      </c>
      <c r="B15" s="29"/>
      <c r="C15" s="16" t="str">
        <f t="shared" si="4"/>
        <v xml:space="preserve"> - </v>
      </c>
      <c r="D15" s="30">
        <v>0</v>
      </c>
      <c r="E15" s="30">
        <v>0</v>
      </c>
      <c r="F15" s="33">
        <v>0</v>
      </c>
      <c r="G15" s="31">
        <v>0</v>
      </c>
      <c r="H15" s="32" t="e">
        <f t="shared" si="1"/>
        <v>#DIV/0!</v>
      </c>
      <c r="I15" s="32" t="e">
        <f t="shared" si="2"/>
        <v>#DIV/0!</v>
      </c>
      <c r="J15" s="33">
        <f t="shared" si="5"/>
        <v>0</v>
      </c>
      <c r="K15" s="33" t="e">
        <f t="shared" si="3"/>
        <v>#DIV/0!</v>
      </c>
      <c r="L15" s="30">
        <v>0</v>
      </c>
      <c r="M15" s="34" t="str">
        <f t="shared" si="6"/>
        <v>-</v>
      </c>
      <c r="N15" s="30">
        <v>0</v>
      </c>
      <c r="O15" s="35">
        <f t="shared" ref="O15:P15" si="23">D15/7</f>
        <v>0</v>
      </c>
      <c r="P15" s="35">
        <f t="shared" si="23"/>
        <v>0</v>
      </c>
      <c r="Q15" s="30" t="e">
        <f t="shared" si="8"/>
        <v>#DIV/0!</v>
      </c>
      <c r="R15" s="30"/>
      <c r="S15" s="36" t="e">
        <v>#N/A</v>
      </c>
      <c r="T15" s="29">
        <v>0</v>
      </c>
      <c r="U15" s="37" t="s">
        <v>34</v>
      </c>
      <c r="V15" s="38" t="s">
        <v>34</v>
      </c>
      <c r="W15" s="29">
        <v>0</v>
      </c>
      <c r="X15" s="39">
        <f t="shared" si="9"/>
        <v>0</v>
      </c>
      <c r="Y15" s="40">
        <f t="shared" si="10"/>
        <v>0</v>
      </c>
      <c r="Z15" s="29">
        <v>0</v>
      </c>
      <c r="AA15" s="29" t="s">
        <v>35</v>
      </c>
      <c r="AB15" s="41">
        <f t="shared" si="11"/>
        <v>-0.69</v>
      </c>
      <c r="AC15" s="42">
        <v>0.20390287847222219</v>
      </c>
      <c r="AD15" s="40">
        <f t="shared" si="12"/>
        <v>0</v>
      </c>
      <c r="AE15" s="40">
        <v>-5.42</v>
      </c>
      <c r="AF15" s="40">
        <v>-6.4212299999999898</v>
      </c>
      <c r="AG15" s="40">
        <v>0</v>
      </c>
    </row>
    <row r="16" spans="1:33" ht="15.75" customHeight="1" x14ac:dyDescent="0.2">
      <c r="A16" s="29" t="s">
        <v>64</v>
      </c>
      <c r="B16" s="29"/>
      <c r="C16" s="16" t="str">
        <f t="shared" si="4"/>
        <v xml:space="preserve"> - </v>
      </c>
      <c r="D16" s="30">
        <v>0</v>
      </c>
      <c r="E16" s="30">
        <v>0</v>
      </c>
      <c r="F16" s="33">
        <v>0</v>
      </c>
      <c r="G16" s="31">
        <v>0</v>
      </c>
      <c r="H16" s="32" t="e">
        <f t="shared" si="1"/>
        <v>#DIV/0!</v>
      </c>
      <c r="I16" s="32" t="e">
        <f t="shared" si="2"/>
        <v>#DIV/0!</v>
      </c>
      <c r="J16" s="33">
        <f t="shared" si="5"/>
        <v>0</v>
      </c>
      <c r="K16" s="33" t="e">
        <f t="shared" si="3"/>
        <v>#DIV/0!</v>
      </c>
      <c r="L16" s="30">
        <v>0</v>
      </c>
      <c r="M16" s="34" t="str">
        <f t="shared" si="6"/>
        <v>-</v>
      </c>
      <c r="N16" s="30">
        <v>0</v>
      </c>
      <c r="O16" s="35">
        <f t="shared" ref="O16:P16" si="24">D16/7</f>
        <v>0</v>
      </c>
      <c r="P16" s="35">
        <f t="shared" si="24"/>
        <v>0</v>
      </c>
      <c r="Q16" s="30" t="e">
        <f t="shared" si="8"/>
        <v>#DIV/0!</v>
      </c>
      <c r="R16" s="30"/>
      <c r="S16" s="36" t="e">
        <v>#N/A</v>
      </c>
      <c r="T16" s="29">
        <v>0</v>
      </c>
      <c r="U16" s="37" t="s">
        <v>34</v>
      </c>
      <c r="V16" s="38" t="s">
        <v>34</v>
      </c>
      <c r="W16" s="29">
        <v>0</v>
      </c>
      <c r="X16" s="39">
        <f t="shared" si="9"/>
        <v>0</v>
      </c>
      <c r="Y16" s="40">
        <f t="shared" si="10"/>
        <v>0</v>
      </c>
      <c r="Z16" s="29">
        <v>0</v>
      </c>
      <c r="AA16" s="29" t="s">
        <v>35</v>
      </c>
      <c r="AB16" s="41">
        <f t="shared" si="11"/>
        <v>-0.69</v>
      </c>
      <c r="AC16" s="42">
        <v>0.20390287847222219</v>
      </c>
      <c r="AD16" s="40">
        <f t="shared" si="12"/>
        <v>0</v>
      </c>
      <c r="AE16" s="40">
        <v>-5.42</v>
      </c>
      <c r="AF16" s="40">
        <v>-6.4212299999999898</v>
      </c>
      <c r="AG16" s="40">
        <v>0</v>
      </c>
    </row>
    <row r="17" spans="1:33" ht="15.75" customHeight="1" x14ac:dyDescent="0.2">
      <c r="A17" s="29" t="s">
        <v>66</v>
      </c>
      <c r="B17" s="29"/>
      <c r="C17" s="16" t="str">
        <f t="shared" si="4"/>
        <v xml:space="preserve"> - </v>
      </c>
      <c r="D17" s="30">
        <v>0</v>
      </c>
      <c r="E17" s="30">
        <v>1</v>
      </c>
      <c r="F17" s="33">
        <v>0</v>
      </c>
      <c r="G17" s="31">
        <v>0</v>
      </c>
      <c r="H17" s="32" t="e">
        <f t="shared" si="1"/>
        <v>#DIV/0!</v>
      </c>
      <c r="I17" s="32" t="e">
        <f t="shared" si="2"/>
        <v>#DIV/0!</v>
      </c>
      <c r="J17" s="33">
        <f t="shared" si="5"/>
        <v>0</v>
      </c>
      <c r="K17" s="33" t="e">
        <f t="shared" si="3"/>
        <v>#DIV/0!</v>
      </c>
      <c r="L17" s="30">
        <v>0</v>
      </c>
      <c r="M17" s="34" t="str">
        <f t="shared" si="6"/>
        <v>-</v>
      </c>
      <c r="N17" s="30">
        <v>0</v>
      </c>
      <c r="O17" s="35">
        <f t="shared" ref="O17:P17" si="25">D17/7</f>
        <v>0</v>
      </c>
      <c r="P17" s="35">
        <f t="shared" si="25"/>
        <v>0.14285714285714285</v>
      </c>
      <c r="Q17" s="30">
        <f t="shared" si="8"/>
        <v>0</v>
      </c>
      <c r="R17" s="30"/>
      <c r="S17" s="36" t="e">
        <v>#N/A</v>
      </c>
      <c r="T17" s="29">
        <v>0</v>
      </c>
      <c r="U17" s="37" t="s">
        <v>34</v>
      </c>
      <c r="V17" s="38" t="s">
        <v>34</v>
      </c>
      <c r="W17" s="29">
        <v>0</v>
      </c>
      <c r="X17" s="39">
        <f t="shared" si="9"/>
        <v>0</v>
      </c>
      <c r="Y17" s="40">
        <f t="shared" si="10"/>
        <v>0</v>
      </c>
      <c r="Z17" s="29">
        <v>0</v>
      </c>
      <c r="AA17" s="29" t="s">
        <v>35</v>
      </c>
      <c r="AB17" s="41">
        <f t="shared" si="11"/>
        <v>-0.69</v>
      </c>
      <c r="AC17" s="42">
        <v>0.20390287847222219</v>
      </c>
      <c r="AD17" s="40">
        <f t="shared" si="12"/>
        <v>0</v>
      </c>
      <c r="AE17" s="40">
        <v>-5.42</v>
      </c>
      <c r="AF17" s="40">
        <v>-6.4212299999999898</v>
      </c>
      <c r="AG17" s="40">
        <v>0</v>
      </c>
    </row>
    <row r="18" spans="1:33" ht="15.75" customHeight="1" x14ac:dyDescent="0.2">
      <c r="A18" s="29" t="s">
        <v>69</v>
      </c>
      <c r="B18" s="29"/>
      <c r="C18" s="16" t="str">
        <f t="shared" si="4"/>
        <v xml:space="preserve"> - </v>
      </c>
      <c r="D18" s="30">
        <v>0</v>
      </c>
      <c r="E18" s="30">
        <v>0</v>
      </c>
      <c r="F18" s="33">
        <v>0</v>
      </c>
      <c r="G18" s="31">
        <v>0</v>
      </c>
      <c r="H18" s="32" t="e">
        <f t="shared" si="1"/>
        <v>#DIV/0!</v>
      </c>
      <c r="I18" s="32" t="e">
        <f t="shared" si="2"/>
        <v>#DIV/0!</v>
      </c>
      <c r="J18" s="33">
        <f t="shared" si="5"/>
        <v>0</v>
      </c>
      <c r="K18" s="33" t="e">
        <f t="shared" si="3"/>
        <v>#DIV/0!</v>
      </c>
      <c r="L18" s="30">
        <v>0</v>
      </c>
      <c r="M18" s="34" t="str">
        <f t="shared" si="6"/>
        <v>-</v>
      </c>
      <c r="N18" s="30">
        <v>0</v>
      </c>
      <c r="O18" s="35">
        <f t="shared" ref="O18:P18" si="26">D18/7</f>
        <v>0</v>
      </c>
      <c r="P18" s="35">
        <f t="shared" si="26"/>
        <v>0</v>
      </c>
      <c r="Q18" s="30" t="e">
        <f t="shared" si="8"/>
        <v>#DIV/0!</v>
      </c>
      <c r="R18" s="30"/>
      <c r="S18" s="36" t="e">
        <v>#N/A</v>
      </c>
      <c r="T18" s="29">
        <v>0</v>
      </c>
      <c r="U18" s="37" t="s">
        <v>34</v>
      </c>
      <c r="V18" s="38" t="s">
        <v>34</v>
      </c>
      <c r="W18" s="29">
        <v>0</v>
      </c>
      <c r="X18" s="39">
        <f t="shared" si="9"/>
        <v>0</v>
      </c>
      <c r="Y18" s="40">
        <f t="shared" si="10"/>
        <v>0</v>
      </c>
      <c r="Z18" s="29">
        <v>0</v>
      </c>
      <c r="AA18" s="29" t="s">
        <v>35</v>
      </c>
      <c r="AB18" s="41">
        <f t="shared" si="11"/>
        <v>-0.69</v>
      </c>
      <c r="AC18" s="42">
        <v>0.20390287847222219</v>
      </c>
      <c r="AD18" s="40">
        <f t="shared" si="12"/>
        <v>0</v>
      </c>
      <c r="AE18" s="40">
        <v>-5.42</v>
      </c>
      <c r="AF18" s="40">
        <v>-6.4212299999999898</v>
      </c>
      <c r="AG18" s="40">
        <v>0</v>
      </c>
    </row>
    <row r="19" spans="1:33" ht="15.75" customHeight="1" x14ac:dyDescent="0.2">
      <c r="A19" s="29" t="s">
        <v>71</v>
      </c>
      <c r="B19" s="29"/>
      <c r="C19" s="16" t="str">
        <f t="shared" si="4"/>
        <v xml:space="preserve"> - </v>
      </c>
      <c r="D19" s="30">
        <v>0</v>
      </c>
      <c r="E19" s="30">
        <v>0</v>
      </c>
      <c r="F19" s="33">
        <v>0</v>
      </c>
      <c r="G19" s="31">
        <v>0</v>
      </c>
      <c r="H19" s="32" t="e">
        <f t="shared" si="1"/>
        <v>#DIV/0!</v>
      </c>
      <c r="I19" s="32" t="e">
        <f t="shared" si="2"/>
        <v>#DIV/0!</v>
      </c>
      <c r="J19" s="33">
        <f t="shared" si="5"/>
        <v>0</v>
      </c>
      <c r="K19" s="33" t="e">
        <f t="shared" si="3"/>
        <v>#DIV/0!</v>
      </c>
      <c r="L19" s="30">
        <v>0</v>
      </c>
      <c r="M19" s="34" t="str">
        <f t="shared" si="6"/>
        <v>-</v>
      </c>
      <c r="N19" s="30">
        <v>0</v>
      </c>
      <c r="O19" s="35">
        <f t="shared" ref="O19:P19" si="27">D19/7</f>
        <v>0</v>
      </c>
      <c r="P19" s="35">
        <f t="shared" si="27"/>
        <v>0</v>
      </c>
      <c r="Q19" s="30" t="e">
        <f t="shared" si="8"/>
        <v>#DIV/0!</v>
      </c>
      <c r="R19" s="30"/>
      <c r="S19" s="36" t="e">
        <v>#N/A</v>
      </c>
      <c r="T19" s="29">
        <v>0</v>
      </c>
      <c r="U19" s="37" t="s">
        <v>34</v>
      </c>
      <c r="V19" s="38" t="s">
        <v>34</v>
      </c>
      <c r="W19" s="29">
        <v>0</v>
      </c>
      <c r="X19" s="39">
        <f t="shared" si="9"/>
        <v>0</v>
      </c>
      <c r="Y19" s="40">
        <f t="shared" si="10"/>
        <v>0</v>
      </c>
      <c r="Z19" s="29">
        <v>0</v>
      </c>
      <c r="AA19" s="29" t="s">
        <v>35</v>
      </c>
      <c r="AB19" s="41">
        <f t="shared" si="11"/>
        <v>-0.69</v>
      </c>
      <c r="AC19" s="42">
        <v>0.20390287847222219</v>
      </c>
      <c r="AD19" s="40">
        <f t="shared" si="12"/>
        <v>0</v>
      </c>
      <c r="AE19" s="40">
        <v>-5.42</v>
      </c>
      <c r="AF19" s="40">
        <v>-6.4212299999999995</v>
      </c>
      <c r="AG19" s="40">
        <v>0</v>
      </c>
    </row>
    <row r="20" spans="1:33" ht="15.75" customHeight="1" x14ac:dyDescent="0.2">
      <c r="A20" s="29" t="s">
        <v>74</v>
      </c>
      <c r="B20" s="29"/>
      <c r="C20" s="16" t="str">
        <f t="shared" si="4"/>
        <v xml:space="preserve"> - </v>
      </c>
      <c r="D20" s="30">
        <v>0</v>
      </c>
      <c r="E20" s="30">
        <v>0</v>
      </c>
      <c r="F20" s="33">
        <v>0</v>
      </c>
      <c r="G20" s="31">
        <v>0</v>
      </c>
      <c r="H20" s="32" t="e">
        <f t="shared" si="1"/>
        <v>#DIV/0!</v>
      </c>
      <c r="I20" s="32" t="e">
        <f t="shared" si="2"/>
        <v>#DIV/0!</v>
      </c>
      <c r="J20" s="33">
        <f t="shared" si="5"/>
        <v>0</v>
      </c>
      <c r="K20" s="33" t="e">
        <f t="shared" si="3"/>
        <v>#DIV/0!</v>
      </c>
      <c r="L20" s="30">
        <v>0</v>
      </c>
      <c r="M20" s="34" t="str">
        <f t="shared" si="6"/>
        <v>-</v>
      </c>
      <c r="N20" s="30">
        <v>0</v>
      </c>
      <c r="O20" s="35">
        <f t="shared" ref="O20:P20" si="28">D20/7</f>
        <v>0</v>
      </c>
      <c r="P20" s="35">
        <f t="shared" si="28"/>
        <v>0</v>
      </c>
      <c r="Q20" s="30" t="e">
        <f t="shared" si="8"/>
        <v>#DIV/0!</v>
      </c>
      <c r="R20" s="30"/>
      <c r="S20" s="36" t="e">
        <v>#N/A</v>
      </c>
      <c r="T20" s="29">
        <v>0</v>
      </c>
      <c r="U20" s="37" t="s">
        <v>34</v>
      </c>
      <c r="V20" s="38" t="s">
        <v>34</v>
      </c>
      <c r="W20" s="29">
        <v>0</v>
      </c>
      <c r="X20" s="39">
        <f t="shared" si="9"/>
        <v>0</v>
      </c>
      <c r="Y20" s="40">
        <f t="shared" si="10"/>
        <v>0</v>
      </c>
      <c r="Z20" s="29">
        <v>0</v>
      </c>
      <c r="AA20" s="29" t="s">
        <v>35</v>
      </c>
      <c r="AB20" s="41">
        <f t="shared" si="11"/>
        <v>-0.69</v>
      </c>
      <c r="AC20" s="42">
        <v>0.20390287847222219</v>
      </c>
      <c r="AD20" s="40">
        <f t="shared" si="12"/>
        <v>0</v>
      </c>
      <c r="AE20" s="40">
        <v>-5.42</v>
      </c>
      <c r="AF20" s="40">
        <v>-6.4212299999999995</v>
      </c>
      <c r="AG20" s="40">
        <v>0</v>
      </c>
    </row>
    <row r="21" spans="1:33" ht="15.75" customHeight="1" x14ac:dyDescent="0.2">
      <c r="A21" s="29" t="s">
        <v>75</v>
      </c>
      <c r="B21" s="29"/>
      <c r="C21" s="16" t="str">
        <f t="shared" si="4"/>
        <v xml:space="preserve"> - </v>
      </c>
      <c r="D21" s="30">
        <v>0</v>
      </c>
      <c r="E21" s="30">
        <v>0</v>
      </c>
      <c r="F21" s="33">
        <v>0</v>
      </c>
      <c r="G21" s="31">
        <v>0</v>
      </c>
      <c r="H21" s="32" t="e">
        <f t="shared" si="1"/>
        <v>#DIV/0!</v>
      </c>
      <c r="I21" s="32" t="e">
        <f t="shared" si="2"/>
        <v>#DIV/0!</v>
      </c>
      <c r="J21" s="33">
        <f t="shared" si="5"/>
        <v>0</v>
      </c>
      <c r="K21" s="33" t="e">
        <f t="shared" si="3"/>
        <v>#DIV/0!</v>
      </c>
      <c r="L21" s="30">
        <v>0</v>
      </c>
      <c r="M21" s="34" t="str">
        <f t="shared" si="6"/>
        <v>-</v>
      </c>
      <c r="N21" s="30">
        <v>0</v>
      </c>
      <c r="O21" s="35">
        <f t="shared" ref="O21:P21" si="29">D21/7</f>
        <v>0</v>
      </c>
      <c r="P21" s="35">
        <f t="shared" si="29"/>
        <v>0</v>
      </c>
      <c r="Q21" s="30" t="e">
        <f t="shared" si="8"/>
        <v>#DIV/0!</v>
      </c>
      <c r="R21" s="30"/>
      <c r="S21" s="36" t="e">
        <v>#N/A</v>
      </c>
      <c r="T21" s="29">
        <v>0</v>
      </c>
      <c r="U21" s="37" t="s">
        <v>34</v>
      </c>
      <c r="V21" s="38" t="s">
        <v>34</v>
      </c>
      <c r="W21" s="29">
        <v>0</v>
      </c>
      <c r="X21" s="39">
        <f t="shared" si="9"/>
        <v>0</v>
      </c>
      <c r="Y21" s="40">
        <f t="shared" si="10"/>
        <v>0</v>
      </c>
      <c r="Z21" s="29">
        <v>0</v>
      </c>
      <c r="AA21" s="29" t="s">
        <v>35</v>
      </c>
      <c r="AB21" s="41">
        <f t="shared" si="11"/>
        <v>-0.69</v>
      </c>
      <c r="AC21" s="42">
        <v>0.20390287847222219</v>
      </c>
      <c r="AD21" s="40">
        <f t="shared" si="12"/>
        <v>0</v>
      </c>
      <c r="AE21" s="40">
        <v>-5.42</v>
      </c>
      <c r="AF21" s="40">
        <v>-6.4212299999999995</v>
      </c>
      <c r="AG21" s="40">
        <v>0</v>
      </c>
    </row>
    <row r="22" spans="1:33" ht="15.75" customHeight="1" x14ac:dyDescent="0.2">
      <c r="A22" s="29" t="s">
        <v>76</v>
      </c>
      <c r="B22" s="29"/>
      <c r="C22" s="16" t="str">
        <f t="shared" si="4"/>
        <v xml:space="preserve"> - </v>
      </c>
      <c r="D22" s="30">
        <v>0</v>
      </c>
      <c r="E22" s="30">
        <v>0</v>
      </c>
      <c r="F22" s="31">
        <v>0</v>
      </c>
      <c r="G22" s="31">
        <v>0</v>
      </c>
      <c r="H22" s="32" t="e">
        <f t="shared" si="1"/>
        <v>#DIV/0!</v>
      </c>
      <c r="I22" s="32" t="e">
        <f t="shared" si="2"/>
        <v>#DIV/0!</v>
      </c>
      <c r="J22" s="33">
        <f t="shared" si="5"/>
        <v>0</v>
      </c>
      <c r="K22" s="33" t="e">
        <f t="shared" si="3"/>
        <v>#DIV/0!</v>
      </c>
      <c r="L22" s="30">
        <v>0</v>
      </c>
      <c r="M22" s="34" t="str">
        <f t="shared" si="6"/>
        <v>-</v>
      </c>
      <c r="N22" s="30">
        <v>0</v>
      </c>
      <c r="O22" s="35">
        <f t="shared" ref="O22:P22" si="30">D22/7</f>
        <v>0</v>
      </c>
      <c r="P22" s="35">
        <f t="shared" si="30"/>
        <v>0</v>
      </c>
      <c r="Q22" s="30" t="e">
        <f t="shared" si="8"/>
        <v>#DIV/0!</v>
      </c>
      <c r="R22" s="30"/>
      <c r="S22" s="36" t="e">
        <v>#N/A</v>
      </c>
      <c r="T22" s="29">
        <v>0</v>
      </c>
      <c r="U22" s="37" t="s">
        <v>34</v>
      </c>
      <c r="V22" s="38" t="s">
        <v>34</v>
      </c>
      <c r="W22" s="29">
        <v>0</v>
      </c>
      <c r="X22" s="39">
        <f t="shared" si="9"/>
        <v>0</v>
      </c>
      <c r="Y22" s="40">
        <f t="shared" si="10"/>
        <v>0</v>
      </c>
      <c r="Z22" s="29">
        <v>0</v>
      </c>
      <c r="AA22" s="29" t="s">
        <v>35</v>
      </c>
      <c r="AB22" s="41">
        <f t="shared" si="11"/>
        <v>-0.69</v>
      </c>
      <c r="AC22" s="42">
        <v>0.20390287847222219</v>
      </c>
      <c r="AD22" s="40">
        <f t="shared" si="12"/>
        <v>0</v>
      </c>
      <c r="AE22" s="40">
        <v>-5.42</v>
      </c>
      <c r="AF22" s="40">
        <v>-6.4212299999999995</v>
      </c>
      <c r="AG22" s="40">
        <v>0</v>
      </c>
    </row>
    <row r="23" spans="1:33" ht="15.75" customHeight="1" x14ac:dyDescent="0.2">
      <c r="A23" s="29" t="s">
        <v>77</v>
      </c>
      <c r="B23" s="29"/>
      <c r="C23" s="16" t="str">
        <f t="shared" si="4"/>
        <v xml:space="preserve"> - </v>
      </c>
      <c r="D23" s="30">
        <v>0</v>
      </c>
      <c r="E23" s="30">
        <v>0</v>
      </c>
      <c r="F23" s="33">
        <v>0</v>
      </c>
      <c r="G23" s="31">
        <v>0</v>
      </c>
      <c r="H23" s="32" t="e">
        <f t="shared" si="1"/>
        <v>#DIV/0!</v>
      </c>
      <c r="I23" s="32" t="e">
        <f t="shared" si="2"/>
        <v>#DIV/0!</v>
      </c>
      <c r="J23" s="33">
        <f t="shared" si="5"/>
        <v>0</v>
      </c>
      <c r="K23" s="33" t="e">
        <f t="shared" si="3"/>
        <v>#DIV/0!</v>
      </c>
      <c r="L23" s="30">
        <v>0</v>
      </c>
      <c r="M23" s="34" t="str">
        <f t="shared" si="6"/>
        <v>-</v>
      </c>
      <c r="N23" s="30">
        <v>0</v>
      </c>
      <c r="O23" s="35">
        <f t="shared" ref="O23:P23" si="31">D23/7</f>
        <v>0</v>
      </c>
      <c r="P23" s="35">
        <f t="shared" si="31"/>
        <v>0</v>
      </c>
      <c r="Q23" s="30" t="e">
        <f t="shared" si="8"/>
        <v>#DIV/0!</v>
      </c>
      <c r="R23" s="30"/>
      <c r="S23" s="36" t="e">
        <v>#N/A</v>
      </c>
      <c r="T23" s="29">
        <v>0</v>
      </c>
      <c r="U23" s="37" t="s">
        <v>34</v>
      </c>
      <c r="V23" s="38" t="s">
        <v>34</v>
      </c>
      <c r="W23" s="29">
        <v>0</v>
      </c>
      <c r="X23" s="39">
        <f t="shared" si="9"/>
        <v>0</v>
      </c>
      <c r="Y23" s="40">
        <f t="shared" si="10"/>
        <v>0</v>
      </c>
      <c r="Z23" s="29">
        <v>0</v>
      </c>
      <c r="AA23" s="29" t="s">
        <v>35</v>
      </c>
      <c r="AB23" s="41">
        <f t="shared" si="11"/>
        <v>-0.69</v>
      </c>
      <c r="AC23" s="42">
        <v>0.20390287847222219</v>
      </c>
      <c r="AD23" s="40">
        <f t="shared" si="12"/>
        <v>0</v>
      </c>
      <c r="AE23" s="40">
        <v>-5.42</v>
      </c>
      <c r="AF23" s="40">
        <v>-6.4212299999999995</v>
      </c>
      <c r="AG23" s="40">
        <v>0</v>
      </c>
    </row>
    <row r="24" spans="1:33" ht="15.75" customHeight="1" x14ac:dyDescent="0.2">
      <c r="A24" s="29" t="s">
        <v>79</v>
      </c>
      <c r="B24" s="29"/>
      <c r="C24" s="16" t="str">
        <f t="shared" si="4"/>
        <v xml:space="preserve"> - </v>
      </c>
      <c r="D24" s="30">
        <v>0</v>
      </c>
      <c r="E24" s="30">
        <v>0</v>
      </c>
      <c r="F24" s="33">
        <v>0</v>
      </c>
      <c r="G24" s="33">
        <v>0</v>
      </c>
      <c r="H24" s="32" t="e">
        <f t="shared" si="1"/>
        <v>#DIV/0!</v>
      </c>
      <c r="I24" s="32" t="e">
        <f t="shared" si="2"/>
        <v>#DIV/0!</v>
      </c>
      <c r="J24" s="33">
        <f t="shared" si="5"/>
        <v>0</v>
      </c>
      <c r="K24" s="33" t="e">
        <f t="shared" si="3"/>
        <v>#DIV/0!</v>
      </c>
      <c r="L24" s="30">
        <v>0</v>
      </c>
      <c r="M24" s="34" t="str">
        <f t="shared" si="6"/>
        <v>-</v>
      </c>
      <c r="N24" s="30">
        <v>0</v>
      </c>
      <c r="O24" s="35">
        <f t="shared" ref="O24:P24" si="32">D24/7</f>
        <v>0</v>
      </c>
      <c r="P24" s="35">
        <f t="shared" si="32"/>
        <v>0</v>
      </c>
      <c r="Q24" s="30" t="e">
        <f t="shared" si="8"/>
        <v>#DIV/0!</v>
      </c>
      <c r="R24" s="30"/>
      <c r="S24" s="36" t="e">
        <v>#N/A</v>
      </c>
      <c r="T24" s="29">
        <f ca="1">IFERROR(__xludf.DUMMYFUNCTION("IFERROR(VLOOKUP($B$2,IMPORTRANGE(""https://docs.google.com/spreadsheets/d/1iVgg6Mw12RULLujzHmfOFIY8Q_KaAD8anoZzgtVAQ74/edit#gid=1503384807"",""Ubiquitty - Summary!A1:AD5000""),9,FALSE),"""")"),0)</f>
        <v>0</v>
      </c>
      <c r="U24" s="37" t="str">
        <f ca="1">IFERROR(__xludf.DUMMYFUNCTION("IFERROR(VLOOKUP($B$2,IMPORTRANGE(""https://docs.google.com/spreadsheets/d/1iVgg6Mw12RULLujzHmfOFIY8Q_KaAD8anoZzgtVAQ74/edit#gid=1503384807"",""Ubiquitty - Summary!A1:AD5000""),28,FALSE),"""")"),"")</f>
        <v/>
      </c>
      <c r="V24" s="38" t="str">
        <f ca="1">IFERROR(__xludf.DUMMYFUNCTION("IFERROR(VLOOKUP($B$2,IMPORTRANGE(""https://docs.google.com/spreadsheets/d/1iVgg6Mw12RULLujzHmfOFIY8Q_KaAD8anoZzgtVAQ74/edit#gid=1503384807"",""Ubiquitty - Summary!A1:Ae5000""),31,FALSE),"""")"),"")</f>
        <v/>
      </c>
      <c r="W24" s="29">
        <v>0</v>
      </c>
      <c r="X24" s="39">
        <f t="shared" si="9"/>
        <v>0</v>
      </c>
      <c r="Y24" s="40">
        <f t="shared" si="10"/>
        <v>0</v>
      </c>
      <c r="Z24" s="29">
        <v>0</v>
      </c>
      <c r="AA24" s="29" t="s">
        <v>35</v>
      </c>
      <c r="AB24" s="41">
        <f t="shared" si="11"/>
        <v>-0.69</v>
      </c>
      <c r="AC24" s="42">
        <v>0.20390287847222219</v>
      </c>
      <c r="AD24" s="40">
        <f t="shared" si="12"/>
        <v>0</v>
      </c>
      <c r="AE24" s="40">
        <v>-5.42</v>
      </c>
      <c r="AF24" s="40">
        <v>-6.4212299999999995</v>
      </c>
      <c r="AG24" s="40">
        <v>0</v>
      </c>
    </row>
    <row r="25" spans="1:33" ht="15.75" customHeight="1" x14ac:dyDescent="0.2">
      <c r="A25" s="15" t="s">
        <v>81</v>
      </c>
      <c r="B25" s="15"/>
      <c r="C25" s="16" t="str">
        <f t="shared" si="4"/>
        <v xml:space="preserve"> - </v>
      </c>
      <c r="D25" s="17">
        <v>0</v>
      </c>
      <c r="E25" s="17">
        <v>0</v>
      </c>
      <c r="F25" s="18">
        <v>0</v>
      </c>
      <c r="G25" s="18">
        <v>0</v>
      </c>
      <c r="H25" s="32" t="e">
        <f t="shared" si="1"/>
        <v>#DIV/0!</v>
      </c>
      <c r="I25" s="32" t="e">
        <f t="shared" si="2"/>
        <v>#DIV/0!</v>
      </c>
      <c r="J25" s="33">
        <f t="shared" si="5"/>
        <v>0</v>
      </c>
      <c r="K25" s="33" t="e">
        <f t="shared" si="3"/>
        <v>#DIV/0!</v>
      </c>
      <c r="L25" s="17">
        <v>0</v>
      </c>
      <c r="M25" s="34" t="str">
        <f t="shared" si="6"/>
        <v>-</v>
      </c>
      <c r="N25" s="17">
        <v>0</v>
      </c>
      <c r="O25" s="35">
        <f t="shared" ref="O25:P25" si="33">D25/7</f>
        <v>0</v>
      </c>
      <c r="P25" s="35">
        <f t="shared" si="33"/>
        <v>0</v>
      </c>
      <c r="Q25" s="30" t="e">
        <f t="shared" si="8"/>
        <v>#DIV/0!</v>
      </c>
      <c r="R25" s="30"/>
      <c r="S25" s="36" t="e">
        <v>#N/A</v>
      </c>
      <c r="T25" s="29">
        <v>0</v>
      </c>
      <c r="U25" s="37" t="s">
        <v>34</v>
      </c>
      <c r="V25" s="38" t="s">
        <v>34</v>
      </c>
      <c r="W25" s="15">
        <v>0</v>
      </c>
      <c r="X25" s="39">
        <f t="shared" si="9"/>
        <v>0</v>
      </c>
      <c r="Y25" s="40">
        <f t="shared" si="10"/>
        <v>0</v>
      </c>
      <c r="Z25" s="15">
        <v>0</v>
      </c>
      <c r="AA25" s="29" t="s">
        <v>35</v>
      </c>
      <c r="AB25" s="41">
        <f t="shared" si="11"/>
        <v>-0.69</v>
      </c>
      <c r="AC25" s="42">
        <v>0.20390287847222219</v>
      </c>
      <c r="AD25" s="40">
        <f t="shared" si="12"/>
        <v>0</v>
      </c>
      <c r="AE25" s="26">
        <v>-5.42</v>
      </c>
      <c r="AF25" s="26">
        <v>-6.42</v>
      </c>
      <c r="AG25" s="26">
        <v>0</v>
      </c>
    </row>
    <row r="26" spans="1:33" ht="15.75" customHeight="1" x14ac:dyDescent="0.2">
      <c r="A26" s="15" t="s">
        <v>83</v>
      </c>
      <c r="B26" s="15"/>
      <c r="C26" s="16" t="str">
        <f t="shared" si="4"/>
        <v xml:space="preserve"> - </v>
      </c>
      <c r="D26" s="17">
        <v>0</v>
      </c>
      <c r="E26" s="17">
        <v>0</v>
      </c>
      <c r="F26" s="18">
        <v>0</v>
      </c>
      <c r="G26" s="18">
        <v>0</v>
      </c>
      <c r="H26" s="32" t="e">
        <f t="shared" si="1"/>
        <v>#DIV/0!</v>
      </c>
      <c r="I26" s="32" t="e">
        <f t="shared" si="2"/>
        <v>#DIV/0!</v>
      </c>
      <c r="J26" s="33">
        <f t="shared" si="5"/>
        <v>0</v>
      </c>
      <c r="K26" s="33" t="e">
        <f t="shared" si="3"/>
        <v>#DIV/0!</v>
      </c>
      <c r="L26" s="17">
        <v>0</v>
      </c>
      <c r="M26" s="34" t="str">
        <f t="shared" si="6"/>
        <v>-</v>
      </c>
      <c r="N26" s="17">
        <v>0</v>
      </c>
      <c r="O26" s="35">
        <f t="shared" ref="O26:P26" si="34">D26/7</f>
        <v>0</v>
      </c>
      <c r="P26" s="35">
        <f t="shared" si="34"/>
        <v>0</v>
      </c>
      <c r="Q26" s="30" t="e">
        <f t="shared" si="8"/>
        <v>#DIV/0!</v>
      </c>
      <c r="R26" s="30"/>
      <c r="S26" s="22">
        <v>0</v>
      </c>
      <c r="T26" s="29">
        <v>0</v>
      </c>
      <c r="U26" s="37" t="s">
        <v>34</v>
      </c>
      <c r="V26" s="38" t="s">
        <v>34</v>
      </c>
      <c r="W26" s="15">
        <v>0</v>
      </c>
      <c r="X26" s="39">
        <f t="shared" si="9"/>
        <v>0</v>
      </c>
      <c r="Y26" s="40">
        <f t="shared" si="10"/>
        <v>0</v>
      </c>
      <c r="Z26" s="15">
        <v>0</v>
      </c>
      <c r="AA26" s="29" t="s">
        <v>35</v>
      </c>
      <c r="AB26" s="41">
        <f t="shared" si="11"/>
        <v>-0.69</v>
      </c>
      <c r="AC26" s="42">
        <v>0.20390287847222219</v>
      </c>
      <c r="AD26" s="40">
        <f t="shared" si="12"/>
        <v>0</v>
      </c>
      <c r="AE26" s="26">
        <v>-5.42</v>
      </c>
      <c r="AF26" s="26">
        <v>-6.4212299999999898</v>
      </c>
      <c r="AG26" s="26">
        <v>0</v>
      </c>
    </row>
    <row r="27" spans="1:33" ht="15.75" customHeight="1" x14ac:dyDescent="0.2">
      <c r="A27" s="15" t="s">
        <v>84</v>
      </c>
      <c r="B27" s="15"/>
      <c r="C27" s="16" t="str">
        <f t="shared" si="4"/>
        <v xml:space="preserve"> - </v>
      </c>
      <c r="D27" s="17">
        <v>0</v>
      </c>
      <c r="E27" s="17">
        <v>0</v>
      </c>
      <c r="F27" s="18">
        <v>0</v>
      </c>
      <c r="G27" s="18">
        <v>0</v>
      </c>
      <c r="H27" s="32" t="e">
        <f t="shared" si="1"/>
        <v>#DIV/0!</v>
      </c>
      <c r="I27" s="32" t="e">
        <f t="shared" si="2"/>
        <v>#DIV/0!</v>
      </c>
      <c r="J27" s="33">
        <f t="shared" si="5"/>
        <v>0</v>
      </c>
      <c r="K27" s="33" t="e">
        <f t="shared" si="3"/>
        <v>#DIV/0!</v>
      </c>
      <c r="L27" s="17">
        <v>0</v>
      </c>
      <c r="M27" s="34" t="str">
        <f t="shared" si="6"/>
        <v>-</v>
      </c>
      <c r="N27" s="17">
        <v>0</v>
      </c>
      <c r="O27" s="35">
        <f t="shared" ref="O27:P27" si="35">D27/7</f>
        <v>0</v>
      </c>
      <c r="P27" s="35">
        <f t="shared" si="35"/>
        <v>0</v>
      </c>
      <c r="Q27" s="30" t="e">
        <f t="shared" si="8"/>
        <v>#DIV/0!</v>
      </c>
      <c r="R27" s="30"/>
      <c r="S27" s="22">
        <v>0</v>
      </c>
      <c r="T27" s="29">
        <v>0</v>
      </c>
      <c r="U27" s="37" t="s">
        <v>34</v>
      </c>
      <c r="V27" s="38" t="s">
        <v>34</v>
      </c>
      <c r="W27" s="15">
        <v>0</v>
      </c>
      <c r="X27" s="39">
        <f t="shared" si="9"/>
        <v>0</v>
      </c>
      <c r="Y27" s="40">
        <f t="shared" si="10"/>
        <v>0</v>
      </c>
      <c r="Z27" s="15">
        <v>0</v>
      </c>
      <c r="AA27" s="29" t="s">
        <v>35</v>
      </c>
      <c r="AB27" s="41">
        <f t="shared" si="11"/>
        <v>-0.69</v>
      </c>
      <c r="AC27" s="42">
        <v>0.20390287847222219</v>
      </c>
      <c r="AD27" s="40">
        <f t="shared" si="12"/>
        <v>0</v>
      </c>
      <c r="AE27" s="26">
        <v>-5.42</v>
      </c>
      <c r="AF27" s="26">
        <v>-6.4212299999999898</v>
      </c>
      <c r="AG27" s="26">
        <v>0</v>
      </c>
    </row>
    <row r="28" spans="1:33" ht="15.75" customHeight="1" x14ac:dyDescent="0.2">
      <c r="A28" s="15" t="s">
        <v>85</v>
      </c>
      <c r="B28" s="15"/>
      <c r="C28" s="16" t="str">
        <f t="shared" si="4"/>
        <v xml:space="preserve"> - </v>
      </c>
      <c r="D28" s="17">
        <v>0</v>
      </c>
      <c r="E28" s="17">
        <v>0</v>
      </c>
      <c r="F28" s="18">
        <v>0</v>
      </c>
      <c r="G28" s="18">
        <v>0</v>
      </c>
      <c r="H28" s="32" t="e">
        <f t="shared" si="1"/>
        <v>#DIV/0!</v>
      </c>
      <c r="I28" s="32" t="e">
        <f t="shared" si="2"/>
        <v>#DIV/0!</v>
      </c>
      <c r="J28" s="33">
        <f t="shared" si="5"/>
        <v>0</v>
      </c>
      <c r="K28" s="33" t="e">
        <f t="shared" si="3"/>
        <v>#DIV/0!</v>
      </c>
      <c r="L28" s="17">
        <v>0</v>
      </c>
      <c r="M28" s="34" t="str">
        <f t="shared" si="6"/>
        <v>-</v>
      </c>
      <c r="N28" s="17">
        <v>0</v>
      </c>
      <c r="O28" s="35">
        <f t="shared" ref="O28:P28" si="36">D28/7</f>
        <v>0</v>
      </c>
      <c r="P28" s="35">
        <f t="shared" si="36"/>
        <v>0</v>
      </c>
      <c r="Q28" s="30" t="e">
        <f t="shared" si="8"/>
        <v>#DIV/0!</v>
      </c>
      <c r="R28" s="30"/>
      <c r="S28" s="22">
        <v>0</v>
      </c>
      <c r="T28" s="15" t="s">
        <v>34</v>
      </c>
      <c r="U28" s="23" t="s">
        <v>34</v>
      </c>
      <c r="V28" s="1" t="s">
        <v>34</v>
      </c>
      <c r="W28" s="15">
        <v>0</v>
      </c>
      <c r="X28" s="39">
        <f t="shared" si="9"/>
        <v>0</v>
      </c>
      <c r="Y28" s="40">
        <f t="shared" si="10"/>
        <v>0</v>
      </c>
      <c r="Z28" s="15">
        <v>0</v>
      </c>
      <c r="AA28" s="29" t="s">
        <v>35</v>
      </c>
      <c r="AB28" s="41">
        <f t="shared" si="11"/>
        <v>-0.69</v>
      </c>
      <c r="AC28" s="42">
        <v>0.20390287847222219</v>
      </c>
      <c r="AD28" s="40">
        <f t="shared" si="12"/>
        <v>0</v>
      </c>
      <c r="AE28" s="26">
        <v>-5.42</v>
      </c>
      <c r="AF28" s="26">
        <v>-6.4212299999999898</v>
      </c>
      <c r="AG28" s="26">
        <v>0</v>
      </c>
    </row>
    <row r="29" spans="1:33" ht="15.75" customHeight="1" x14ac:dyDescent="0.2">
      <c r="A29" s="15" t="s">
        <v>88</v>
      </c>
      <c r="B29" s="15"/>
      <c r="C29" s="16" t="str">
        <f t="shared" si="4"/>
        <v xml:space="preserve"> - </v>
      </c>
      <c r="D29" s="17">
        <v>0</v>
      </c>
      <c r="E29" s="17">
        <v>0</v>
      </c>
      <c r="F29" s="18">
        <v>0</v>
      </c>
      <c r="G29" s="18">
        <v>0</v>
      </c>
      <c r="H29" s="32" t="e">
        <f t="shared" si="1"/>
        <v>#DIV/0!</v>
      </c>
      <c r="I29" s="32" t="e">
        <f t="shared" si="2"/>
        <v>#DIV/0!</v>
      </c>
      <c r="J29" s="33">
        <f t="shared" si="5"/>
        <v>0</v>
      </c>
      <c r="K29" s="33" t="e">
        <f t="shared" si="3"/>
        <v>#DIV/0!</v>
      </c>
      <c r="L29" s="17">
        <v>0</v>
      </c>
      <c r="M29" s="34" t="str">
        <f t="shared" si="6"/>
        <v>-</v>
      </c>
      <c r="N29" s="17">
        <v>0</v>
      </c>
      <c r="O29" s="35">
        <f t="shared" ref="O29:P29" si="37">D29/7</f>
        <v>0</v>
      </c>
      <c r="P29" s="35">
        <f t="shared" si="37"/>
        <v>0</v>
      </c>
      <c r="Q29" s="30" t="e">
        <f t="shared" si="8"/>
        <v>#DIV/0!</v>
      </c>
      <c r="R29" s="30"/>
      <c r="S29" s="22">
        <v>0</v>
      </c>
      <c r="T29" s="15" t="s">
        <v>34</v>
      </c>
      <c r="U29" s="23" t="s">
        <v>34</v>
      </c>
      <c r="V29" s="1" t="s">
        <v>34</v>
      </c>
      <c r="W29" s="15">
        <v>0</v>
      </c>
      <c r="X29" s="39">
        <f t="shared" si="9"/>
        <v>0</v>
      </c>
      <c r="Y29" s="40">
        <f t="shared" si="10"/>
        <v>0</v>
      </c>
      <c r="Z29" s="15">
        <v>0</v>
      </c>
      <c r="AA29" s="29" t="s">
        <v>35</v>
      </c>
      <c r="AB29" s="41">
        <f t="shared" si="11"/>
        <v>-0.69</v>
      </c>
      <c r="AC29" s="42">
        <v>0.20390287847222219</v>
      </c>
      <c r="AD29" s="40">
        <f t="shared" si="12"/>
        <v>0</v>
      </c>
      <c r="AE29" s="26">
        <v>-5.42</v>
      </c>
      <c r="AF29" s="26">
        <v>-6.4212299999999898</v>
      </c>
      <c r="AG29" s="26">
        <v>0</v>
      </c>
    </row>
    <row r="30" spans="1:33" ht="15.75" customHeight="1" x14ac:dyDescent="0.2">
      <c r="A30" s="15" t="s">
        <v>90</v>
      </c>
      <c r="B30" s="15"/>
      <c r="C30" s="16" t="str">
        <f t="shared" si="4"/>
        <v xml:space="preserve"> - </v>
      </c>
      <c r="D30" s="17">
        <v>0</v>
      </c>
      <c r="E30" s="17">
        <v>0</v>
      </c>
      <c r="F30" s="18">
        <v>0</v>
      </c>
      <c r="G30" s="18">
        <v>0</v>
      </c>
      <c r="H30" s="32" t="e">
        <f t="shared" si="1"/>
        <v>#DIV/0!</v>
      </c>
      <c r="I30" s="32" t="e">
        <f t="shared" si="2"/>
        <v>#DIV/0!</v>
      </c>
      <c r="J30" s="33">
        <f t="shared" si="5"/>
        <v>0</v>
      </c>
      <c r="K30" s="33" t="e">
        <f t="shared" si="3"/>
        <v>#DIV/0!</v>
      </c>
      <c r="L30" s="17">
        <v>0</v>
      </c>
      <c r="M30" s="34" t="str">
        <f t="shared" si="6"/>
        <v>-</v>
      </c>
      <c r="N30" s="17">
        <v>0</v>
      </c>
      <c r="O30" s="35">
        <f t="shared" ref="O30:P30" si="38">D30/7</f>
        <v>0</v>
      </c>
      <c r="P30" s="35">
        <f t="shared" si="38"/>
        <v>0</v>
      </c>
      <c r="Q30" s="30" t="e">
        <f t="shared" si="8"/>
        <v>#DIV/0!</v>
      </c>
      <c r="R30" s="30"/>
      <c r="S30" s="22">
        <v>0</v>
      </c>
      <c r="T30" s="15" t="s">
        <v>34</v>
      </c>
      <c r="U30" s="23" t="s">
        <v>34</v>
      </c>
      <c r="V30" s="1" t="s">
        <v>34</v>
      </c>
      <c r="W30" s="15">
        <v>0</v>
      </c>
      <c r="X30" s="39">
        <f t="shared" si="9"/>
        <v>0</v>
      </c>
      <c r="Y30" s="40">
        <f t="shared" si="10"/>
        <v>0</v>
      </c>
      <c r="Z30" s="15">
        <v>0</v>
      </c>
      <c r="AA30" s="29" t="s">
        <v>35</v>
      </c>
      <c r="AB30" s="41">
        <f t="shared" si="11"/>
        <v>-0.69</v>
      </c>
      <c r="AC30" s="42">
        <v>0.20390287847222219</v>
      </c>
      <c r="AD30" s="40">
        <f t="shared" si="12"/>
        <v>0</v>
      </c>
      <c r="AE30" s="26">
        <v>-5.42</v>
      </c>
      <c r="AF30" s="26">
        <v>-6.2477931243749998</v>
      </c>
      <c r="AG30" s="26">
        <v>0</v>
      </c>
    </row>
    <row r="31" spans="1:33" ht="15.75" customHeight="1" x14ac:dyDescent="0.2">
      <c r="A31" s="29" t="s">
        <v>93</v>
      </c>
      <c r="C31" s="16" t="str">
        <f t="shared" si="4"/>
        <v xml:space="preserve"> - </v>
      </c>
      <c r="D31" s="17">
        <v>0</v>
      </c>
      <c r="E31" s="17">
        <v>0</v>
      </c>
      <c r="F31" s="18">
        <v>0</v>
      </c>
      <c r="G31" s="18">
        <v>0</v>
      </c>
      <c r="H31" s="32" t="e">
        <f t="shared" si="1"/>
        <v>#DIV/0!</v>
      </c>
      <c r="I31" s="32" t="e">
        <f t="shared" si="2"/>
        <v>#DIV/0!</v>
      </c>
      <c r="J31" s="33">
        <f t="shared" si="5"/>
        <v>0</v>
      </c>
      <c r="K31" s="33" t="e">
        <f t="shared" si="3"/>
        <v>#DIV/0!</v>
      </c>
      <c r="L31" s="17">
        <v>0</v>
      </c>
      <c r="M31" s="34" t="str">
        <f t="shared" si="6"/>
        <v>-</v>
      </c>
      <c r="N31" s="17">
        <v>0</v>
      </c>
      <c r="O31" s="35">
        <f t="shared" ref="O31:P31" si="39">D31/7</f>
        <v>0</v>
      </c>
      <c r="P31" s="35">
        <f t="shared" si="39"/>
        <v>0</v>
      </c>
      <c r="Q31" s="30" t="e">
        <f t="shared" si="8"/>
        <v>#DIV/0!</v>
      </c>
      <c r="R31" s="30"/>
      <c r="S31" s="22" t="e">
        <v>#N/A</v>
      </c>
      <c r="T31" s="15" t="s">
        <v>34</v>
      </c>
      <c r="U31" s="23" t="s">
        <v>34</v>
      </c>
      <c r="V31" s="1" t="s">
        <v>34</v>
      </c>
      <c r="W31" s="29">
        <v>0</v>
      </c>
      <c r="X31" s="39">
        <f t="shared" si="9"/>
        <v>0</v>
      </c>
      <c r="Y31" s="40">
        <f t="shared" si="10"/>
        <v>0</v>
      </c>
      <c r="Z31" s="29">
        <v>0</v>
      </c>
      <c r="AA31" s="29" t="s">
        <v>35</v>
      </c>
      <c r="AB31" s="41">
        <f t="shared" si="11"/>
        <v>-0.69</v>
      </c>
      <c r="AC31" s="28">
        <v>0.20390287847222219</v>
      </c>
      <c r="AD31" s="40">
        <f t="shared" si="12"/>
        <v>0</v>
      </c>
      <c r="AE31" s="26">
        <v>-5.42</v>
      </c>
      <c r="AF31" s="43">
        <v>-6.2477931243749998</v>
      </c>
      <c r="AG31" s="26">
        <v>0</v>
      </c>
    </row>
    <row r="32" spans="1:33" ht="15.75" customHeight="1" x14ac:dyDescent="0.2">
      <c r="A32" s="15" t="s">
        <v>96</v>
      </c>
      <c r="B32" s="15"/>
      <c r="C32" s="16" t="str">
        <f t="shared" si="4"/>
        <v xml:space="preserve"> - </v>
      </c>
      <c r="D32" s="17">
        <v>0</v>
      </c>
      <c r="E32" s="17">
        <v>0</v>
      </c>
      <c r="F32" s="18">
        <v>0</v>
      </c>
      <c r="G32" s="18">
        <v>0</v>
      </c>
      <c r="H32" s="32" t="e">
        <f t="shared" si="1"/>
        <v>#DIV/0!</v>
      </c>
      <c r="I32" s="32" t="e">
        <f t="shared" si="2"/>
        <v>#DIV/0!</v>
      </c>
      <c r="J32" s="33">
        <f t="shared" si="5"/>
        <v>0</v>
      </c>
      <c r="K32" s="33" t="e">
        <f t="shared" si="3"/>
        <v>#DIV/0!</v>
      </c>
      <c r="L32" s="17">
        <v>0</v>
      </c>
      <c r="M32" s="34" t="str">
        <f t="shared" si="6"/>
        <v>-</v>
      </c>
      <c r="N32" s="17">
        <v>0</v>
      </c>
      <c r="O32" s="35">
        <f t="shared" ref="O32:P32" si="40">D32/7</f>
        <v>0</v>
      </c>
      <c r="P32" s="35">
        <f t="shared" si="40"/>
        <v>0</v>
      </c>
      <c r="Q32" s="30" t="e">
        <f t="shared" si="8"/>
        <v>#DIV/0!</v>
      </c>
      <c r="R32" s="30" t="str">
        <f ca="1">IFERROR(VLOOKUP($B$2,IMPORTRANGE("https://docs.google.com/spreadsheets/d/1KiWZV1ko8G7lnRucBRBd29jj3Be6ltMfljMDqzOkQmI/edit#gid=1381463014","Lookup!A:F"),6,FALSE),"")</f>
        <v/>
      </c>
      <c r="S32" s="22">
        <v>0</v>
      </c>
      <c r="T32" s="15" t="str">
        <f ca="1">IFERROR(__xludf.DUMMYFUNCTION("IFERROR(VLOOKUP($B$2,IMPORTRANGE(""https://docs.google.com/spreadsheets/d/1KiWZV1ko8G7lnRucBRBd29jj3Be6ltMfljMDqzOkQmI/edit#gid=1381463014"",""Lookup!A:D""),4,FALSE),"""")"),"")</f>
        <v/>
      </c>
      <c r="U32" s="23" t="str">
        <f ca="1">IFERROR(__xludf.DUMMYFUNCTION("IFERROR(VLOOKUP($B$2,IMPORTRANGE(""https://docs.google.com/spreadsheets/d/1KiWZV1ko8G7lnRucBRBd29jj3Be6ltMfljMDqzOkQmI/edit#gid=1381463014"",""Lookup!A:D""),3,FALSE),"""")"),"")</f>
        <v/>
      </c>
      <c r="V32" s="1" t="str">
        <f ca="1">IFERROR(__xludf.DUMMYFUNCTION("IFERROR(VLOOKUP($B$2,IMPORTRANGE(""https://docs.google.com/spreadsheets/d/1KiWZV1ko8G7lnRucBRBd29jj3Be6ltMfljMDqzOkQmI/edit#gid=1381463014"",""Lookup!A:D""),2,FALSE),"""")"),"")</f>
        <v/>
      </c>
      <c r="W32" s="15">
        <v>0</v>
      </c>
      <c r="X32" s="39">
        <f t="shared" si="9"/>
        <v>0</v>
      </c>
      <c r="Y32" s="40">
        <f t="shared" si="10"/>
        <v>0</v>
      </c>
      <c r="Z32" s="15">
        <v>0</v>
      </c>
      <c r="AA32" s="15" t="s">
        <v>35</v>
      </c>
      <c r="AB32" s="41">
        <f t="shared" si="11"/>
        <v>-0.69</v>
      </c>
      <c r="AC32" s="28">
        <v>0.20390287847222219</v>
      </c>
      <c r="AD32" s="40">
        <f t="shared" si="12"/>
        <v>0</v>
      </c>
      <c r="AE32" s="26">
        <v>-5.42</v>
      </c>
      <c r="AF32" s="26">
        <v>-6.2477931243749998</v>
      </c>
      <c r="AG32" s="26">
        <v>0</v>
      </c>
    </row>
    <row r="33" spans="3:19" ht="15.75" customHeight="1" x14ac:dyDescent="0.2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22"/>
    </row>
    <row r="34" spans="3:19" ht="15.7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22"/>
    </row>
    <row r="35" spans="3:19" ht="15.7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22"/>
    </row>
    <row r="36" spans="3:19" ht="15.7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22"/>
    </row>
    <row r="37" spans="3:19" ht="15.7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22"/>
    </row>
    <row r="38" spans="3:19" ht="15.7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22"/>
    </row>
    <row r="39" spans="3:19" ht="15.7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22"/>
    </row>
    <row r="40" spans="3:19" ht="15.7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22"/>
    </row>
    <row r="41" spans="3:19" ht="15.7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2"/>
    </row>
    <row r="42" spans="3:19" ht="15.7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22"/>
    </row>
    <row r="43" spans="3:19" ht="15.7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22"/>
    </row>
    <row r="44" spans="3:19" ht="15.7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22"/>
    </row>
    <row r="45" spans="3:19" ht="15.7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22"/>
    </row>
    <row r="46" spans="3:19" ht="15.7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22"/>
    </row>
    <row r="47" spans="3:19" ht="15.7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22"/>
    </row>
    <row r="48" spans="3:19" ht="15.7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22"/>
    </row>
    <row r="49" spans="3:19" ht="15.7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22"/>
    </row>
    <row r="50" spans="3:19" ht="15.7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22"/>
    </row>
    <row r="51" spans="3:19" ht="15.7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22"/>
    </row>
    <row r="52" spans="3:19" ht="15.7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22"/>
    </row>
    <row r="53" spans="3:19" ht="15.7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2"/>
    </row>
    <row r="54" spans="3:19" ht="15.7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22"/>
    </row>
    <row r="55" spans="3:19" ht="15.7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22"/>
    </row>
    <row r="56" spans="3:19" ht="15.7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22"/>
    </row>
    <row r="57" spans="3:19" ht="15.7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2"/>
    </row>
    <row r="58" spans="3:19" ht="15.7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22"/>
    </row>
    <row r="59" spans="3:19" ht="15.7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22"/>
    </row>
    <row r="60" spans="3:19" ht="15.7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22"/>
    </row>
    <row r="61" spans="3:19" ht="15.7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22"/>
    </row>
    <row r="62" spans="3:19" ht="15.7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22"/>
    </row>
    <row r="63" spans="3:19" ht="15.7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22"/>
    </row>
    <row r="64" spans="3:19" ht="15.7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22"/>
    </row>
    <row r="65" spans="3:19" ht="15.7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22"/>
    </row>
    <row r="66" spans="3:19" ht="15.7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22"/>
    </row>
    <row r="67" spans="3:19" ht="15.7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22"/>
    </row>
    <row r="68" spans="3:19" ht="15.7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22"/>
    </row>
    <row r="69" spans="3:19" ht="15.7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22"/>
    </row>
    <row r="70" spans="3:19" ht="15.7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22"/>
    </row>
    <row r="71" spans="3:19" ht="15.7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22"/>
    </row>
    <row r="72" spans="3:19" ht="15.7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22"/>
    </row>
    <row r="73" spans="3:19" ht="15.7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22"/>
    </row>
    <row r="74" spans="3:19" ht="15.7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22"/>
    </row>
    <row r="75" spans="3:19" ht="15.7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22"/>
    </row>
    <row r="76" spans="3:19" ht="15.7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22"/>
    </row>
    <row r="77" spans="3:19" ht="15.7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22"/>
    </row>
    <row r="78" spans="3:19" ht="15.7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22"/>
    </row>
    <row r="79" spans="3:19" ht="15.7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22"/>
    </row>
    <row r="80" spans="3:19" ht="15.7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22"/>
    </row>
    <row r="81" spans="3:19" ht="15.7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22"/>
    </row>
    <row r="82" spans="3:19" ht="15.7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22"/>
    </row>
    <row r="83" spans="3:19" ht="15.7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22"/>
    </row>
    <row r="84" spans="3:19" ht="15.7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2"/>
    </row>
    <row r="85" spans="3:19" ht="15.7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2"/>
    </row>
    <row r="86" spans="3:19" ht="15.7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22"/>
    </row>
    <row r="87" spans="3:19" ht="15.7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22"/>
    </row>
    <row r="88" spans="3:19" ht="15.7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22"/>
    </row>
    <row r="89" spans="3:19" ht="15.7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2"/>
    </row>
    <row r="90" spans="3:19" ht="15.7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22"/>
    </row>
    <row r="91" spans="3:19" ht="15.7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22"/>
    </row>
    <row r="92" spans="3:19" ht="15.7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22"/>
    </row>
    <row r="93" spans="3:19" ht="15.7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2"/>
    </row>
    <row r="94" spans="3:19" ht="15.7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22"/>
    </row>
    <row r="95" spans="3:19" ht="15.7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22"/>
    </row>
    <row r="96" spans="3:19" ht="15.7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22"/>
    </row>
    <row r="97" spans="3:19" ht="15.7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22"/>
    </row>
    <row r="98" spans="3:19" ht="15.7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22"/>
    </row>
    <row r="99" spans="3:19" ht="15.7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22"/>
    </row>
    <row r="100" spans="3:19" ht="15.7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22"/>
    </row>
    <row r="101" spans="3:19" ht="15.7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2"/>
    </row>
    <row r="102" spans="3:19" ht="15.7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22"/>
    </row>
    <row r="103" spans="3:19" ht="15.7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22"/>
    </row>
    <row r="104" spans="3:19" ht="15.7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22"/>
    </row>
    <row r="105" spans="3:19" ht="15.7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22"/>
    </row>
    <row r="106" spans="3:19" ht="15.7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22"/>
    </row>
    <row r="107" spans="3:19" ht="15.7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22"/>
    </row>
    <row r="108" spans="3:19" ht="15.7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22"/>
    </row>
    <row r="109" spans="3:19" ht="15.7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2"/>
    </row>
    <row r="110" spans="3:19" ht="15.7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22"/>
    </row>
    <row r="111" spans="3:19" ht="15.7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22"/>
    </row>
    <row r="112" spans="3:19" ht="15.7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22"/>
    </row>
    <row r="113" spans="3:19" ht="15.7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22"/>
    </row>
    <row r="114" spans="3:19" ht="15.7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22"/>
    </row>
    <row r="115" spans="3:19" ht="15.7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22"/>
    </row>
    <row r="116" spans="3:19" ht="15.7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2"/>
    </row>
    <row r="117" spans="3:19" ht="15.7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2"/>
    </row>
    <row r="118" spans="3:19" ht="15.7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22"/>
    </row>
    <row r="119" spans="3:19" ht="15.75" customHeight="1" x14ac:dyDescent="0.2"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22"/>
    </row>
    <row r="120" spans="3:19" ht="15.7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22"/>
    </row>
    <row r="121" spans="3:19" ht="15.7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2"/>
    </row>
    <row r="122" spans="3:19" ht="15.7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22"/>
    </row>
    <row r="123" spans="3:19" ht="15.7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22"/>
    </row>
    <row r="124" spans="3:19" ht="15.7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22"/>
    </row>
    <row r="125" spans="3:19" ht="15.7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2"/>
    </row>
    <row r="126" spans="3:19" ht="15.7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22"/>
    </row>
    <row r="127" spans="3:19" ht="15.7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22"/>
    </row>
    <row r="128" spans="3:19" ht="15.7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22"/>
    </row>
    <row r="129" spans="3:19" ht="15.7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22"/>
    </row>
    <row r="130" spans="3:19" ht="15.7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22"/>
    </row>
    <row r="131" spans="3:19" ht="15.7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22"/>
    </row>
    <row r="132" spans="3:19" ht="15.7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22"/>
    </row>
    <row r="133" spans="3:19" ht="15.7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2"/>
    </row>
    <row r="134" spans="3:19" ht="15.7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22"/>
    </row>
    <row r="135" spans="3:19" ht="15.7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22"/>
    </row>
    <row r="136" spans="3:19" ht="15.7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22"/>
    </row>
    <row r="137" spans="3:19" ht="15.7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2"/>
    </row>
    <row r="138" spans="3:19" ht="15.7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22"/>
    </row>
    <row r="139" spans="3:19" ht="15.7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22"/>
    </row>
    <row r="140" spans="3:19" ht="15.7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22"/>
    </row>
    <row r="141" spans="3:19" ht="15.7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2"/>
    </row>
    <row r="142" spans="3:19" ht="15.7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22"/>
    </row>
    <row r="143" spans="3:19" ht="15.7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22"/>
    </row>
    <row r="144" spans="3:19" ht="15.7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22"/>
    </row>
    <row r="145" spans="3:19" ht="15.7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2"/>
    </row>
    <row r="146" spans="3:19" ht="15.7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22"/>
    </row>
    <row r="147" spans="3:19" ht="15.7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22"/>
    </row>
    <row r="148" spans="3:19" ht="15.7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2"/>
    </row>
    <row r="149" spans="3:19" ht="15.7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2"/>
    </row>
    <row r="150" spans="3:19" ht="15.7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22"/>
    </row>
    <row r="151" spans="3:19" ht="15.7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22"/>
    </row>
    <row r="152" spans="3:19" ht="15.7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2"/>
    </row>
    <row r="153" spans="3:19" ht="15.7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2"/>
    </row>
    <row r="154" spans="3:19" ht="15.7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22"/>
    </row>
    <row r="155" spans="3:19" ht="15.7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22"/>
    </row>
    <row r="156" spans="3:19" ht="15.7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2"/>
    </row>
    <row r="157" spans="3:19" ht="15.7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2"/>
    </row>
    <row r="158" spans="3:19" ht="15.7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22"/>
    </row>
    <row r="159" spans="3:19" ht="15.7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22"/>
    </row>
    <row r="160" spans="3:19" ht="15.7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2"/>
    </row>
    <row r="161" spans="3:19" ht="15.7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2"/>
    </row>
    <row r="162" spans="3:19" ht="15.7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22"/>
    </row>
    <row r="163" spans="3:19" ht="15.7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22"/>
    </row>
    <row r="164" spans="3:19" ht="15.7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2"/>
    </row>
    <row r="165" spans="3:19" ht="15.7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2"/>
    </row>
    <row r="166" spans="3:19" ht="15.7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22"/>
    </row>
    <row r="167" spans="3:19" ht="15.7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22"/>
    </row>
    <row r="168" spans="3:19" ht="15.7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22"/>
    </row>
    <row r="169" spans="3:19" ht="15.7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22"/>
    </row>
    <row r="170" spans="3:19" ht="15.7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22"/>
    </row>
    <row r="171" spans="3:19" ht="15.7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22"/>
    </row>
    <row r="172" spans="3:19" ht="15.7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22"/>
    </row>
    <row r="173" spans="3:19" ht="15.7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22"/>
    </row>
    <row r="174" spans="3:19" ht="15.7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22"/>
    </row>
    <row r="175" spans="3:19" ht="15.7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22"/>
    </row>
    <row r="176" spans="3:19" ht="15.7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22"/>
    </row>
    <row r="177" spans="3:19" ht="15.7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22"/>
    </row>
    <row r="178" spans="3:19" ht="15.7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22"/>
    </row>
    <row r="179" spans="3:19" ht="15.7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22"/>
    </row>
    <row r="180" spans="3:19" ht="15.7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22"/>
    </row>
    <row r="181" spans="3:19" ht="15.7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22"/>
    </row>
    <row r="182" spans="3:19" ht="15.7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22"/>
    </row>
    <row r="183" spans="3:19" ht="15.7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22"/>
    </row>
    <row r="184" spans="3:19" ht="15.7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22"/>
    </row>
    <row r="185" spans="3:19" ht="15.7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22"/>
    </row>
    <row r="186" spans="3:19" ht="15.7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22"/>
    </row>
    <row r="187" spans="3:19" ht="15.7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22"/>
    </row>
    <row r="188" spans="3:19" ht="15.7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22"/>
    </row>
    <row r="189" spans="3:19" ht="15.7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22"/>
    </row>
    <row r="190" spans="3:19" ht="15.7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22"/>
    </row>
    <row r="191" spans="3:19" ht="15.7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22"/>
    </row>
    <row r="192" spans="3:19" ht="15.7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22"/>
    </row>
    <row r="193" spans="3:19" ht="15.7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22"/>
    </row>
    <row r="194" spans="3:19" ht="15.7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22"/>
    </row>
    <row r="195" spans="3:19" ht="15.7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22"/>
    </row>
    <row r="196" spans="3:19" ht="15.7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22"/>
    </row>
    <row r="197" spans="3:19" ht="15.7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22"/>
    </row>
    <row r="198" spans="3:19" ht="15.7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22"/>
    </row>
    <row r="199" spans="3:19" ht="15.7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22"/>
    </row>
    <row r="200" spans="3:19" ht="15.7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22"/>
    </row>
    <row r="201" spans="3:19" ht="15.7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22"/>
    </row>
    <row r="202" spans="3:19" ht="15.7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22"/>
    </row>
    <row r="203" spans="3:19" ht="15.7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22"/>
    </row>
    <row r="204" spans="3:19" ht="15.7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22"/>
    </row>
    <row r="205" spans="3:19" ht="15.7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22"/>
    </row>
    <row r="206" spans="3:19" ht="15.7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22"/>
    </row>
    <row r="207" spans="3:19" ht="15.7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22"/>
    </row>
    <row r="208" spans="3:19" ht="15.7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22"/>
    </row>
    <row r="209" spans="3:19" ht="15.7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22"/>
    </row>
    <row r="210" spans="3:19" ht="15.7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22"/>
    </row>
    <row r="211" spans="3:19" ht="15.7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22"/>
    </row>
    <row r="212" spans="3:19" ht="15.7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22"/>
    </row>
    <row r="213" spans="3:19" ht="15.7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22"/>
    </row>
    <row r="214" spans="3:19" ht="15.7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22"/>
    </row>
    <row r="215" spans="3:19" ht="15.7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22"/>
    </row>
    <row r="216" spans="3:19" ht="15.7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22"/>
    </row>
    <row r="217" spans="3:19" ht="15.7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22"/>
    </row>
    <row r="218" spans="3:19" ht="15.7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22"/>
    </row>
    <row r="219" spans="3:19" ht="15.7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22"/>
    </row>
    <row r="220" spans="3:19" ht="15.7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22"/>
    </row>
    <row r="221" spans="3:19" ht="15.75" customHeight="1" x14ac:dyDescent="0.2">
      <c r="R221" s="15"/>
      <c r="S221" s="22"/>
    </row>
    <row r="222" spans="3:19" ht="15.75" customHeight="1" x14ac:dyDescent="0.2">
      <c r="R222" s="15"/>
      <c r="S222" s="22"/>
    </row>
    <row r="223" spans="3:19" ht="15.75" customHeight="1" x14ac:dyDescent="0.2">
      <c r="R223" s="15"/>
      <c r="S223" s="22"/>
    </row>
    <row r="224" spans="3:19" ht="15.75" customHeight="1" x14ac:dyDescent="0.2">
      <c r="R224" s="15"/>
      <c r="S224" s="22"/>
    </row>
    <row r="225" spans="18:18" ht="15.75" customHeight="1" x14ac:dyDescent="0.2">
      <c r="R225" s="15"/>
    </row>
    <row r="226" spans="18:18" ht="15.75" customHeight="1" x14ac:dyDescent="0.2">
      <c r="R226" s="15"/>
    </row>
    <row r="227" spans="18:18" ht="15.75" customHeight="1" x14ac:dyDescent="0.2">
      <c r="R227" s="15"/>
    </row>
    <row r="228" spans="18:18" ht="15.75" customHeight="1" x14ac:dyDescent="0.2">
      <c r="R228" s="15"/>
    </row>
    <row r="229" spans="18:18" ht="15.75" customHeight="1" x14ac:dyDescent="0.2">
      <c r="R229" s="15"/>
    </row>
    <row r="230" spans="18:18" ht="15.75" customHeight="1" x14ac:dyDescent="0.2">
      <c r="R230" s="15"/>
    </row>
    <row r="231" spans="18:18" ht="15.75" customHeight="1" x14ac:dyDescent="0.2">
      <c r="R231" s="15"/>
    </row>
    <row r="232" spans="18:18" ht="15.75" customHeight="1" x14ac:dyDescent="0.2">
      <c r="R232" s="15"/>
    </row>
    <row r="233" spans="18:18" ht="15.75" customHeight="1" x14ac:dyDescent="0.2">
      <c r="R233" s="15"/>
    </row>
    <row r="234" spans="18:18" ht="15.75" customHeight="1" x14ac:dyDescent="0.2">
      <c r="R234" s="15"/>
    </row>
    <row r="235" spans="18:18" ht="15.75" customHeight="1" x14ac:dyDescent="0.2">
      <c r="R235" s="15"/>
    </row>
    <row r="236" spans="18:18" ht="15.75" customHeight="1" x14ac:dyDescent="0.2">
      <c r="R236" s="15"/>
    </row>
    <row r="237" spans="18:18" ht="15.75" customHeight="1" x14ac:dyDescent="0.2">
      <c r="R237" s="15"/>
    </row>
    <row r="238" spans="18:18" ht="15.75" customHeight="1" x14ac:dyDescent="0.2">
      <c r="R238" s="15"/>
    </row>
    <row r="239" spans="18:18" ht="15.75" customHeight="1" x14ac:dyDescent="0.2">
      <c r="R239" s="15"/>
    </row>
    <row r="240" spans="18:18" ht="15.75" customHeight="1" x14ac:dyDescent="0.2">
      <c r="R240" s="15"/>
    </row>
    <row r="241" spans="18:18" ht="15.75" customHeight="1" x14ac:dyDescent="0.2">
      <c r="R241" s="15"/>
    </row>
    <row r="242" spans="18:18" ht="15.75" customHeight="1" x14ac:dyDescent="0.2">
      <c r="R242" s="15"/>
    </row>
    <row r="243" spans="18:18" ht="15.75" customHeight="1" x14ac:dyDescent="0.2">
      <c r="R243" s="15"/>
    </row>
    <row r="244" spans="18:18" ht="15.75" customHeight="1" x14ac:dyDescent="0.2">
      <c r="R244" s="15"/>
    </row>
    <row r="245" spans="18:18" ht="15.75" customHeight="1" x14ac:dyDescent="0.2">
      <c r="R245" s="15"/>
    </row>
    <row r="246" spans="18:18" ht="15.75" customHeight="1" x14ac:dyDescent="0.2">
      <c r="R246" s="15"/>
    </row>
    <row r="247" spans="18:18" ht="15.75" customHeight="1" x14ac:dyDescent="0.2">
      <c r="R247" s="15"/>
    </row>
    <row r="248" spans="18:18" ht="15.75" customHeight="1" x14ac:dyDescent="0.2">
      <c r="R248" s="15"/>
    </row>
    <row r="249" spans="18:18" ht="15.75" customHeight="1" x14ac:dyDescent="0.2">
      <c r="R249" s="15"/>
    </row>
    <row r="250" spans="18:18" ht="15.75" customHeight="1" x14ac:dyDescent="0.2">
      <c r="R250" s="15"/>
    </row>
    <row r="251" spans="18:18" ht="15.75" customHeight="1" x14ac:dyDescent="0.2">
      <c r="R251" s="15"/>
    </row>
    <row r="252" spans="18:18" ht="15.75" customHeight="1" x14ac:dyDescent="0.2">
      <c r="R252" s="15"/>
    </row>
    <row r="253" spans="18:18" ht="15.75" customHeight="1" x14ac:dyDescent="0.2">
      <c r="R253" s="15"/>
    </row>
    <row r="254" spans="18:18" ht="15.75" customHeight="1" x14ac:dyDescent="0.2">
      <c r="R254" s="15"/>
    </row>
    <row r="255" spans="18:18" ht="15.75" customHeight="1" x14ac:dyDescent="0.2">
      <c r="R255" s="15"/>
    </row>
    <row r="256" spans="18:18" ht="15.75" customHeight="1" x14ac:dyDescent="0.2">
      <c r="R256" s="15"/>
    </row>
    <row r="257" spans="18:18" ht="15.75" customHeight="1" x14ac:dyDescent="0.2">
      <c r="R257" s="15"/>
    </row>
    <row r="258" spans="18:18" ht="15.75" customHeight="1" x14ac:dyDescent="0.2">
      <c r="R258" s="15"/>
    </row>
    <row r="259" spans="18:18" ht="15.75" customHeight="1" x14ac:dyDescent="0.2">
      <c r="R259" s="15"/>
    </row>
    <row r="260" spans="18:18" ht="15.75" customHeight="1" x14ac:dyDescent="0.2">
      <c r="R260" s="15"/>
    </row>
    <row r="261" spans="18:18" ht="15.75" customHeight="1" x14ac:dyDescent="0.2">
      <c r="R261" s="15"/>
    </row>
    <row r="262" spans="18:18" ht="15.75" customHeight="1" x14ac:dyDescent="0.2">
      <c r="R262" s="15"/>
    </row>
    <row r="263" spans="18:18" ht="15.75" customHeight="1" x14ac:dyDescent="0.2">
      <c r="R263" s="15"/>
    </row>
    <row r="264" spans="18:18" ht="15.75" customHeight="1" x14ac:dyDescent="0.2">
      <c r="R264" s="15"/>
    </row>
    <row r="265" spans="18:18" ht="15.75" customHeight="1" x14ac:dyDescent="0.2">
      <c r="R265" s="15"/>
    </row>
    <row r="266" spans="18:18" ht="15.75" customHeight="1" x14ac:dyDescent="0.2">
      <c r="R266" s="15"/>
    </row>
    <row r="267" spans="18:18" ht="15.75" customHeight="1" x14ac:dyDescent="0.2">
      <c r="R267" s="15"/>
    </row>
    <row r="268" spans="18:18" ht="15.75" customHeight="1" x14ac:dyDescent="0.2">
      <c r="R268" s="15"/>
    </row>
    <row r="269" spans="18:18" ht="15.75" customHeight="1" x14ac:dyDescent="0.2">
      <c r="R269" s="15"/>
    </row>
    <row r="270" spans="18:18" ht="15.75" customHeight="1" x14ac:dyDescent="0.2">
      <c r="R270" s="15"/>
    </row>
    <row r="271" spans="18:18" ht="15.75" customHeight="1" x14ac:dyDescent="0.2">
      <c r="R271" s="15"/>
    </row>
    <row r="272" spans="18:18" ht="15.75" customHeight="1" x14ac:dyDescent="0.2">
      <c r="R272" s="15"/>
    </row>
    <row r="273" spans="18:18" ht="15.75" customHeight="1" x14ac:dyDescent="0.2">
      <c r="R273" s="15"/>
    </row>
    <row r="274" spans="18:18" ht="15.75" customHeight="1" x14ac:dyDescent="0.2">
      <c r="R274" s="15"/>
    </row>
    <row r="275" spans="18:18" ht="15.75" customHeight="1" x14ac:dyDescent="0.2">
      <c r="R275" s="15"/>
    </row>
    <row r="276" spans="18:18" ht="15.75" customHeight="1" x14ac:dyDescent="0.2">
      <c r="R276" s="15"/>
    </row>
    <row r="277" spans="18:18" ht="15.75" customHeight="1" x14ac:dyDescent="0.2">
      <c r="R277" s="15"/>
    </row>
    <row r="278" spans="18:18" ht="15.75" customHeight="1" x14ac:dyDescent="0.2">
      <c r="R278" s="15"/>
    </row>
    <row r="279" spans="18:18" ht="15.75" customHeight="1" x14ac:dyDescent="0.2">
      <c r="R279" s="15"/>
    </row>
    <row r="280" spans="18:18" ht="15.75" customHeight="1" x14ac:dyDescent="0.2">
      <c r="R280" s="15"/>
    </row>
    <row r="281" spans="18:18" ht="15.75" customHeight="1" x14ac:dyDescent="0.2">
      <c r="R281" s="15"/>
    </row>
    <row r="282" spans="18:18" ht="15.75" customHeight="1" x14ac:dyDescent="0.2">
      <c r="R282" s="15"/>
    </row>
    <row r="283" spans="18:18" ht="15.75" customHeight="1" x14ac:dyDescent="0.2">
      <c r="R283" s="15"/>
    </row>
    <row r="284" spans="18:18" ht="15.75" customHeight="1" x14ac:dyDescent="0.2">
      <c r="R284" s="15"/>
    </row>
    <row r="285" spans="18:18" ht="15.75" customHeight="1" x14ac:dyDescent="0.2">
      <c r="R285" s="15"/>
    </row>
    <row r="286" spans="18:18" ht="15.75" customHeight="1" x14ac:dyDescent="0.2">
      <c r="R286" s="15"/>
    </row>
    <row r="287" spans="18:18" ht="15.75" customHeight="1" x14ac:dyDescent="0.2">
      <c r="R287" s="15"/>
    </row>
    <row r="288" spans="18:18" ht="15.75" customHeight="1" x14ac:dyDescent="0.2">
      <c r="R288" s="15"/>
    </row>
    <row r="289" spans="18:18" ht="15.75" customHeight="1" x14ac:dyDescent="0.2">
      <c r="R289" s="15"/>
    </row>
    <row r="290" spans="18:18" ht="15.75" customHeight="1" x14ac:dyDescent="0.2">
      <c r="R290" s="15"/>
    </row>
    <row r="291" spans="18:18" ht="15.75" customHeight="1" x14ac:dyDescent="0.2">
      <c r="R291" s="15"/>
    </row>
    <row r="292" spans="18:18" ht="15.75" customHeight="1" x14ac:dyDescent="0.2">
      <c r="R292" s="15"/>
    </row>
    <row r="293" spans="18:18" ht="15.75" customHeight="1" x14ac:dyDescent="0.2">
      <c r="R293" s="15"/>
    </row>
    <row r="294" spans="18:18" ht="15.75" customHeight="1" x14ac:dyDescent="0.2">
      <c r="R294" s="15"/>
    </row>
    <row r="295" spans="18:18" ht="15.75" customHeight="1" x14ac:dyDescent="0.2">
      <c r="R295" s="15"/>
    </row>
    <row r="296" spans="18:18" ht="15.75" customHeight="1" x14ac:dyDescent="0.2">
      <c r="R296" s="15"/>
    </row>
    <row r="297" spans="18:18" ht="15.75" customHeight="1" x14ac:dyDescent="0.2">
      <c r="R297" s="15"/>
    </row>
    <row r="298" spans="18:18" ht="15.75" customHeight="1" x14ac:dyDescent="0.2">
      <c r="R298" s="15"/>
    </row>
    <row r="299" spans="18:18" ht="15.75" customHeight="1" x14ac:dyDescent="0.2">
      <c r="R299" s="15"/>
    </row>
    <row r="300" spans="18:18" ht="15.75" customHeight="1" x14ac:dyDescent="0.2">
      <c r="R300" s="15"/>
    </row>
    <row r="301" spans="18:18" ht="15.75" customHeight="1" x14ac:dyDescent="0.2">
      <c r="R301" s="15"/>
    </row>
    <row r="302" spans="18:18" ht="15.75" customHeight="1" x14ac:dyDescent="0.2">
      <c r="R302" s="15"/>
    </row>
    <row r="303" spans="18:18" ht="15.75" customHeight="1" x14ac:dyDescent="0.2">
      <c r="R303" s="15"/>
    </row>
    <row r="304" spans="18:18" ht="15.75" customHeight="1" x14ac:dyDescent="0.2">
      <c r="R304" s="15"/>
    </row>
    <row r="305" spans="18:18" ht="15.75" customHeight="1" x14ac:dyDescent="0.2">
      <c r="R305" s="15"/>
    </row>
    <row r="306" spans="18:18" ht="15.75" customHeight="1" x14ac:dyDescent="0.2">
      <c r="R306" s="15"/>
    </row>
    <row r="307" spans="18:18" ht="15.75" customHeight="1" x14ac:dyDescent="0.2">
      <c r="R307" s="15"/>
    </row>
    <row r="308" spans="18:18" ht="15.75" customHeight="1" x14ac:dyDescent="0.2">
      <c r="R308" s="15"/>
    </row>
    <row r="309" spans="18:18" ht="15.75" customHeight="1" x14ac:dyDescent="0.2">
      <c r="R309" s="15"/>
    </row>
    <row r="310" spans="18:18" ht="15.75" customHeight="1" x14ac:dyDescent="0.2">
      <c r="R310" s="15"/>
    </row>
    <row r="311" spans="18:18" ht="15.75" customHeight="1" x14ac:dyDescent="0.2">
      <c r="R311" s="15"/>
    </row>
    <row r="312" spans="18:18" ht="15.75" customHeight="1" x14ac:dyDescent="0.2">
      <c r="R312" s="15"/>
    </row>
    <row r="313" spans="18:18" ht="15.75" customHeight="1" x14ac:dyDescent="0.2">
      <c r="R313" s="15"/>
    </row>
    <row r="314" spans="18:18" ht="15.75" customHeight="1" x14ac:dyDescent="0.2">
      <c r="R314" s="15"/>
    </row>
    <row r="315" spans="18:18" ht="15.75" customHeight="1" x14ac:dyDescent="0.2">
      <c r="R315" s="15"/>
    </row>
    <row r="316" spans="18:18" ht="15.75" customHeight="1" x14ac:dyDescent="0.2">
      <c r="R316" s="15"/>
    </row>
    <row r="317" spans="18:18" ht="15.75" customHeight="1" x14ac:dyDescent="0.2">
      <c r="R317" s="15"/>
    </row>
    <row r="318" spans="18:18" ht="15.75" customHeight="1" x14ac:dyDescent="0.2">
      <c r="R318" s="15"/>
    </row>
    <row r="319" spans="18:18" ht="15.75" customHeight="1" x14ac:dyDescent="0.2">
      <c r="R319" s="15"/>
    </row>
    <row r="320" spans="18:18" ht="15.75" customHeight="1" x14ac:dyDescent="0.2">
      <c r="R320" s="15"/>
    </row>
    <row r="321" spans="18:18" ht="15.75" customHeight="1" x14ac:dyDescent="0.2">
      <c r="R321" s="15"/>
    </row>
    <row r="322" spans="18:18" ht="15.75" customHeight="1" x14ac:dyDescent="0.2">
      <c r="R322" s="15"/>
    </row>
    <row r="323" spans="18:18" ht="15.75" customHeight="1" x14ac:dyDescent="0.2">
      <c r="R323" s="15"/>
    </row>
    <row r="324" spans="18:18" ht="15.75" customHeight="1" x14ac:dyDescent="0.2">
      <c r="R324" s="15"/>
    </row>
    <row r="325" spans="18:18" ht="15.75" customHeight="1" x14ac:dyDescent="0.2">
      <c r="R325" s="15"/>
    </row>
    <row r="326" spans="18:18" ht="15.75" customHeight="1" x14ac:dyDescent="0.2">
      <c r="R326" s="15"/>
    </row>
    <row r="327" spans="18:18" ht="15.75" customHeight="1" x14ac:dyDescent="0.2">
      <c r="R327" s="15"/>
    </row>
    <row r="328" spans="18:18" ht="15.75" customHeight="1" x14ac:dyDescent="0.2">
      <c r="R328" s="15"/>
    </row>
    <row r="329" spans="18:18" ht="15.75" customHeight="1" x14ac:dyDescent="0.2">
      <c r="R329" s="15"/>
    </row>
    <row r="330" spans="18:18" ht="15.75" customHeight="1" x14ac:dyDescent="0.2">
      <c r="R330" s="15"/>
    </row>
    <row r="331" spans="18:18" ht="15.75" customHeight="1" x14ac:dyDescent="0.2">
      <c r="R331" s="15"/>
    </row>
    <row r="332" spans="18:18" ht="15.75" customHeight="1" x14ac:dyDescent="0.2">
      <c r="R332" s="15"/>
    </row>
    <row r="333" spans="18:18" ht="15.75" customHeight="1" x14ac:dyDescent="0.2">
      <c r="R333" s="15"/>
    </row>
    <row r="334" spans="18:18" ht="15.75" customHeight="1" x14ac:dyDescent="0.2">
      <c r="R334" s="15"/>
    </row>
    <row r="335" spans="18:18" ht="15.75" customHeight="1" x14ac:dyDescent="0.2">
      <c r="R335" s="15"/>
    </row>
    <row r="336" spans="18:18" ht="15.75" customHeight="1" x14ac:dyDescent="0.2">
      <c r="R336" s="15"/>
    </row>
    <row r="337" spans="18:18" ht="15.75" customHeight="1" x14ac:dyDescent="0.2">
      <c r="R337" s="15"/>
    </row>
    <row r="338" spans="18:18" ht="15.75" customHeight="1" x14ac:dyDescent="0.2">
      <c r="R338" s="15"/>
    </row>
    <row r="339" spans="18:18" ht="15.75" customHeight="1" x14ac:dyDescent="0.2">
      <c r="R339" s="15"/>
    </row>
    <row r="340" spans="18:18" ht="15.75" customHeight="1" x14ac:dyDescent="0.2">
      <c r="R340" s="15"/>
    </row>
    <row r="341" spans="18:18" ht="15.75" customHeight="1" x14ac:dyDescent="0.2">
      <c r="R341" s="15"/>
    </row>
    <row r="342" spans="18:18" ht="15.75" customHeight="1" x14ac:dyDescent="0.2">
      <c r="R342" s="15"/>
    </row>
    <row r="343" spans="18:18" ht="15.75" customHeight="1" x14ac:dyDescent="0.2">
      <c r="R343" s="15"/>
    </row>
    <row r="344" spans="18:18" ht="15.75" customHeight="1" x14ac:dyDescent="0.2">
      <c r="R344" s="15"/>
    </row>
    <row r="345" spans="18:18" ht="15.75" customHeight="1" x14ac:dyDescent="0.2">
      <c r="R345" s="15"/>
    </row>
    <row r="346" spans="18:18" ht="15.75" customHeight="1" x14ac:dyDescent="0.2">
      <c r="R346" s="15"/>
    </row>
    <row r="347" spans="18:18" ht="15.75" customHeight="1" x14ac:dyDescent="0.2">
      <c r="R347" s="15"/>
    </row>
    <row r="348" spans="18:18" ht="15.75" customHeight="1" x14ac:dyDescent="0.2">
      <c r="R348" s="15"/>
    </row>
    <row r="349" spans="18:18" ht="15.75" customHeight="1" x14ac:dyDescent="0.2">
      <c r="R349" s="15"/>
    </row>
    <row r="350" spans="18:18" ht="15.75" customHeight="1" x14ac:dyDescent="0.2">
      <c r="R350" s="15"/>
    </row>
    <row r="351" spans="18:18" ht="15.75" customHeight="1" x14ac:dyDescent="0.2">
      <c r="R351" s="15"/>
    </row>
    <row r="352" spans="18:18" ht="15.75" customHeight="1" x14ac:dyDescent="0.2">
      <c r="R352" s="15"/>
    </row>
    <row r="353" spans="18:18" ht="15.75" customHeight="1" x14ac:dyDescent="0.2">
      <c r="R353" s="15"/>
    </row>
    <row r="354" spans="18:18" ht="15.75" customHeight="1" x14ac:dyDescent="0.2">
      <c r="R354" s="15"/>
    </row>
    <row r="355" spans="18:18" ht="15.75" customHeight="1" x14ac:dyDescent="0.2">
      <c r="R355" s="15"/>
    </row>
    <row r="356" spans="18:18" ht="15.75" customHeight="1" x14ac:dyDescent="0.2">
      <c r="R356" s="15"/>
    </row>
    <row r="357" spans="18:18" ht="15.75" customHeight="1" x14ac:dyDescent="0.2">
      <c r="R357" s="15"/>
    </row>
    <row r="358" spans="18:18" ht="15.75" customHeight="1" x14ac:dyDescent="0.2">
      <c r="R358" s="15"/>
    </row>
    <row r="359" spans="18:18" ht="15.75" customHeight="1" x14ac:dyDescent="0.2">
      <c r="R359" s="15"/>
    </row>
    <row r="360" spans="18:18" ht="15.75" customHeight="1" x14ac:dyDescent="0.2">
      <c r="R360" s="15"/>
    </row>
    <row r="361" spans="18:18" ht="15.75" customHeight="1" x14ac:dyDescent="0.2">
      <c r="R361" s="15"/>
    </row>
    <row r="362" spans="18:18" ht="15.75" customHeight="1" x14ac:dyDescent="0.2">
      <c r="R362" s="15"/>
    </row>
    <row r="363" spans="18:18" ht="15.75" customHeight="1" x14ac:dyDescent="0.2">
      <c r="R363" s="15"/>
    </row>
    <row r="364" spans="18:18" ht="15.75" customHeight="1" x14ac:dyDescent="0.2">
      <c r="R364" s="15"/>
    </row>
    <row r="365" spans="18:18" ht="15.75" customHeight="1" x14ac:dyDescent="0.2">
      <c r="R365" s="15"/>
    </row>
    <row r="366" spans="18:18" ht="15.75" customHeight="1" x14ac:dyDescent="0.2">
      <c r="R366" s="15"/>
    </row>
    <row r="367" spans="18:18" ht="15.75" customHeight="1" x14ac:dyDescent="0.2">
      <c r="R367" s="15"/>
    </row>
    <row r="368" spans="18:18" ht="15.75" customHeight="1" x14ac:dyDescent="0.2">
      <c r="R368" s="15"/>
    </row>
    <row r="369" spans="18:18" ht="15.75" customHeight="1" x14ac:dyDescent="0.2">
      <c r="R369" s="15"/>
    </row>
    <row r="370" spans="18:18" ht="15.75" customHeight="1" x14ac:dyDescent="0.2">
      <c r="R370" s="15"/>
    </row>
    <row r="371" spans="18:18" ht="15.75" customHeight="1" x14ac:dyDescent="0.2">
      <c r="R371" s="15"/>
    </row>
    <row r="372" spans="18:18" ht="15.75" customHeight="1" x14ac:dyDescent="0.2">
      <c r="R372" s="15"/>
    </row>
    <row r="373" spans="18:18" ht="15.75" customHeight="1" x14ac:dyDescent="0.2">
      <c r="R373" s="15"/>
    </row>
    <row r="374" spans="18:18" ht="15.75" customHeight="1" x14ac:dyDescent="0.2">
      <c r="R374" s="15"/>
    </row>
    <row r="375" spans="18:18" ht="15.75" customHeight="1" x14ac:dyDescent="0.2">
      <c r="R375" s="15"/>
    </row>
    <row r="376" spans="18:18" ht="15.75" customHeight="1" x14ac:dyDescent="0.2">
      <c r="R376" s="15"/>
    </row>
    <row r="377" spans="18:18" ht="15.75" customHeight="1" x14ac:dyDescent="0.2">
      <c r="R377" s="15"/>
    </row>
    <row r="378" spans="18:18" ht="15.75" customHeight="1" x14ac:dyDescent="0.2">
      <c r="R378" s="15"/>
    </row>
    <row r="379" spans="18:18" ht="15.75" customHeight="1" x14ac:dyDescent="0.2">
      <c r="R379" s="15"/>
    </row>
    <row r="380" spans="18:18" ht="15.75" customHeight="1" x14ac:dyDescent="0.2">
      <c r="R380" s="15"/>
    </row>
    <row r="381" spans="18:18" ht="15.75" customHeight="1" x14ac:dyDescent="0.2">
      <c r="R381" s="15"/>
    </row>
    <row r="382" spans="18:18" ht="15.75" customHeight="1" x14ac:dyDescent="0.2">
      <c r="R382" s="15"/>
    </row>
    <row r="383" spans="18:18" ht="15.75" customHeight="1" x14ac:dyDescent="0.2">
      <c r="R383" s="15"/>
    </row>
    <row r="384" spans="18:18" ht="15.75" customHeight="1" x14ac:dyDescent="0.2">
      <c r="R384" s="15"/>
    </row>
    <row r="385" spans="18:18" ht="15.75" customHeight="1" x14ac:dyDescent="0.2">
      <c r="R385" s="15"/>
    </row>
    <row r="386" spans="18:18" ht="15.75" customHeight="1" x14ac:dyDescent="0.2">
      <c r="R386" s="15"/>
    </row>
    <row r="387" spans="18:18" ht="15.75" customHeight="1" x14ac:dyDescent="0.2">
      <c r="R387" s="15"/>
    </row>
    <row r="388" spans="18:18" ht="15.75" customHeight="1" x14ac:dyDescent="0.2">
      <c r="R388" s="15"/>
    </row>
    <row r="389" spans="18:18" ht="15.75" customHeight="1" x14ac:dyDescent="0.2">
      <c r="R389" s="15"/>
    </row>
    <row r="390" spans="18:18" ht="15.75" customHeight="1" x14ac:dyDescent="0.2">
      <c r="R390" s="15"/>
    </row>
    <row r="391" spans="18:18" ht="15.75" customHeight="1" x14ac:dyDescent="0.2">
      <c r="R391" s="15"/>
    </row>
    <row r="392" spans="18:18" ht="15.75" customHeight="1" x14ac:dyDescent="0.2">
      <c r="R392" s="15"/>
    </row>
    <row r="393" spans="18:18" ht="15.75" customHeight="1" x14ac:dyDescent="0.2">
      <c r="R393" s="15"/>
    </row>
    <row r="394" spans="18:18" ht="15.75" customHeight="1" x14ac:dyDescent="0.2">
      <c r="R394" s="15"/>
    </row>
    <row r="395" spans="18:18" ht="15.75" customHeight="1" x14ac:dyDescent="0.2">
      <c r="R395" s="15"/>
    </row>
    <row r="396" spans="18:18" ht="15.75" customHeight="1" x14ac:dyDescent="0.2">
      <c r="R396" s="15"/>
    </row>
    <row r="397" spans="18:18" ht="15.75" customHeight="1" x14ac:dyDescent="0.2">
      <c r="R397" s="15"/>
    </row>
    <row r="398" spans="18:18" ht="15.75" customHeight="1" x14ac:dyDescent="0.2">
      <c r="R398" s="15"/>
    </row>
    <row r="399" spans="18:18" ht="15.75" customHeight="1" x14ac:dyDescent="0.2">
      <c r="R399" s="15"/>
    </row>
    <row r="400" spans="18:18" ht="15.75" customHeight="1" x14ac:dyDescent="0.2">
      <c r="R400" s="15"/>
    </row>
    <row r="401" spans="18:18" ht="15.75" customHeight="1" x14ac:dyDescent="0.2">
      <c r="R401" s="15"/>
    </row>
    <row r="402" spans="18:18" ht="15.75" customHeight="1" x14ac:dyDescent="0.2">
      <c r="R402" s="15"/>
    </row>
    <row r="403" spans="18:18" ht="15.75" customHeight="1" x14ac:dyDescent="0.2">
      <c r="R403" s="15"/>
    </row>
    <row r="404" spans="18:18" ht="15.75" customHeight="1" x14ac:dyDescent="0.2">
      <c r="R404" s="15"/>
    </row>
    <row r="405" spans="18:18" ht="15.75" customHeight="1" x14ac:dyDescent="0.2">
      <c r="R405" s="15"/>
    </row>
    <row r="406" spans="18:18" ht="15.75" customHeight="1" x14ac:dyDescent="0.2">
      <c r="R406" s="15"/>
    </row>
    <row r="407" spans="18:18" ht="15.75" customHeight="1" x14ac:dyDescent="0.2">
      <c r="R407" s="15"/>
    </row>
    <row r="408" spans="18:18" ht="15.75" customHeight="1" x14ac:dyDescent="0.2">
      <c r="R408" s="15"/>
    </row>
    <row r="409" spans="18:18" ht="15.75" customHeight="1" x14ac:dyDescent="0.2">
      <c r="R409" s="15"/>
    </row>
    <row r="410" spans="18:18" ht="15.75" customHeight="1" x14ac:dyDescent="0.2">
      <c r="R410" s="15"/>
    </row>
    <row r="411" spans="18:18" ht="15.75" customHeight="1" x14ac:dyDescent="0.2">
      <c r="R411" s="15"/>
    </row>
    <row r="412" spans="18:18" ht="15.75" customHeight="1" x14ac:dyDescent="0.2">
      <c r="R412" s="15"/>
    </row>
    <row r="413" spans="18:18" ht="15.75" customHeight="1" x14ac:dyDescent="0.2">
      <c r="R413" s="15"/>
    </row>
    <row r="414" spans="18:18" ht="15.75" customHeight="1" x14ac:dyDescent="0.2">
      <c r="R414" s="15"/>
    </row>
    <row r="415" spans="18:18" ht="15.75" customHeight="1" x14ac:dyDescent="0.2">
      <c r="R415" s="15"/>
    </row>
    <row r="416" spans="18:18" ht="15.75" customHeight="1" x14ac:dyDescent="0.2">
      <c r="R416" s="15"/>
    </row>
    <row r="417" spans="18:18" ht="15.75" customHeight="1" x14ac:dyDescent="0.2">
      <c r="R417" s="15"/>
    </row>
    <row r="418" spans="18:18" ht="15.75" customHeight="1" x14ac:dyDescent="0.2">
      <c r="R418" s="15"/>
    </row>
    <row r="419" spans="18:18" ht="15.75" customHeight="1" x14ac:dyDescent="0.2">
      <c r="R419" s="15"/>
    </row>
    <row r="420" spans="18:18" ht="15.75" customHeight="1" x14ac:dyDescent="0.2">
      <c r="R420" s="15"/>
    </row>
    <row r="421" spans="18:18" ht="15.75" customHeight="1" x14ac:dyDescent="0.2">
      <c r="R421" s="15"/>
    </row>
    <row r="422" spans="18:18" ht="15.75" customHeight="1" x14ac:dyDescent="0.2">
      <c r="R422" s="15"/>
    </row>
    <row r="423" spans="18:18" ht="15.75" customHeight="1" x14ac:dyDescent="0.2">
      <c r="R423" s="15"/>
    </row>
    <row r="424" spans="18:18" ht="15.75" customHeight="1" x14ac:dyDescent="0.2">
      <c r="R424" s="15"/>
    </row>
    <row r="425" spans="18:18" ht="15.75" customHeight="1" x14ac:dyDescent="0.2">
      <c r="R425" s="15"/>
    </row>
    <row r="426" spans="18:18" ht="15.75" customHeight="1" x14ac:dyDescent="0.2">
      <c r="R426" s="15"/>
    </row>
    <row r="427" spans="18:18" ht="15.75" customHeight="1" x14ac:dyDescent="0.2">
      <c r="R427" s="15"/>
    </row>
    <row r="428" spans="18:18" ht="15.75" customHeight="1" x14ac:dyDescent="0.2">
      <c r="R428" s="15"/>
    </row>
    <row r="429" spans="18:18" ht="15.75" customHeight="1" x14ac:dyDescent="0.2">
      <c r="R429" s="15"/>
    </row>
    <row r="430" spans="18:18" ht="15.75" customHeight="1" x14ac:dyDescent="0.2">
      <c r="R430" s="15"/>
    </row>
    <row r="431" spans="18:18" ht="15.75" customHeight="1" x14ac:dyDescent="0.2">
      <c r="R431" s="15"/>
    </row>
    <row r="432" spans="18:18" ht="15.75" customHeight="1" x14ac:dyDescent="0.2">
      <c r="R432" s="15"/>
    </row>
    <row r="433" spans="18:18" ht="15.75" customHeight="1" x14ac:dyDescent="0.2">
      <c r="R433" s="15"/>
    </row>
    <row r="434" spans="18:18" ht="15.75" customHeight="1" x14ac:dyDescent="0.2">
      <c r="R434" s="15"/>
    </row>
    <row r="435" spans="18:18" ht="15.75" customHeight="1" x14ac:dyDescent="0.2">
      <c r="R435" s="15"/>
    </row>
    <row r="436" spans="18:18" ht="15.75" customHeight="1" x14ac:dyDescent="0.2">
      <c r="R436" s="15"/>
    </row>
    <row r="437" spans="18:18" ht="15.75" customHeight="1" x14ac:dyDescent="0.2">
      <c r="R437" s="15"/>
    </row>
    <row r="438" spans="18:18" ht="15.75" customHeight="1" x14ac:dyDescent="0.2">
      <c r="R438" s="15"/>
    </row>
    <row r="439" spans="18:18" ht="15.75" customHeight="1" x14ac:dyDescent="0.2">
      <c r="R439" s="15"/>
    </row>
    <row r="440" spans="18:18" ht="15.75" customHeight="1" x14ac:dyDescent="0.2">
      <c r="R440" s="15"/>
    </row>
    <row r="441" spans="18:18" ht="15.75" customHeight="1" x14ac:dyDescent="0.2">
      <c r="R441" s="15"/>
    </row>
    <row r="442" spans="18:18" ht="15.75" customHeight="1" x14ac:dyDescent="0.2">
      <c r="R442" s="15"/>
    </row>
    <row r="443" spans="18:18" ht="15.75" customHeight="1" x14ac:dyDescent="0.2">
      <c r="R443" s="15"/>
    </row>
    <row r="444" spans="18:18" ht="15.75" customHeight="1" x14ac:dyDescent="0.2">
      <c r="R444" s="15"/>
    </row>
    <row r="445" spans="18:18" ht="15.75" customHeight="1" x14ac:dyDescent="0.2">
      <c r="R445" s="15"/>
    </row>
    <row r="446" spans="18:18" ht="15.75" customHeight="1" x14ac:dyDescent="0.2">
      <c r="R446" s="15"/>
    </row>
    <row r="447" spans="18:18" ht="15.75" customHeight="1" x14ac:dyDescent="0.2">
      <c r="R447" s="15"/>
    </row>
    <row r="448" spans="18:18" ht="15.75" customHeight="1" x14ac:dyDescent="0.2">
      <c r="R448" s="15"/>
    </row>
    <row r="449" spans="18:18" ht="15.75" customHeight="1" x14ac:dyDescent="0.2">
      <c r="R449" s="15"/>
    </row>
    <row r="450" spans="18:18" ht="15.75" customHeight="1" x14ac:dyDescent="0.2">
      <c r="R450" s="15"/>
    </row>
    <row r="451" spans="18:18" ht="15.75" customHeight="1" x14ac:dyDescent="0.2">
      <c r="R451" s="15"/>
    </row>
    <row r="452" spans="18:18" ht="15.75" customHeight="1" x14ac:dyDescent="0.2">
      <c r="R452" s="15"/>
    </row>
    <row r="453" spans="18:18" ht="15.75" customHeight="1" x14ac:dyDescent="0.2">
      <c r="R453" s="15"/>
    </row>
    <row r="454" spans="18:18" ht="15.75" customHeight="1" x14ac:dyDescent="0.2">
      <c r="R454" s="15"/>
    </row>
    <row r="455" spans="18:18" ht="15.75" customHeight="1" x14ac:dyDescent="0.2">
      <c r="R455" s="15"/>
    </row>
    <row r="456" spans="18:18" ht="15.75" customHeight="1" x14ac:dyDescent="0.2">
      <c r="R456" s="15"/>
    </row>
    <row r="457" spans="18:18" ht="15.75" customHeight="1" x14ac:dyDescent="0.2">
      <c r="R457" s="15"/>
    </row>
    <row r="458" spans="18:18" ht="15.75" customHeight="1" x14ac:dyDescent="0.2">
      <c r="R458" s="15"/>
    </row>
    <row r="459" spans="18:18" ht="15.75" customHeight="1" x14ac:dyDescent="0.2">
      <c r="R459" s="15"/>
    </row>
    <row r="460" spans="18:18" ht="15.75" customHeight="1" x14ac:dyDescent="0.2">
      <c r="R460" s="15"/>
    </row>
    <row r="461" spans="18:18" ht="15.75" customHeight="1" x14ac:dyDescent="0.2">
      <c r="R461" s="15"/>
    </row>
    <row r="462" spans="18:18" ht="15.75" customHeight="1" x14ac:dyDescent="0.2">
      <c r="R462" s="15"/>
    </row>
    <row r="463" spans="18:18" ht="15.75" customHeight="1" x14ac:dyDescent="0.2">
      <c r="R463" s="15"/>
    </row>
    <row r="464" spans="18:18" ht="15.75" customHeight="1" x14ac:dyDescent="0.2">
      <c r="R464" s="15"/>
    </row>
    <row r="465" spans="18:18" ht="15.75" customHeight="1" x14ac:dyDescent="0.2">
      <c r="R465" s="15"/>
    </row>
    <row r="466" spans="18:18" ht="15.75" customHeight="1" x14ac:dyDescent="0.2">
      <c r="R466" s="15"/>
    </row>
    <row r="467" spans="18:18" ht="15.75" customHeight="1" x14ac:dyDescent="0.2">
      <c r="R467" s="15"/>
    </row>
    <row r="468" spans="18:18" ht="15.75" customHeight="1" x14ac:dyDescent="0.2">
      <c r="R468" s="15"/>
    </row>
    <row r="469" spans="18:18" ht="15.75" customHeight="1" x14ac:dyDescent="0.2">
      <c r="R469" s="15"/>
    </row>
    <row r="470" spans="18:18" ht="15.75" customHeight="1" x14ac:dyDescent="0.2">
      <c r="R470" s="15"/>
    </row>
    <row r="471" spans="18:18" ht="15.75" customHeight="1" x14ac:dyDescent="0.2">
      <c r="R471" s="15"/>
    </row>
    <row r="472" spans="18:18" ht="15.75" customHeight="1" x14ac:dyDescent="0.2">
      <c r="R472" s="15"/>
    </row>
    <row r="473" spans="18:18" ht="15.75" customHeight="1" x14ac:dyDescent="0.2">
      <c r="R473" s="15"/>
    </row>
    <row r="474" spans="18:18" ht="15.75" customHeight="1" x14ac:dyDescent="0.2">
      <c r="R474" s="15"/>
    </row>
    <row r="475" spans="18:18" ht="15.75" customHeight="1" x14ac:dyDescent="0.2">
      <c r="R475" s="15"/>
    </row>
    <row r="476" spans="18:18" ht="15.75" customHeight="1" x14ac:dyDescent="0.2">
      <c r="R476" s="15"/>
    </row>
    <row r="477" spans="18:18" ht="15.75" customHeight="1" x14ac:dyDescent="0.2">
      <c r="R477" s="15"/>
    </row>
    <row r="478" spans="18:18" ht="15.75" customHeight="1" x14ac:dyDescent="0.2">
      <c r="R478" s="15"/>
    </row>
    <row r="479" spans="18:18" ht="15.75" customHeight="1" x14ac:dyDescent="0.2">
      <c r="R479" s="15"/>
    </row>
    <row r="480" spans="18:18" ht="15.75" customHeight="1" x14ac:dyDescent="0.2">
      <c r="R480" s="15"/>
    </row>
    <row r="481" spans="18:18" ht="15.75" customHeight="1" x14ac:dyDescent="0.2">
      <c r="R481" s="15"/>
    </row>
    <row r="482" spans="18:18" ht="15.75" customHeight="1" x14ac:dyDescent="0.2">
      <c r="R482" s="15"/>
    </row>
    <row r="483" spans="18:18" ht="15.75" customHeight="1" x14ac:dyDescent="0.2">
      <c r="R483" s="15"/>
    </row>
    <row r="484" spans="18:18" ht="15.75" customHeight="1" x14ac:dyDescent="0.2">
      <c r="R484" s="15"/>
    </row>
    <row r="485" spans="18:18" ht="15.75" customHeight="1" x14ac:dyDescent="0.2">
      <c r="R485" s="15"/>
    </row>
    <row r="486" spans="18:18" ht="15.75" customHeight="1" x14ac:dyDescent="0.2">
      <c r="R486" s="15"/>
    </row>
    <row r="487" spans="18:18" ht="15.75" customHeight="1" x14ac:dyDescent="0.2">
      <c r="R487" s="15"/>
    </row>
    <row r="488" spans="18:18" ht="15.75" customHeight="1" x14ac:dyDescent="0.2">
      <c r="R488" s="15"/>
    </row>
    <row r="489" spans="18:18" ht="15.75" customHeight="1" x14ac:dyDescent="0.2">
      <c r="R489" s="15"/>
    </row>
    <row r="490" spans="18:18" ht="15.75" customHeight="1" x14ac:dyDescent="0.2">
      <c r="R490" s="15"/>
    </row>
    <row r="491" spans="18:18" ht="15.75" customHeight="1" x14ac:dyDescent="0.2">
      <c r="R491" s="15"/>
    </row>
    <row r="492" spans="18:18" ht="15.75" customHeight="1" x14ac:dyDescent="0.2">
      <c r="R492" s="15"/>
    </row>
    <row r="493" spans="18:18" ht="15.75" customHeight="1" x14ac:dyDescent="0.2">
      <c r="R493" s="15"/>
    </row>
    <row r="494" spans="18:18" ht="15.75" customHeight="1" x14ac:dyDescent="0.2">
      <c r="R494" s="15"/>
    </row>
    <row r="495" spans="18:18" ht="15.75" customHeight="1" x14ac:dyDescent="0.2">
      <c r="R495" s="15"/>
    </row>
    <row r="496" spans="18:18" ht="15.75" customHeight="1" x14ac:dyDescent="0.2">
      <c r="R496" s="15"/>
    </row>
    <row r="497" spans="18:18" ht="15.75" customHeight="1" x14ac:dyDescent="0.2">
      <c r="R497" s="15"/>
    </row>
    <row r="498" spans="18:18" ht="15.75" customHeight="1" x14ac:dyDescent="0.2">
      <c r="R498" s="15"/>
    </row>
    <row r="499" spans="18:18" ht="15.75" customHeight="1" x14ac:dyDescent="0.2">
      <c r="R499" s="15"/>
    </row>
    <row r="500" spans="18:18" ht="15.75" customHeight="1" x14ac:dyDescent="0.2">
      <c r="R500" s="15"/>
    </row>
    <row r="501" spans="18:18" ht="15.75" customHeight="1" x14ac:dyDescent="0.2">
      <c r="R501" s="15"/>
    </row>
    <row r="502" spans="18:18" ht="15.75" customHeight="1" x14ac:dyDescent="0.2">
      <c r="R502" s="15"/>
    </row>
    <row r="503" spans="18:18" ht="15.75" customHeight="1" x14ac:dyDescent="0.2">
      <c r="R503" s="15"/>
    </row>
    <row r="504" spans="18:18" ht="15.75" customHeight="1" x14ac:dyDescent="0.2">
      <c r="R504" s="15"/>
    </row>
    <row r="505" spans="18:18" ht="15.75" customHeight="1" x14ac:dyDescent="0.2">
      <c r="R505" s="15"/>
    </row>
    <row r="506" spans="18:18" ht="15.75" customHeight="1" x14ac:dyDescent="0.2">
      <c r="R506" s="15"/>
    </row>
    <row r="507" spans="18:18" ht="15.75" customHeight="1" x14ac:dyDescent="0.2">
      <c r="R507" s="15"/>
    </row>
    <row r="508" spans="18:18" ht="15.75" customHeight="1" x14ac:dyDescent="0.2">
      <c r="R508" s="15"/>
    </row>
    <row r="509" spans="18:18" ht="15.75" customHeight="1" x14ac:dyDescent="0.2">
      <c r="R509" s="15"/>
    </row>
    <row r="510" spans="18:18" ht="15.75" customHeight="1" x14ac:dyDescent="0.2">
      <c r="R510" s="15"/>
    </row>
    <row r="511" spans="18:18" ht="15.75" customHeight="1" x14ac:dyDescent="0.2">
      <c r="R511" s="15"/>
    </row>
    <row r="512" spans="18:18" ht="15.75" customHeight="1" x14ac:dyDescent="0.2">
      <c r="R512" s="15"/>
    </row>
    <row r="513" spans="18:18" ht="15.75" customHeight="1" x14ac:dyDescent="0.2">
      <c r="R513" s="15"/>
    </row>
    <row r="514" spans="18:18" ht="15.75" customHeight="1" x14ac:dyDescent="0.2">
      <c r="R514" s="15"/>
    </row>
    <row r="515" spans="18:18" ht="15.75" customHeight="1" x14ac:dyDescent="0.2">
      <c r="R515" s="15"/>
    </row>
    <row r="516" spans="18:18" ht="15.75" customHeight="1" x14ac:dyDescent="0.2">
      <c r="R516" s="15"/>
    </row>
    <row r="517" spans="18:18" ht="15.75" customHeight="1" x14ac:dyDescent="0.2">
      <c r="R517" s="15"/>
    </row>
    <row r="518" spans="18:18" ht="15.75" customHeight="1" x14ac:dyDescent="0.2">
      <c r="R518" s="15"/>
    </row>
    <row r="519" spans="18:18" ht="15.75" customHeight="1" x14ac:dyDescent="0.2">
      <c r="R519" s="15"/>
    </row>
    <row r="520" spans="18:18" ht="15.75" customHeight="1" x14ac:dyDescent="0.2">
      <c r="R520" s="15"/>
    </row>
    <row r="521" spans="18:18" ht="15.75" customHeight="1" x14ac:dyDescent="0.2">
      <c r="R521" s="15"/>
    </row>
    <row r="522" spans="18:18" ht="15.75" customHeight="1" x14ac:dyDescent="0.2">
      <c r="R522" s="15"/>
    </row>
    <row r="523" spans="18:18" ht="15.75" customHeight="1" x14ac:dyDescent="0.2">
      <c r="R523" s="15"/>
    </row>
    <row r="524" spans="18:18" ht="15.75" customHeight="1" x14ac:dyDescent="0.2">
      <c r="R524" s="15"/>
    </row>
    <row r="525" spans="18:18" ht="15.75" customHeight="1" x14ac:dyDescent="0.2">
      <c r="R525" s="15"/>
    </row>
    <row r="526" spans="18:18" ht="15.75" customHeight="1" x14ac:dyDescent="0.2">
      <c r="R526" s="15"/>
    </row>
    <row r="527" spans="18:18" ht="15.75" customHeight="1" x14ac:dyDescent="0.2">
      <c r="R527" s="15"/>
    </row>
    <row r="528" spans="18:18" ht="15.75" customHeight="1" x14ac:dyDescent="0.2">
      <c r="R528" s="15"/>
    </row>
    <row r="529" spans="18:18" ht="15.75" customHeight="1" x14ac:dyDescent="0.2">
      <c r="R529" s="15"/>
    </row>
    <row r="530" spans="18:18" ht="15.75" customHeight="1" x14ac:dyDescent="0.2">
      <c r="R530" s="15"/>
    </row>
    <row r="531" spans="18:18" ht="15.75" customHeight="1" x14ac:dyDescent="0.2">
      <c r="R531" s="15"/>
    </row>
    <row r="532" spans="18:18" ht="15.75" customHeight="1" x14ac:dyDescent="0.2">
      <c r="R532" s="15"/>
    </row>
    <row r="533" spans="18:18" ht="15.75" customHeight="1" x14ac:dyDescent="0.2">
      <c r="R533" s="15"/>
    </row>
    <row r="534" spans="18:18" ht="15.75" customHeight="1" x14ac:dyDescent="0.2">
      <c r="R534" s="15"/>
    </row>
    <row r="535" spans="18:18" ht="15.75" customHeight="1" x14ac:dyDescent="0.2">
      <c r="R535" s="15"/>
    </row>
    <row r="536" spans="18:18" ht="15.75" customHeight="1" x14ac:dyDescent="0.2">
      <c r="R536" s="15"/>
    </row>
    <row r="537" spans="18:18" ht="15.75" customHeight="1" x14ac:dyDescent="0.2">
      <c r="R537" s="15"/>
    </row>
    <row r="538" spans="18:18" ht="15.75" customHeight="1" x14ac:dyDescent="0.2">
      <c r="R538" s="15"/>
    </row>
    <row r="539" spans="18:18" ht="15.75" customHeight="1" x14ac:dyDescent="0.2">
      <c r="R539" s="15"/>
    </row>
    <row r="540" spans="18:18" ht="15.75" customHeight="1" x14ac:dyDescent="0.2">
      <c r="R540" s="15"/>
    </row>
    <row r="541" spans="18:18" ht="15.75" customHeight="1" x14ac:dyDescent="0.2">
      <c r="R541" s="15"/>
    </row>
    <row r="542" spans="18:18" ht="15.75" customHeight="1" x14ac:dyDescent="0.2">
      <c r="R542" s="15"/>
    </row>
    <row r="543" spans="18:18" ht="15.75" customHeight="1" x14ac:dyDescent="0.2">
      <c r="R543" s="15"/>
    </row>
    <row r="544" spans="18:18" ht="15.75" customHeight="1" x14ac:dyDescent="0.2">
      <c r="R544" s="15"/>
    </row>
    <row r="545" spans="18:18" ht="15.75" customHeight="1" x14ac:dyDescent="0.2">
      <c r="R545" s="15"/>
    </row>
    <row r="546" spans="18:18" ht="15.75" customHeight="1" x14ac:dyDescent="0.2">
      <c r="R546" s="15"/>
    </row>
    <row r="547" spans="18:18" ht="15.75" customHeight="1" x14ac:dyDescent="0.2">
      <c r="R547" s="15"/>
    </row>
    <row r="548" spans="18:18" ht="15.75" customHeight="1" x14ac:dyDescent="0.2">
      <c r="R548" s="15"/>
    </row>
    <row r="549" spans="18:18" ht="15.75" customHeight="1" x14ac:dyDescent="0.2">
      <c r="R549" s="15"/>
    </row>
    <row r="550" spans="18:18" ht="15.75" customHeight="1" x14ac:dyDescent="0.2">
      <c r="R550" s="15"/>
    </row>
    <row r="551" spans="18:18" ht="15.75" customHeight="1" x14ac:dyDescent="0.2">
      <c r="R551" s="15"/>
    </row>
    <row r="552" spans="18:18" ht="15.75" customHeight="1" x14ac:dyDescent="0.2">
      <c r="R552" s="15"/>
    </row>
    <row r="553" spans="18:18" ht="15.75" customHeight="1" x14ac:dyDescent="0.2">
      <c r="R553" s="15"/>
    </row>
    <row r="554" spans="18:18" ht="15.75" customHeight="1" x14ac:dyDescent="0.2">
      <c r="R554" s="15"/>
    </row>
    <row r="555" spans="18:18" ht="15.75" customHeight="1" x14ac:dyDescent="0.2">
      <c r="R555" s="15"/>
    </row>
    <row r="556" spans="18:18" ht="15.75" customHeight="1" x14ac:dyDescent="0.2">
      <c r="R556" s="15"/>
    </row>
    <row r="557" spans="18:18" ht="15.75" customHeight="1" x14ac:dyDescent="0.2">
      <c r="R557" s="15"/>
    </row>
    <row r="558" spans="18:18" ht="15.75" customHeight="1" x14ac:dyDescent="0.2">
      <c r="R558" s="15"/>
    </row>
    <row r="559" spans="18:18" ht="15.75" customHeight="1" x14ac:dyDescent="0.2">
      <c r="R559" s="15"/>
    </row>
    <row r="560" spans="18:18" ht="15.75" customHeight="1" x14ac:dyDescent="0.2">
      <c r="R560" s="15"/>
    </row>
    <row r="561" spans="18:18" ht="15.75" customHeight="1" x14ac:dyDescent="0.2">
      <c r="R561" s="15"/>
    </row>
    <row r="562" spans="18:18" ht="15.75" customHeight="1" x14ac:dyDescent="0.2">
      <c r="R562" s="15"/>
    </row>
    <row r="563" spans="18:18" ht="15.75" customHeight="1" x14ac:dyDescent="0.2">
      <c r="R563" s="15"/>
    </row>
    <row r="564" spans="18:18" ht="15.75" customHeight="1" x14ac:dyDescent="0.2">
      <c r="R564" s="15"/>
    </row>
    <row r="565" spans="18:18" ht="15.75" customHeight="1" x14ac:dyDescent="0.2">
      <c r="R565" s="15"/>
    </row>
    <row r="566" spans="18:18" ht="15.75" customHeight="1" x14ac:dyDescent="0.2">
      <c r="R566" s="15"/>
    </row>
    <row r="567" spans="18:18" ht="15.75" customHeight="1" x14ac:dyDescent="0.2">
      <c r="R567" s="15"/>
    </row>
    <row r="568" spans="18:18" ht="15.75" customHeight="1" x14ac:dyDescent="0.2">
      <c r="R568" s="15"/>
    </row>
    <row r="569" spans="18:18" ht="15.75" customHeight="1" x14ac:dyDescent="0.2">
      <c r="R569" s="15"/>
    </row>
    <row r="570" spans="18:18" ht="15.75" customHeight="1" x14ac:dyDescent="0.2">
      <c r="R570" s="15"/>
    </row>
    <row r="571" spans="18:18" ht="15.75" customHeight="1" x14ac:dyDescent="0.2">
      <c r="R571" s="15"/>
    </row>
    <row r="572" spans="18:18" ht="15.75" customHeight="1" x14ac:dyDescent="0.2">
      <c r="R572" s="15"/>
    </row>
    <row r="573" spans="18:18" ht="15.75" customHeight="1" x14ac:dyDescent="0.2">
      <c r="R573" s="15"/>
    </row>
    <row r="574" spans="18:18" ht="15.75" customHeight="1" x14ac:dyDescent="0.2">
      <c r="R574" s="15"/>
    </row>
    <row r="575" spans="18:18" ht="15.75" customHeight="1" x14ac:dyDescent="0.2">
      <c r="R575" s="15"/>
    </row>
    <row r="576" spans="18:18" ht="15.75" customHeight="1" x14ac:dyDescent="0.2">
      <c r="R576" s="15"/>
    </row>
    <row r="577" spans="18:18" ht="15.75" customHeight="1" x14ac:dyDescent="0.2">
      <c r="R577" s="15"/>
    </row>
    <row r="578" spans="18:18" ht="15.75" customHeight="1" x14ac:dyDescent="0.2">
      <c r="R578" s="15"/>
    </row>
    <row r="579" spans="18:18" ht="15.75" customHeight="1" x14ac:dyDescent="0.2">
      <c r="R579" s="15"/>
    </row>
    <row r="580" spans="18:18" ht="15.75" customHeight="1" x14ac:dyDescent="0.2">
      <c r="R580" s="15"/>
    </row>
    <row r="581" spans="18:18" ht="15.75" customHeight="1" x14ac:dyDescent="0.2">
      <c r="R581" s="15"/>
    </row>
    <row r="582" spans="18:18" ht="15.75" customHeight="1" x14ac:dyDescent="0.2">
      <c r="R582" s="15"/>
    </row>
    <row r="583" spans="18:18" ht="15.75" customHeight="1" x14ac:dyDescent="0.2">
      <c r="R583" s="15"/>
    </row>
    <row r="584" spans="18:18" ht="15.75" customHeight="1" x14ac:dyDescent="0.2">
      <c r="R584" s="15"/>
    </row>
    <row r="585" spans="18:18" ht="15.75" customHeight="1" x14ac:dyDescent="0.2">
      <c r="R585" s="15"/>
    </row>
    <row r="586" spans="18:18" ht="15.75" customHeight="1" x14ac:dyDescent="0.2">
      <c r="R586" s="15"/>
    </row>
    <row r="587" spans="18:18" ht="15.75" customHeight="1" x14ac:dyDescent="0.2">
      <c r="R587" s="15"/>
    </row>
    <row r="588" spans="18:18" ht="15.75" customHeight="1" x14ac:dyDescent="0.2">
      <c r="R588" s="15"/>
    </row>
    <row r="589" spans="18:18" ht="15.75" customHeight="1" x14ac:dyDescent="0.2">
      <c r="R589" s="15"/>
    </row>
    <row r="590" spans="18:18" ht="15.75" customHeight="1" x14ac:dyDescent="0.2">
      <c r="R590" s="15"/>
    </row>
    <row r="591" spans="18:18" ht="15.75" customHeight="1" x14ac:dyDescent="0.2">
      <c r="R591" s="15"/>
    </row>
    <row r="592" spans="18:18" ht="15.75" customHeight="1" x14ac:dyDescent="0.2">
      <c r="R592" s="15"/>
    </row>
    <row r="593" spans="18:18" ht="15.75" customHeight="1" x14ac:dyDescent="0.2">
      <c r="R593" s="15"/>
    </row>
    <row r="594" spans="18:18" ht="15.75" customHeight="1" x14ac:dyDescent="0.2">
      <c r="R594" s="15"/>
    </row>
    <row r="595" spans="18:18" ht="15.75" customHeight="1" x14ac:dyDescent="0.2">
      <c r="R595" s="15"/>
    </row>
    <row r="596" spans="18:18" ht="15.75" customHeight="1" x14ac:dyDescent="0.2">
      <c r="R596" s="15"/>
    </row>
    <row r="597" spans="18:18" ht="15.75" customHeight="1" x14ac:dyDescent="0.2">
      <c r="R597" s="15"/>
    </row>
    <row r="598" spans="18:18" ht="15.75" customHeight="1" x14ac:dyDescent="0.2">
      <c r="R598" s="15"/>
    </row>
    <row r="599" spans="18:18" ht="15.75" customHeight="1" x14ac:dyDescent="0.2">
      <c r="R599" s="15"/>
    </row>
    <row r="600" spans="18:18" ht="15.75" customHeight="1" x14ac:dyDescent="0.2">
      <c r="R600" s="15"/>
    </row>
    <row r="601" spans="18:18" ht="15.75" customHeight="1" x14ac:dyDescent="0.2">
      <c r="R601" s="15"/>
    </row>
    <row r="602" spans="18:18" ht="15.75" customHeight="1" x14ac:dyDescent="0.2">
      <c r="R602" s="15"/>
    </row>
    <row r="603" spans="18:18" ht="15.75" customHeight="1" x14ac:dyDescent="0.2">
      <c r="R603" s="15"/>
    </row>
    <row r="604" spans="18:18" ht="15.75" customHeight="1" x14ac:dyDescent="0.2">
      <c r="R604" s="15"/>
    </row>
    <row r="605" spans="18:18" ht="15.75" customHeight="1" x14ac:dyDescent="0.2">
      <c r="R605" s="15"/>
    </row>
    <row r="606" spans="18:18" ht="15.75" customHeight="1" x14ac:dyDescent="0.2">
      <c r="R606" s="15"/>
    </row>
    <row r="607" spans="18:18" ht="15.75" customHeight="1" x14ac:dyDescent="0.2">
      <c r="R607" s="15"/>
    </row>
    <row r="608" spans="18:18" ht="15.75" customHeight="1" x14ac:dyDescent="0.2">
      <c r="R608" s="15"/>
    </row>
    <row r="609" spans="18:18" ht="15.75" customHeight="1" x14ac:dyDescent="0.2">
      <c r="R609" s="15"/>
    </row>
    <row r="610" spans="18:18" ht="15.75" customHeight="1" x14ac:dyDescent="0.2">
      <c r="R610" s="15"/>
    </row>
    <row r="611" spans="18:18" ht="15.75" customHeight="1" x14ac:dyDescent="0.2">
      <c r="R611" s="15"/>
    </row>
    <row r="612" spans="18:18" ht="15.75" customHeight="1" x14ac:dyDescent="0.2">
      <c r="R612" s="15"/>
    </row>
    <row r="613" spans="18:18" ht="15.75" customHeight="1" x14ac:dyDescent="0.2">
      <c r="R613" s="15"/>
    </row>
    <row r="614" spans="18:18" ht="15.75" customHeight="1" x14ac:dyDescent="0.2">
      <c r="R614" s="15"/>
    </row>
    <row r="615" spans="18:18" ht="15.75" customHeight="1" x14ac:dyDescent="0.2">
      <c r="R615" s="15"/>
    </row>
    <row r="616" spans="18:18" ht="15.75" customHeight="1" x14ac:dyDescent="0.2">
      <c r="R616" s="15"/>
    </row>
    <row r="617" spans="18:18" ht="15.75" customHeight="1" x14ac:dyDescent="0.2">
      <c r="R617" s="15"/>
    </row>
    <row r="618" spans="18:18" ht="15.75" customHeight="1" x14ac:dyDescent="0.2">
      <c r="R618" s="15"/>
    </row>
    <row r="619" spans="18:18" ht="15.75" customHeight="1" x14ac:dyDescent="0.2">
      <c r="R619" s="15"/>
    </row>
    <row r="620" spans="18:18" ht="15.75" customHeight="1" x14ac:dyDescent="0.2">
      <c r="R620" s="15"/>
    </row>
    <row r="621" spans="18:18" ht="15.75" customHeight="1" x14ac:dyDescent="0.2">
      <c r="R621" s="15"/>
    </row>
    <row r="622" spans="18:18" ht="15.75" customHeight="1" x14ac:dyDescent="0.2">
      <c r="R622" s="15"/>
    </row>
    <row r="623" spans="18:18" ht="15.75" customHeight="1" x14ac:dyDescent="0.2">
      <c r="R623" s="15"/>
    </row>
    <row r="624" spans="18:18" ht="15.75" customHeight="1" x14ac:dyDescent="0.2">
      <c r="R624" s="15"/>
    </row>
    <row r="625" spans="18:18" ht="15.75" customHeight="1" x14ac:dyDescent="0.2">
      <c r="R625" s="15"/>
    </row>
    <row r="626" spans="18:18" ht="15.75" customHeight="1" x14ac:dyDescent="0.2">
      <c r="R626" s="15"/>
    </row>
    <row r="627" spans="18:18" ht="15.75" customHeight="1" x14ac:dyDescent="0.2">
      <c r="R627" s="15"/>
    </row>
    <row r="628" spans="18:18" ht="15.75" customHeight="1" x14ac:dyDescent="0.2">
      <c r="R628" s="15"/>
    </row>
    <row r="629" spans="18:18" ht="15.75" customHeight="1" x14ac:dyDescent="0.2">
      <c r="R629" s="15"/>
    </row>
    <row r="630" spans="18:18" ht="15.75" customHeight="1" x14ac:dyDescent="0.2">
      <c r="R630" s="15"/>
    </row>
    <row r="631" spans="18:18" ht="15.75" customHeight="1" x14ac:dyDescent="0.2">
      <c r="R631" s="15"/>
    </row>
    <row r="632" spans="18:18" ht="15.75" customHeight="1" x14ac:dyDescent="0.2">
      <c r="R632" s="15"/>
    </row>
    <row r="633" spans="18:18" ht="15.75" customHeight="1" x14ac:dyDescent="0.2">
      <c r="R633" s="15"/>
    </row>
    <row r="634" spans="18:18" ht="15.75" customHeight="1" x14ac:dyDescent="0.2">
      <c r="R634" s="15"/>
    </row>
    <row r="635" spans="18:18" ht="15.75" customHeight="1" x14ac:dyDescent="0.2">
      <c r="R635" s="15"/>
    </row>
    <row r="636" spans="18:18" ht="15.75" customHeight="1" x14ac:dyDescent="0.2">
      <c r="R636" s="15"/>
    </row>
    <row r="637" spans="18:18" ht="15.75" customHeight="1" x14ac:dyDescent="0.2">
      <c r="R637" s="15"/>
    </row>
    <row r="638" spans="18:18" ht="15.75" customHeight="1" x14ac:dyDescent="0.2">
      <c r="R638" s="15"/>
    </row>
    <row r="639" spans="18:18" ht="15.75" customHeight="1" x14ac:dyDescent="0.2">
      <c r="R639" s="15"/>
    </row>
    <row r="640" spans="18:18" ht="15.75" customHeight="1" x14ac:dyDescent="0.2">
      <c r="R640" s="15"/>
    </row>
    <row r="641" spans="18:18" ht="15.75" customHeight="1" x14ac:dyDescent="0.2">
      <c r="R641" s="15"/>
    </row>
    <row r="642" spans="18:18" ht="15.75" customHeight="1" x14ac:dyDescent="0.2">
      <c r="R642" s="15"/>
    </row>
    <row r="643" spans="18:18" ht="15.75" customHeight="1" x14ac:dyDescent="0.2">
      <c r="R643" s="15"/>
    </row>
    <row r="644" spans="18:18" ht="15.75" customHeight="1" x14ac:dyDescent="0.2">
      <c r="R644" s="15"/>
    </row>
    <row r="645" spans="18:18" ht="15.75" customHeight="1" x14ac:dyDescent="0.2">
      <c r="R645" s="15"/>
    </row>
    <row r="646" spans="18:18" ht="15.75" customHeight="1" x14ac:dyDescent="0.2">
      <c r="R646" s="15"/>
    </row>
    <row r="647" spans="18:18" ht="15.75" customHeight="1" x14ac:dyDescent="0.2">
      <c r="R647" s="15"/>
    </row>
    <row r="648" spans="18:18" ht="15.75" customHeight="1" x14ac:dyDescent="0.2">
      <c r="R648" s="15"/>
    </row>
    <row r="649" spans="18:18" ht="15.75" customHeight="1" x14ac:dyDescent="0.2">
      <c r="R649" s="15"/>
    </row>
    <row r="650" spans="18:18" ht="15.75" customHeight="1" x14ac:dyDescent="0.2">
      <c r="R650" s="15"/>
    </row>
    <row r="651" spans="18:18" ht="15.75" customHeight="1" x14ac:dyDescent="0.2">
      <c r="R651" s="15"/>
    </row>
    <row r="652" spans="18:18" ht="15.75" customHeight="1" x14ac:dyDescent="0.2">
      <c r="R652" s="15"/>
    </row>
    <row r="653" spans="18:18" ht="15.75" customHeight="1" x14ac:dyDescent="0.2">
      <c r="R653" s="15"/>
    </row>
    <row r="654" spans="18:18" ht="15.75" customHeight="1" x14ac:dyDescent="0.2">
      <c r="R654" s="15"/>
    </row>
    <row r="655" spans="18:18" ht="15.75" customHeight="1" x14ac:dyDescent="0.2">
      <c r="R655" s="15"/>
    </row>
    <row r="656" spans="18:18" ht="15.75" customHeight="1" x14ac:dyDescent="0.2">
      <c r="R656" s="15"/>
    </row>
    <row r="657" spans="18:18" ht="15.75" customHeight="1" x14ac:dyDescent="0.2">
      <c r="R657" s="15"/>
    </row>
    <row r="658" spans="18:18" ht="15.75" customHeight="1" x14ac:dyDescent="0.2">
      <c r="R658" s="15"/>
    </row>
    <row r="659" spans="18:18" ht="15.75" customHeight="1" x14ac:dyDescent="0.2">
      <c r="R659" s="15"/>
    </row>
    <row r="660" spans="18:18" ht="15.75" customHeight="1" x14ac:dyDescent="0.2">
      <c r="R660" s="15"/>
    </row>
    <row r="661" spans="18:18" ht="15.75" customHeight="1" x14ac:dyDescent="0.2">
      <c r="R661" s="15"/>
    </row>
    <row r="662" spans="18:18" ht="15.75" customHeight="1" x14ac:dyDescent="0.2">
      <c r="R662" s="15"/>
    </row>
    <row r="663" spans="18:18" ht="15.75" customHeight="1" x14ac:dyDescent="0.2">
      <c r="R663" s="15"/>
    </row>
    <row r="664" spans="18:18" ht="15.75" customHeight="1" x14ac:dyDescent="0.2">
      <c r="R664" s="15"/>
    </row>
    <row r="665" spans="18:18" ht="15.75" customHeight="1" x14ac:dyDescent="0.2">
      <c r="R665" s="15"/>
    </row>
    <row r="666" spans="18:18" ht="15.75" customHeight="1" x14ac:dyDescent="0.2">
      <c r="R666" s="15"/>
    </row>
    <row r="667" spans="18:18" ht="15.75" customHeight="1" x14ac:dyDescent="0.2">
      <c r="R667" s="15"/>
    </row>
    <row r="668" spans="18:18" ht="15.75" customHeight="1" x14ac:dyDescent="0.2">
      <c r="R668" s="15"/>
    </row>
    <row r="669" spans="18:18" ht="15.75" customHeight="1" x14ac:dyDescent="0.2">
      <c r="R669" s="15"/>
    </row>
    <row r="670" spans="18:18" ht="15.75" customHeight="1" x14ac:dyDescent="0.2">
      <c r="R670" s="15"/>
    </row>
    <row r="671" spans="18:18" ht="15.75" customHeight="1" x14ac:dyDescent="0.2">
      <c r="R671" s="15"/>
    </row>
    <row r="672" spans="18:18" ht="15.75" customHeight="1" x14ac:dyDescent="0.2">
      <c r="R672" s="15"/>
    </row>
    <row r="673" spans="18:18" ht="15.75" customHeight="1" x14ac:dyDescent="0.2">
      <c r="R673" s="15"/>
    </row>
    <row r="674" spans="18:18" ht="15.75" customHeight="1" x14ac:dyDescent="0.2">
      <c r="R674" s="15"/>
    </row>
    <row r="675" spans="18:18" ht="15.75" customHeight="1" x14ac:dyDescent="0.2">
      <c r="R675" s="15"/>
    </row>
    <row r="676" spans="18:18" ht="15.75" customHeight="1" x14ac:dyDescent="0.2">
      <c r="R676" s="15"/>
    </row>
    <row r="677" spans="18:18" ht="15.75" customHeight="1" x14ac:dyDescent="0.2">
      <c r="R677" s="15"/>
    </row>
    <row r="678" spans="18:18" ht="15.75" customHeight="1" x14ac:dyDescent="0.2">
      <c r="R678" s="15"/>
    </row>
    <row r="679" spans="18:18" ht="15.75" customHeight="1" x14ac:dyDescent="0.2">
      <c r="R679" s="15"/>
    </row>
    <row r="680" spans="18:18" ht="15.75" customHeight="1" x14ac:dyDescent="0.2">
      <c r="R680" s="15"/>
    </row>
    <row r="681" spans="18:18" ht="15.75" customHeight="1" x14ac:dyDescent="0.2">
      <c r="R681" s="15"/>
    </row>
    <row r="682" spans="18:18" ht="15.75" customHeight="1" x14ac:dyDescent="0.2">
      <c r="R682" s="15"/>
    </row>
    <row r="683" spans="18:18" ht="15.75" customHeight="1" x14ac:dyDescent="0.2">
      <c r="R683" s="15"/>
    </row>
    <row r="684" spans="18:18" ht="15.75" customHeight="1" x14ac:dyDescent="0.2">
      <c r="R684" s="15"/>
    </row>
    <row r="685" spans="18:18" ht="15.75" customHeight="1" x14ac:dyDescent="0.2">
      <c r="R685" s="15"/>
    </row>
    <row r="686" spans="18:18" ht="15.75" customHeight="1" x14ac:dyDescent="0.2">
      <c r="R686" s="15"/>
    </row>
    <row r="687" spans="18:18" ht="15.75" customHeight="1" x14ac:dyDescent="0.2">
      <c r="R687" s="15"/>
    </row>
    <row r="688" spans="18:18" ht="15.75" customHeight="1" x14ac:dyDescent="0.2">
      <c r="R688" s="15"/>
    </row>
    <row r="689" spans="18:18" ht="15.75" customHeight="1" x14ac:dyDescent="0.2">
      <c r="R689" s="15"/>
    </row>
    <row r="690" spans="18:18" ht="15.75" customHeight="1" x14ac:dyDescent="0.2">
      <c r="R690" s="15"/>
    </row>
    <row r="691" spans="18:18" ht="15.75" customHeight="1" x14ac:dyDescent="0.2">
      <c r="R691" s="15"/>
    </row>
    <row r="692" spans="18:18" ht="15.75" customHeight="1" x14ac:dyDescent="0.2">
      <c r="R692" s="15"/>
    </row>
    <row r="693" spans="18:18" ht="15.75" customHeight="1" x14ac:dyDescent="0.2">
      <c r="R693" s="15"/>
    </row>
    <row r="694" spans="18:18" ht="15.75" customHeight="1" x14ac:dyDescent="0.2">
      <c r="R694" s="15"/>
    </row>
    <row r="695" spans="18:18" ht="15.75" customHeight="1" x14ac:dyDescent="0.2">
      <c r="R695" s="15"/>
    </row>
    <row r="696" spans="18:18" ht="15.75" customHeight="1" x14ac:dyDescent="0.2">
      <c r="R696" s="15"/>
    </row>
    <row r="697" spans="18:18" ht="15.75" customHeight="1" x14ac:dyDescent="0.2">
      <c r="R697" s="15"/>
    </row>
    <row r="698" spans="18:18" ht="15.75" customHeight="1" x14ac:dyDescent="0.2">
      <c r="R698" s="15"/>
    </row>
    <row r="699" spans="18:18" ht="15.75" customHeight="1" x14ac:dyDescent="0.2">
      <c r="R699" s="15"/>
    </row>
    <row r="700" spans="18:18" ht="15.75" customHeight="1" x14ac:dyDescent="0.2">
      <c r="R700" s="15"/>
    </row>
    <row r="701" spans="18:18" ht="15.75" customHeight="1" x14ac:dyDescent="0.2">
      <c r="R701" s="15"/>
    </row>
    <row r="702" spans="18:18" ht="15.75" customHeight="1" x14ac:dyDescent="0.2">
      <c r="R702" s="15"/>
    </row>
    <row r="703" spans="18:18" ht="15.75" customHeight="1" x14ac:dyDescent="0.2">
      <c r="R703" s="15"/>
    </row>
    <row r="704" spans="18:18" ht="15.75" customHeight="1" x14ac:dyDescent="0.2">
      <c r="R704" s="15"/>
    </row>
    <row r="705" spans="18:18" ht="15.75" customHeight="1" x14ac:dyDescent="0.2">
      <c r="R705" s="15"/>
    </row>
    <row r="706" spans="18:18" ht="15.75" customHeight="1" x14ac:dyDescent="0.2">
      <c r="R706" s="15"/>
    </row>
    <row r="707" spans="18:18" ht="15.75" customHeight="1" x14ac:dyDescent="0.2">
      <c r="R707" s="15"/>
    </row>
    <row r="708" spans="18:18" ht="15.75" customHeight="1" x14ac:dyDescent="0.2">
      <c r="R708" s="15"/>
    </row>
    <row r="709" spans="18:18" ht="15.75" customHeight="1" x14ac:dyDescent="0.2">
      <c r="R709" s="15"/>
    </row>
    <row r="710" spans="18:18" ht="15.75" customHeight="1" x14ac:dyDescent="0.2">
      <c r="R710" s="15"/>
    </row>
    <row r="711" spans="18:18" ht="15.75" customHeight="1" x14ac:dyDescent="0.2">
      <c r="R711" s="15"/>
    </row>
    <row r="712" spans="18:18" ht="15.75" customHeight="1" x14ac:dyDescent="0.2">
      <c r="R712" s="15"/>
    </row>
    <row r="713" spans="18:18" ht="15.75" customHeight="1" x14ac:dyDescent="0.2">
      <c r="R713" s="15"/>
    </row>
    <row r="714" spans="18:18" ht="15.75" customHeight="1" x14ac:dyDescent="0.2">
      <c r="R714" s="15"/>
    </row>
    <row r="715" spans="18:18" ht="15.75" customHeight="1" x14ac:dyDescent="0.2">
      <c r="R715" s="15"/>
    </row>
    <row r="716" spans="18:18" ht="15.75" customHeight="1" x14ac:dyDescent="0.2">
      <c r="R716" s="15"/>
    </row>
    <row r="717" spans="18:18" ht="15.75" customHeight="1" x14ac:dyDescent="0.2">
      <c r="R717" s="15"/>
    </row>
    <row r="718" spans="18:18" ht="15.75" customHeight="1" x14ac:dyDescent="0.2">
      <c r="R718" s="15"/>
    </row>
    <row r="719" spans="18:18" ht="15.75" customHeight="1" x14ac:dyDescent="0.2">
      <c r="R719" s="15"/>
    </row>
    <row r="720" spans="18:18" ht="15.75" customHeight="1" x14ac:dyDescent="0.2">
      <c r="R720" s="15"/>
    </row>
    <row r="721" spans="18:18" ht="15.75" customHeight="1" x14ac:dyDescent="0.2">
      <c r="R721" s="15"/>
    </row>
    <row r="722" spans="18:18" ht="15.75" customHeight="1" x14ac:dyDescent="0.2">
      <c r="R722" s="15"/>
    </row>
    <row r="723" spans="18:18" ht="15.75" customHeight="1" x14ac:dyDescent="0.2">
      <c r="R723" s="15"/>
    </row>
    <row r="724" spans="18:18" ht="15.75" customHeight="1" x14ac:dyDescent="0.2">
      <c r="R724" s="15"/>
    </row>
    <row r="725" spans="18:18" ht="15.75" customHeight="1" x14ac:dyDescent="0.2">
      <c r="R725" s="15"/>
    </row>
    <row r="726" spans="18:18" ht="15.75" customHeight="1" x14ac:dyDescent="0.2">
      <c r="R726" s="15"/>
    </row>
    <row r="727" spans="18:18" ht="15.75" customHeight="1" x14ac:dyDescent="0.2">
      <c r="R727" s="15"/>
    </row>
    <row r="728" spans="18:18" ht="15.75" customHeight="1" x14ac:dyDescent="0.2">
      <c r="R728" s="15"/>
    </row>
    <row r="729" spans="18:18" ht="15.75" customHeight="1" x14ac:dyDescent="0.2">
      <c r="R729" s="15"/>
    </row>
    <row r="730" spans="18:18" ht="15.75" customHeight="1" x14ac:dyDescent="0.2">
      <c r="R730" s="15"/>
    </row>
    <row r="731" spans="18:18" ht="15.75" customHeight="1" x14ac:dyDescent="0.2">
      <c r="R731" s="15"/>
    </row>
    <row r="732" spans="18:18" ht="15.75" customHeight="1" x14ac:dyDescent="0.2">
      <c r="R732" s="15"/>
    </row>
    <row r="733" spans="18:18" ht="15.75" customHeight="1" x14ac:dyDescent="0.2">
      <c r="R733" s="15"/>
    </row>
    <row r="734" spans="18:18" ht="15.75" customHeight="1" x14ac:dyDescent="0.2">
      <c r="R734" s="15"/>
    </row>
    <row r="735" spans="18:18" ht="15.75" customHeight="1" x14ac:dyDescent="0.2">
      <c r="R735" s="15"/>
    </row>
    <row r="736" spans="18:18" ht="15.75" customHeight="1" x14ac:dyDescent="0.2">
      <c r="R736" s="15"/>
    </row>
    <row r="737" spans="18:18" ht="15.75" customHeight="1" x14ac:dyDescent="0.2">
      <c r="R737" s="15"/>
    </row>
    <row r="738" spans="18:18" ht="15.75" customHeight="1" x14ac:dyDescent="0.2">
      <c r="R738" s="15"/>
    </row>
    <row r="739" spans="18:18" ht="15.75" customHeight="1" x14ac:dyDescent="0.2">
      <c r="R739" s="15"/>
    </row>
    <row r="740" spans="18:18" ht="15.75" customHeight="1" x14ac:dyDescent="0.2">
      <c r="R740" s="15"/>
    </row>
    <row r="741" spans="18:18" ht="15.75" customHeight="1" x14ac:dyDescent="0.2">
      <c r="R741" s="15"/>
    </row>
    <row r="742" spans="18:18" ht="15.75" customHeight="1" x14ac:dyDescent="0.2">
      <c r="R742" s="15"/>
    </row>
    <row r="743" spans="18:18" ht="15.75" customHeight="1" x14ac:dyDescent="0.2">
      <c r="R743" s="15"/>
    </row>
    <row r="744" spans="18:18" ht="15.75" customHeight="1" x14ac:dyDescent="0.2">
      <c r="R744" s="15"/>
    </row>
    <row r="745" spans="18:18" ht="15.75" customHeight="1" x14ac:dyDescent="0.2">
      <c r="R745" s="15"/>
    </row>
    <row r="746" spans="18:18" ht="15.75" customHeight="1" x14ac:dyDescent="0.2">
      <c r="R746" s="15"/>
    </row>
    <row r="747" spans="18:18" ht="15.75" customHeight="1" x14ac:dyDescent="0.2">
      <c r="R747" s="15"/>
    </row>
    <row r="748" spans="18:18" ht="15.75" customHeight="1" x14ac:dyDescent="0.2">
      <c r="R748" s="15"/>
    </row>
    <row r="749" spans="18:18" ht="15.75" customHeight="1" x14ac:dyDescent="0.2">
      <c r="R749" s="15"/>
    </row>
    <row r="750" spans="18:18" ht="15.75" customHeight="1" x14ac:dyDescent="0.2">
      <c r="R750" s="15"/>
    </row>
    <row r="751" spans="18:18" ht="15.75" customHeight="1" x14ac:dyDescent="0.2">
      <c r="R751" s="15"/>
    </row>
    <row r="752" spans="18:18" ht="15.75" customHeight="1" x14ac:dyDescent="0.2">
      <c r="R752" s="15"/>
    </row>
    <row r="753" spans="18:18" ht="15.75" customHeight="1" x14ac:dyDescent="0.2">
      <c r="R753" s="15"/>
    </row>
    <row r="754" spans="18:18" ht="15.75" customHeight="1" x14ac:dyDescent="0.2">
      <c r="R754" s="15"/>
    </row>
    <row r="755" spans="18:18" ht="15.75" customHeight="1" x14ac:dyDescent="0.2">
      <c r="R755" s="15"/>
    </row>
    <row r="756" spans="18:18" ht="15.75" customHeight="1" x14ac:dyDescent="0.2">
      <c r="R756" s="15"/>
    </row>
    <row r="757" spans="18:18" ht="15.75" customHeight="1" x14ac:dyDescent="0.2">
      <c r="R757" s="15"/>
    </row>
    <row r="758" spans="18:18" ht="15.75" customHeight="1" x14ac:dyDescent="0.2">
      <c r="R758" s="15"/>
    </row>
    <row r="759" spans="18:18" ht="15.75" customHeight="1" x14ac:dyDescent="0.2">
      <c r="R759" s="15"/>
    </row>
    <row r="760" spans="18:18" ht="15.75" customHeight="1" x14ac:dyDescent="0.2">
      <c r="R760" s="15"/>
    </row>
    <row r="761" spans="18:18" ht="15.75" customHeight="1" x14ac:dyDescent="0.2">
      <c r="R761" s="15"/>
    </row>
    <row r="762" spans="18:18" ht="15.75" customHeight="1" x14ac:dyDescent="0.2">
      <c r="R762" s="15"/>
    </row>
    <row r="763" spans="18:18" ht="15.75" customHeight="1" x14ac:dyDescent="0.2">
      <c r="R763" s="15"/>
    </row>
    <row r="764" spans="18:18" ht="15.75" customHeight="1" x14ac:dyDescent="0.2">
      <c r="R764" s="15"/>
    </row>
    <row r="765" spans="18:18" ht="15.75" customHeight="1" x14ac:dyDescent="0.2">
      <c r="R765" s="15"/>
    </row>
    <row r="766" spans="18:18" ht="15.75" customHeight="1" x14ac:dyDescent="0.2">
      <c r="R766" s="15"/>
    </row>
    <row r="767" spans="18:18" ht="15.75" customHeight="1" x14ac:dyDescent="0.2">
      <c r="R767" s="15"/>
    </row>
    <row r="768" spans="18:18" ht="15.75" customHeight="1" x14ac:dyDescent="0.2">
      <c r="R768" s="15"/>
    </row>
    <row r="769" spans="18:18" ht="15.75" customHeight="1" x14ac:dyDescent="0.2">
      <c r="R769" s="15"/>
    </row>
    <row r="770" spans="18:18" ht="15.75" customHeight="1" x14ac:dyDescent="0.2">
      <c r="R770" s="15"/>
    </row>
    <row r="771" spans="18:18" ht="15.75" customHeight="1" x14ac:dyDescent="0.2">
      <c r="R771" s="15"/>
    </row>
    <row r="772" spans="18:18" ht="15.75" customHeight="1" x14ac:dyDescent="0.2">
      <c r="R772" s="15"/>
    </row>
    <row r="773" spans="18:18" ht="15.75" customHeight="1" x14ac:dyDescent="0.2">
      <c r="R773" s="15"/>
    </row>
    <row r="774" spans="18:18" ht="15.75" customHeight="1" x14ac:dyDescent="0.2">
      <c r="R774" s="15"/>
    </row>
    <row r="775" spans="18:18" ht="15.75" customHeight="1" x14ac:dyDescent="0.2">
      <c r="R775" s="15"/>
    </row>
    <row r="776" spans="18:18" ht="15.75" customHeight="1" x14ac:dyDescent="0.2">
      <c r="R776" s="15"/>
    </row>
    <row r="777" spans="18:18" ht="15.75" customHeight="1" x14ac:dyDescent="0.2">
      <c r="R777" s="15"/>
    </row>
    <row r="778" spans="18:18" ht="15.75" customHeight="1" x14ac:dyDescent="0.2">
      <c r="R778" s="15"/>
    </row>
    <row r="779" spans="18:18" ht="15.75" customHeight="1" x14ac:dyDescent="0.2">
      <c r="R779" s="15"/>
    </row>
    <row r="780" spans="18:18" ht="15.75" customHeight="1" x14ac:dyDescent="0.2">
      <c r="R780" s="15"/>
    </row>
    <row r="781" spans="18:18" ht="15.75" customHeight="1" x14ac:dyDescent="0.2">
      <c r="R781" s="15"/>
    </row>
    <row r="782" spans="18:18" ht="15.75" customHeight="1" x14ac:dyDescent="0.2">
      <c r="R782" s="15"/>
    </row>
    <row r="783" spans="18:18" ht="15.75" customHeight="1" x14ac:dyDescent="0.2">
      <c r="R783" s="15"/>
    </row>
    <row r="784" spans="18:18" ht="15.75" customHeight="1" x14ac:dyDescent="0.2">
      <c r="R784" s="15"/>
    </row>
    <row r="785" spans="18:18" ht="15.75" customHeight="1" x14ac:dyDescent="0.2">
      <c r="R785" s="15"/>
    </row>
    <row r="786" spans="18:18" ht="15.75" customHeight="1" x14ac:dyDescent="0.2">
      <c r="R786" s="15"/>
    </row>
    <row r="787" spans="18:18" ht="15.75" customHeight="1" x14ac:dyDescent="0.2">
      <c r="R787" s="15"/>
    </row>
    <row r="788" spans="18:18" ht="15.75" customHeight="1" x14ac:dyDescent="0.2">
      <c r="R788" s="15"/>
    </row>
    <row r="789" spans="18:18" ht="15.75" customHeight="1" x14ac:dyDescent="0.2">
      <c r="R789" s="15"/>
    </row>
    <row r="790" spans="18:18" ht="15.75" customHeight="1" x14ac:dyDescent="0.2">
      <c r="R790" s="15"/>
    </row>
    <row r="791" spans="18:18" ht="15.75" customHeight="1" x14ac:dyDescent="0.2">
      <c r="R791" s="15"/>
    </row>
    <row r="792" spans="18:18" ht="15.75" customHeight="1" x14ac:dyDescent="0.2">
      <c r="R792" s="15"/>
    </row>
    <row r="793" spans="18:18" ht="15.75" customHeight="1" x14ac:dyDescent="0.2">
      <c r="R793" s="15"/>
    </row>
    <row r="794" spans="18:18" ht="15.75" customHeight="1" x14ac:dyDescent="0.2">
      <c r="R794" s="15"/>
    </row>
    <row r="795" spans="18:18" ht="15.75" customHeight="1" x14ac:dyDescent="0.2">
      <c r="R795" s="15"/>
    </row>
    <row r="796" spans="18:18" ht="15.75" customHeight="1" x14ac:dyDescent="0.2">
      <c r="R796" s="15"/>
    </row>
    <row r="797" spans="18:18" ht="15.75" customHeight="1" x14ac:dyDescent="0.2">
      <c r="R797" s="15"/>
    </row>
    <row r="798" spans="18:18" ht="15.75" customHeight="1" x14ac:dyDescent="0.2">
      <c r="R798" s="15"/>
    </row>
    <row r="799" spans="18:18" ht="15.75" customHeight="1" x14ac:dyDescent="0.2">
      <c r="R799" s="15"/>
    </row>
    <row r="800" spans="18:18" ht="15.75" customHeight="1" x14ac:dyDescent="0.2">
      <c r="R800" s="15"/>
    </row>
    <row r="801" spans="18:18" ht="15.75" customHeight="1" x14ac:dyDescent="0.2">
      <c r="R801" s="15"/>
    </row>
    <row r="802" spans="18:18" ht="15.75" customHeight="1" x14ac:dyDescent="0.2">
      <c r="R802" s="15"/>
    </row>
    <row r="803" spans="18:18" ht="15.75" customHeight="1" x14ac:dyDescent="0.2">
      <c r="R803" s="15"/>
    </row>
    <row r="804" spans="18:18" ht="15.75" customHeight="1" x14ac:dyDescent="0.2">
      <c r="R804" s="15"/>
    </row>
    <row r="805" spans="18:18" ht="15.75" customHeight="1" x14ac:dyDescent="0.2">
      <c r="R805" s="15"/>
    </row>
    <row r="806" spans="18:18" ht="15.75" customHeight="1" x14ac:dyDescent="0.2">
      <c r="R806" s="15"/>
    </row>
    <row r="807" spans="18:18" ht="15.75" customHeight="1" x14ac:dyDescent="0.2">
      <c r="R807" s="15"/>
    </row>
    <row r="808" spans="18:18" ht="15.75" customHeight="1" x14ac:dyDescent="0.2">
      <c r="R808" s="15"/>
    </row>
    <row r="809" spans="18:18" ht="15.75" customHeight="1" x14ac:dyDescent="0.2">
      <c r="R809" s="15"/>
    </row>
    <row r="810" spans="18:18" ht="15.75" customHeight="1" x14ac:dyDescent="0.2">
      <c r="R810" s="15"/>
    </row>
    <row r="811" spans="18:18" ht="15.75" customHeight="1" x14ac:dyDescent="0.2">
      <c r="R811" s="15"/>
    </row>
    <row r="812" spans="18:18" ht="15.75" customHeight="1" x14ac:dyDescent="0.2">
      <c r="R812" s="15"/>
    </row>
    <row r="813" spans="18:18" ht="15.75" customHeight="1" x14ac:dyDescent="0.2">
      <c r="R813" s="15"/>
    </row>
    <row r="814" spans="18:18" ht="15.75" customHeight="1" x14ac:dyDescent="0.2">
      <c r="R814" s="15"/>
    </row>
    <row r="815" spans="18:18" ht="15.75" customHeight="1" x14ac:dyDescent="0.2">
      <c r="R815" s="15"/>
    </row>
    <row r="816" spans="18:18" ht="15.75" customHeight="1" x14ac:dyDescent="0.2">
      <c r="R816" s="15"/>
    </row>
    <row r="817" spans="18:18" ht="15.75" customHeight="1" x14ac:dyDescent="0.2">
      <c r="R817" s="15"/>
    </row>
    <row r="818" spans="18:18" ht="15.75" customHeight="1" x14ac:dyDescent="0.2">
      <c r="R818" s="15"/>
    </row>
    <row r="819" spans="18:18" ht="15.75" customHeight="1" x14ac:dyDescent="0.2">
      <c r="R819" s="15"/>
    </row>
    <row r="820" spans="18:18" ht="15.75" customHeight="1" x14ac:dyDescent="0.2">
      <c r="R820" s="15"/>
    </row>
    <row r="821" spans="18:18" ht="15.75" customHeight="1" x14ac:dyDescent="0.2">
      <c r="R821" s="15"/>
    </row>
    <row r="822" spans="18:18" ht="15.75" customHeight="1" x14ac:dyDescent="0.2">
      <c r="R822" s="15"/>
    </row>
    <row r="823" spans="18:18" ht="15.75" customHeight="1" x14ac:dyDescent="0.2">
      <c r="R823" s="15"/>
    </row>
    <row r="824" spans="18:18" ht="15.75" customHeight="1" x14ac:dyDescent="0.2">
      <c r="R824" s="15"/>
    </row>
    <row r="825" spans="18:18" ht="15.75" customHeight="1" x14ac:dyDescent="0.2">
      <c r="R825" s="15"/>
    </row>
    <row r="826" spans="18:18" ht="15.75" customHeight="1" x14ac:dyDescent="0.2">
      <c r="R826" s="15"/>
    </row>
    <row r="827" spans="18:18" ht="15.75" customHeight="1" x14ac:dyDescent="0.2">
      <c r="R827" s="15"/>
    </row>
    <row r="828" spans="18:18" ht="15.75" customHeight="1" x14ac:dyDescent="0.2">
      <c r="R828" s="15"/>
    </row>
    <row r="829" spans="18:18" ht="15.75" customHeight="1" x14ac:dyDescent="0.2">
      <c r="R829" s="15"/>
    </row>
    <row r="830" spans="18:18" ht="15.75" customHeight="1" x14ac:dyDescent="0.2">
      <c r="R830" s="15"/>
    </row>
    <row r="831" spans="18:18" ht="15.75" customHeight="1" x14ac:dyDescent="0.2">
      <c r="R831" s="15"/>
    </row>
    <row r="832" spans="18:18" ht="15.75" customHeight="1" x14ac:dyDescent="0.2">
      <c r="R832" s="15"/>
    </row>
    <row r="833" spans="18:18" ht="15.75" customHeight="1" x14ac:dyDescent="0.2">
      <c r="R833" s="15"/>
    </row>
    <row r="834" spans="18:18" ht="15.75" customHeight="1" x14ac:dyDescent="0.2">
      <c r="R834" s="15"/>
    </row>
    <row r="835" spans="18:18" ht="15.75" customHeight="1" x14ac:dyDescent="0.2">
      <c r="R835" s="15"/>
    </row>
    <row r="836" spans="18:18" ht="15.75" customHeight="1" x14ac:dyDescent="0.2">
      <c r="R836" s="15"/>
    </row>
    <row r="837" spans="18:18" ht="15.75" customHeight="1" x14ac:dyDescent="0.2">
      <c r="R837" s="15"/>
    </row>
    <row r="838" spans="18:18" ht="15.75" customHeight="1" x14ac:dyDescent="0.2">
      <c r="R838" s="15"/>
    </row>
    <row r="839" spans="18:18" ht="15.75" customHeight="1" x14ac:dyDescent="0.2">
      <c r="R839" s="15"/>
    </row>
    <row r="840" spans="18:18" ht="15.75" customHeight="1" x14ac:dyDescent="0.2">
      <c r="R840" s="15"/>
    </row>
    <row r="841" spans="18:18" ht="15.75" customHeight="1" x14ac:dyDescent="0.2">
      <c r="R841" s="15"/>
    </row>
    <row r="842" spans="18:18" ht="15.75" customHeight="1" x14ac:dyDescent="0.2">
      <c r="R842" s="15"/>
    </row>
    <row r="843" spans="18:18" ht="15.75" customHeight="1" x14ac:dyDescent="0.2">
      <c r="R843" s="15"/>
    </row>
    <row r="844" spans="18:18" ht="15.75" customHeight="1" x14ac:dyDescent="0.2">
      <c r="R844" s="15"/>
    </row>
    <row r="845" spans="18:18" ht="15.75" customHeight="1" x14ac:dyDescent="0.2">
      <c r="R845" s="15"/>
    </row>
    <row r="846" spans="18:18" ht="15.75" customHeight="1" x14ac:dyDescent="0.2">
      <c r="R846" s="15"/>
    </row>
    <row r="847" spans="18:18" ht="15.75" customHeight="1" x14ac:dyDescent="0.2">
      <c r="R847" s="15"/>
    </row>
    <row r="848" spans="18:18" ht="15.75" customHeight="1" x14ac:dyDescent="0.2">
      <c r="R848" s="15"/>
    </row>
    <row r="849" spans="18:18" ht="15.75" customHeight="1" x14ac:dyDescent="0.2">
      <c r="R849" s="15"/>
    </row>
    <row r="850" spans="18:18" ht="15.75" customHeight="1" x14ac:dyDescent="0.2">
      <c r="R850" s="15"/>
    </row>
    <row r="851" spans="18:18" ht="15.75" customHeight="1" x14ac:dyDescent="0.2">
      <c r="R851" s="15"/>
    </row>
    <row r="852" spans="18:18" ht="15.75" customHeight="1" x14ac:dyDescent="0.2">
      <c r="R852" s="15"/>
    </row>
    <row r="853" spans="18:18" ht="15.75" customHeight="1" x14ac:dyDescent="0.2">
      <c r="R853" s="15"/>
    </row>
    <row r="854" spans="18:18" ht="15.75" customHeight="1" x14ac:dyDescent="0.2">
      <c r="R854" s="15"/>
    </row>
    <row r="855" spans="18:18" ht="15.75" customHeight="1" x14ac:dyDescent="0.2">
      <c r="R855" s="15"/>
    </row>
    <row r="856" spans="18:18" ht="15.75" customHeight="1" x14ac:dyDescent="0.2">
      <c r="R856" s="15"/>
    </row>
    <row r="857" spans="18:18" ht="15.75" customHeight="1" x14ac:dyDescent="0.2">
      <c r="R857" s="15"/>
    </row>
    <row r="858" spans="18:18" ht="15.75" customHeight="1" x14ac:dyDescent="0.2">
      <c r="R858" s="15"/>
    </row>
    <row r="859" spans="18:18" ht="15.75" customHeight="1" x14ac:dyDescent="0.2">
      <c r="R859" s="15"/>
    </row>
    <row r="860" spans="18:18" ht="15.75" customHeight="1" x14ac:dyDescent="0.2">
      <c r="R860" s="15"/>
    </row>
    <row r="861" spans="18:18" ht="15.75" customHeight="1" x14ac:dyDescent="0.2">
      <c r="R861" s="15"/>
    </row>
    <row r="862" spans="18:18" ht="15.75" customHeight="1" x14ac:dyDescent="0.2">
      <c r="R862" s="15"/>
    </row>
    <row r="863" spans="18:18" ht="15.75" customHeight="1" x14ac:dyDescent="0.2">
      <c r="R863" s="15"/>
    </row>
    <row r="864" spans="18:18" ht="15.75" customHeight="1" x14ac:dyDescent="0.2">
      <c r="R864" s="15"/>
    </row>
    <row r="865" spans="18:18" ht="15.75" customHeight="1" x14ac:dyDescent="0.2">
      <c r="R865" s="15"/>
    </row>
    <row r="866" spans="18:18" ht="15.75" customHeight="1" x14ac:dyDescent="0.2">
      <c r="R866" s="15"/>
    </row>
    <row r="867" spans="18:18" ht="15.75" customHeight="1" x14ac:dyDescent="0.2">
      <c r="R867" s="15"/>
    </row>
    <row r="868" spans="18:18" ht="15.75" customHeight="1" x14ac:dyDescent="0.2">
      <c r="R868" s="15"/>
    </row>
    <row r="869" spans="18:18" ht="15.75" customHeight="1" x14ac:dyDescent="0.2">
      <c r="R869" s="15"/>
    </row>
    <row r="870" spans="18:18" ht="15.75" customHeight="1" x14ac:dyDescent="0.2">
      <c r="R870" s="15"/>
    </row>
    <row r="871" spans="18:18" ht="15.75" customHeight="1" x14ac:dyDescent="0.2">
      <c r="R871" s="15"/>
    </row>
    <row r="872" spans="18:18" ht="15.75" customHeight="1" x14ac:dyDescent="0.2">
      <c r="R872" s="15"/>
    </row>
    <row r="873" spans="18:18" ht="15.75" customHeight="1" x14ac:dyDescent="0.2">
      <c r="R873" s="15"/>
    </row>
    <row r="874" spans="18:18" ht="15.75" customHeight="1" x14ac:dyDescent="0.2">
      <c r="R874" s="15"/>
    </row>
    <row r="875" spans="18:18" ht="15.75" customHeight="1" x14ac:dyDescent="0.2">
      <c r="R875" s="15"/>
    </row>
    <row r="876" spans="18:18" ht="15.75" customHeight="1" x14ac:dyDescent="0.2">
      <c r="R876" s="15"/>
    </row>
    <row r="877" spans="18:18" ht="15.75" customHeight="1" x14ac:dyDescent="0.2">
      <c r="R877" s="15"/>
    </row>
    <row r="878" spans="18:18" ht="15.75" customHeight="1" x14ac:dyDescent="0.2">
      <c r="R878" s="15"/>
    </row>
    <row r="879" spans="18:18" ht="15.75" customHeight="1" x14ac:dyDescent="0.2">
      <c r="R879" s="15"/>
    </row>
    <row r="880" spans="18:18" ht="15.75" customHeight="1" x14ac:dyDescent="0.2">
      <c r="R880" s="15"/>
    </row>
    <row r="881" spans="18:18" ht="15.75" customHeight="1" x14ac:dyDescent="0.2">
      <c r="R881" s="15"/>
    </row>
    <row r="882" spans="18:18" ht="15.75" customHeight="1" x14ac:dyDescent="0.2">
      <c r="R882" s="15"/>
    </row>
    <row r="883" spans="18:18" ht="15.75" customHeight="1" x14ac:dyDescent="0.2">
      <c r="R883" s="15"/>
    </row>
    <row r="884" spans="18:18" ht="15.75" customHeight="1" x14ac:dyDescent="0.2">
      <c r="R884" s="15"/>
    </row>
    <row r="885" spans="18:18" ht="15.75" customHeight="1" x14ac:dyDescent="0.2">
      <c r="R885" s="15"/>
    </row>
    <row r="886" spans="18:18" ht="15.75" customHeight="1" x14ac:dyDescent="0.2">
      <c r="R886" s="15"/>
    </row>
    <row r="887" spans="18:18" ht="15.75" customHeight="1" x14ac:dyDescent="0.2">
      <c r="R887" s="15"/>
    </row>
    <row r="888" spans="18:18" ht="15.75" customHeight="1" x14ac:dyDescent="0.2">
      <c r="R888" s="15"/>
    </row>
    <row r="889" spans="18:18" ht="15.75" customHeight="1" x14ac:dyDescent="0.2">
      <c r="R889" s="15"/>
    </row>
    <row r="890" spans="18:18" ht="15.75" customHeight="1" x14ac:dyDescent="0.2">
      <c r="R890" s="15"/>
    </row>
    <row r="891" spans="18:18" ht="15.75" customHeight="1" x14ac:dyDescent="0.2">
      <c r="R891" s="15"/>
    </row>
    <row r="892" spans="18:18" ht="15.75" customHeight="1" x14ac:dyDescent="0.2">
      <c r="R892" s="15"/>
    </row>
    <row r="893" spans="18:18" ht="15.75" customHeight="1" x14ac:dyDescent="0.2">
      <c r="R893" s="15"/>
    </row>
    <row r="894" spans="18:18" ht="15.75" customHeight="1" x14ac:dyDescent="0.2">
      <c r="R894" s="15"/>
    </row>
    <row r="895" spans="18:18" ht="15.75" customHeight="1" x14ac:dyDescent="0.2">
      <c r="R895" s="15"/>
    </row>
    <row r="896" spans="18:18" ht="15.75" customHeight="1" x14ac:dyDescent="0.2">
      <c r="R896" s="15"/>
    </row>
    <row r="897" spans="18:18" ht="15.75" customHeight="1" x14ac:dyDescent="0.2">
      <c r="R897" s="15"/>
    </row>
    <row r="898" spans="18:18" ht="15.75" customHeight="1" x14ac:dyDescent="0.2">
      <c r="R898" s="15"/>
    </row>
    <row r="899" spans="18:18" ht="15.75" customHeight="1" x14ac:dyDescent="0.2">
      <c r="R899" s="15"/>
    </row>
    <row r="900" spans="18:18" ht="15.75" customHeight="1" x14ac:dyDescent="0.2">
      <c r="R900" s="15"/>
    </row>
    <row r="901" spans="18:18" ht="15.75" customHeight="1" x14ac:dyDescent="0.2">
      <c r="R901" s="15"/>
    </row>
    <row r="902" spans="18:18" ht="15.75" customHeight="1" x14ac:dyDescent="0.2">
      <c r="R902" s="15"/>
    </row>
    <row r="903" spans="18:18" ht="15.75" customHeight="1" x14ac:dyDescent="0.2">
      <c r="R903" s="15"/>
    </row>
    <row r="904" spans="18:18" ht="15.75" customHeight="1" x14ac:dyDescent="0.2">
      <c r="R904" s="15"/>
    </row>
    <row r="905" spans="18:18" ht="15.75" customHeight="1" x14ac:dyDescent="0.2">
      <c r="R905" s="15"/>
    </row>
    <row r="906" spans="18:18" ht="15.75" customHeight="1" x14ac:dyDescent="0.2">
      <c r="R906" s="15"/>
    </row>
    <row r="907" spans="18:18" ht="15.75" customHeight="1" x14ac:dyDescent="0.2">
      <c r="R907" s="15"/>
    </row>
    <row r="908" spans="18:18" ht="15.75" customHeight="1" x14ac:dyDescent="0.2">
      <c r="R908" s="15"/>
    </row>
    <row r="909" spans="18:18" ht="15.75" customHeight="1" x14ac:dyDescent="0.2">
      <c r="R909" s="15"/>
    </row>
    <row r="910" spans="18:18" ht="15.75" customHeight="1" x14ac:dyDescent="0.2">
      <c r="R910" s="15"/>
    </row>
    <row r="911" spans="18:18" ht="15.75" customHeight="1" x14ac:dyDescent="0.2">
      <c r="R911" s="15"/>
    </row>
    <row r="912" spans="18:18" ht="15.75" customHeight="1" x14ac:dyDescent="0.2">
      <c r="R912" s="15"/>
    </row>
    <row r="913" spans="18:18" ht="15.75" customHeight="1" x14ac:dyDescent="0.2">
      <c r="R913" s="15"/>
    </row>
    <row r="914" spans="18:18" ht="15.75" customHeight="1" x14ac:dyDescent="0.2">
      <c r="R914" s="15"/>
    </row>
    <row r="915" spans="18:18" ht="15.75" customHeight="1" x14ac:dyDescent="0.2">
      <c r="R915" s="15"/>
    </row>
    <row r="916" spans="18:18" ht="15.75" customHeight="1" x14ac:dyDescent="0.2">
      <c r="R916" s="15"/>
    </row>
    <row r="917" spans="18:18" ht="15.75" customHeight="1" x14ac:dyDescent="0.2">
      <c r="R917" s="15"/>
    </row>
    <row r="918" spans="18:18" ht="15.75" customHeight="1" x14ac:dyDescent="0.2">
      <c r="R918" s="15"/>
    </row>
    <row r="919" spans="18:18" ht="15.75" customHeight="1" x14ac:dyDescent="0.2">
      <c r="R919" s="15"/>
    </row>
    <row r="920" spans="18:18" ht="15.75" customHeight="1" x14ac:dyDescent="0.2">
      <c r="R920" s="15"/>
    </row>
    <row r="921" spans="18:18" ht="15.75" customHeight="1" x14ac:dyDescent="0.2">
      <c r="R921" s="15"/>
    </row>
    <row r="922" spans="18:18" ht="15.75" customHeight="1" x14ac:dyDescent="0.2">
      <c r="R922" s="15"/>
    </row>
    <row r="923" spans="18:18" ht="15.75" customHeight="1" x14ac:dyDescent="0.2">
      <c r="R923" s="15"/>
    </row>
    <row r="924" spans="18:18" ht="15.75" customHeight="1" x14ac:dyDescent="0.2">
      <c r="R924" s="15"/>
    </row>
    <row r="925" spans="18:18" ht="15.75" customHeight="1" x14ac:dyDescent="0.2">
      <c r="R925" s="15"/>
    </row>
    <row r="926" spans="18:18" ht="15.75" customHeight="1" x14ac:dyDescent="0.2">
      <c r="R926" s="15"/>
    </row>
    <row r="927" spans="18:18" ht="15.75" customHeight="1" x14ac:dyDescent="0.2">
      <c r="R927" s="15"/>
    </row>
    <row r="928" spans="18:18" ht="15.75" customHeight="1" x14ac:dyDescent="0.2">
      <c r="R928" s="15"/>
    </row>
    <row r="929" spans="18:18" ht="15.75" customHeight="1" x14ac:dyDescent="0.2">
      <c r="R929" s="15"/>
    </row>
    <row r="930" spans="18:18" ht="15.75" customHeight="1" x14ac:dyDescent="0.2">
      <c r="R930" s="15"/>
    </row>
    <row r="931" spans="18:18" ht="15.75" customHeight="1" x14ac:dyDescent="0.2">
      <c r="R931" s="15"/>
    </row>
    <row r="932" spans="18:18" ht="15.75" customHeight="1" x14ac:dyDescent="0.2">
      <c r="R932" s="15"/>
    </row>
    <row r="933" spans="18:18" ht="15.75" customHeight="1" x14ac:dyDescent="0.2">
      <c r="R933" s="15"/>
    </row>
    <row r="934" spans="18:18" ht="15.75" customHeight="1" x14ac:dyDescent="0.2">
      <c r="R934" s="15"/>
    </row>
    <row r="935" spans="18:18" ht="15.75" customHeight="1" x14ac:dyDescent="0.2">
      <c r="R935" s="15"/>
    </row>
    <row r="936" spans="18:18" ht="15.75" customHeight="1" x14ac:dyDescent="0.2">
      <c r="R936" s="15"/>
    </row>
    <row r="937" spans="18:18" ht="15.75" customHeight="1" x14ac:dyDescent="0.2">
      <c r="R937" s="15"/>
    </row>
    <row r="938" spans="18:18" ht="15.75" customHeight="1" x14ac:dyDescent="0.2">
      <c r="R938" s="15"/>
    </row>
    <row r="939" spans="18:18" ht="15.75" customHeight="1" x14ac:dyDescent="0.2">
      <c r="R939" s="15"/>
    </row>
    <row r="940" spans="18:18" ht="15.75" customHeight="1" x14ac:dyDescent="0.2">
      <c r="R940" s="15"/>
    </row>
    <row r="941" spans="18:18" ht="15.75" customHeight="1" x14ac:dyDescent="0.2">
      <c r="R941" s="15"/>
    </row>
    <row r="942" spans="18:18" ht="15.75" customHeight="1" x14ac:dyDescent="0.2">
      <c r="R942" s="15"/>
    </row>
    <row r="943" spans="18:18" ht="15.75" customHeight="1" x14ac:dyDescent="0.2">
      <c r="R943" s="15"/>
    </row>
    <row r="944" spans="18:18" ht="15.75" customHeight="1" x14ac:dyDescent="0.2">
      <c r="R944" s="15"/>
    </row>
    <row r="945" spans="18:18" ht="15.75" customHeight="1" x14ac:dyDescent="0.2">
      <c r="R945" s="15"/>
    </row>
    <row r="946" spans="18:18" ht="15.75" customHeight="1" x14ac:dyDescent="0.2">
      <c r="R946" s="15"/>
    </row>
    <row r="947" spans="18:18" ht="15.75" customHeight="1" x14ac:dyDescent="0.2">
      <c r="R947" s="15"/>
    </row>
    <row r="948" spans="18:18" ht="15.75" customHeight="1" x14ac:dyDescent="0.2">
      <c r="R948" s="15"/>
    </row>
    <row r="949" spans="18:18" ht="15.75" customHeight="1" x14ac:dyDescent="0.2">
      <c r="R949" s="15"/>
    </row>
    <row r="950" spans="18:18" ht="15.75" customHeight="1" x14ac:dyDescent="0.2">
      <c r="R950" s="15"/>
    </row>
    <row r="951" spans="18:18" ht="15.75" customHeight="1" x14ac:dyDescent="0.2">
      <c r="R951" s="15"/>
    </row>
    <row r="952" spans="18:18" ht="15.75" customHeight="1" x14ac:dyDescent="0.2">
      <c r="R952" s="15"/>
    </row>
    <row r="953" spans="18:18" ht="15.75" customHeight="1" x14ac:dyDescent="0.2">
      <c r="R953" s="15"/>
    </row>
    <row r="954" spans="18:18" ht="15.75" customHeight="1" x14ac:dyDescent="0.2">
      <c r="R954" s="15"/>
    </row>
    <row r="955" spans="18:18" ht="15.75" customHeight="1" x14ac:dyDescent="0.2">
      <c r="R955" s="15"/>
    </row>
    <row r="956" spans="18:18" ht="15.75" customHeight="1" x14ac:dyDescent="0.2">
      <c r="R956" s="15"/>
    </row>
    <row r="957" spans="18:18" ht="15.75" customHeight="1" x14ac:dyDescent="0.2">
      <c r="R957" s="15"/>
    </row>
    <row r="958" spans="18:18" ht="15.75" customHeight="1" x14ac:dyDescent="0.2">
      <c r="R958" s="15"/>
    </row>
    <row r="959" spans="18:18" ht="15.75" customHeight="1" x14ac:dyDescent="0.2">
      <c r="R959" s="15"/>
    </row>
    <row r="960" spans="18:18" ht="15.75" customHeight="1" x14ac:dyDescent="0.2">
      <c r="R960" s="15"/>
    </row>
    <row r="961" spans="18:18" ht="15.75" customHeight="1" x14ac:dyDescent="0.2">
      <c r="R961" s="15"/>
    </row>
    <row r="962" spans="18:18" ht="15.75" customHeight="1" x14ac:dyDescent="0.2">
      <c r="R962" s="15"/>
    </row>
    <row r="963" spans="18:18" ht="15.75" customHeight="1" x14ac:dyDescent="0.2">
      <c r="R963" s="15"/>
    </row>
    <row r="964" spans="18:18" ht="15.75" customHeight="1" x14ac:dyDescent="0.2">
      <c r="R964" s="15"/>
    </row>
    <row r="965" spans="18:18" ht="15.75" customHeight="1" x14ac:dyDescent="0.2">
      <c r="R965" s="15"/>
    </row>
    <row r="966" spans="18:18" ht="15.75" customHeight="1" x14ac:dyDescent="0.2">
      <c r="R966" s="15"/>
    </row>
    <row r="967" spans="18:18" ht="15.75" customHeight="1" x14ac:dyDescent="0.2">
      <c r="R967" s="15"/>
    </row>
    <row r="968" spans="18:18" ht="15.75" customHeight="1" x14ac:dyDescent="0.2">
      <c r="R968" s="15"/>
    </row>
    <row r="969" spans="18:18" ht="15.75" customHeight="1" x14ac:dyDescent="0.2">
      <c r="R969" s="15"/>
    </row>
    <row r="970" spans="18:18" ht="15.75" customHeight="1" x14ac:dyDescent="0.2">
      <c r="R970" s="15"/>
    </row>
    <row r="971" spans="18:18" ht="15.75" customHeight="1" x14ac:dyDescent="0.2">
      <c r="R971" s="15"/>
    </row>
    <row r="972" spans="18:18" ht="15.75" customHeight="1" x14ac:dyDescent="0.2">
      <c r="R972" s="15"/>
    </row>
    <row r="973" spans="18:18" ht="15.75" customHeight="1" x14ac:dyDescent="0.2">
      <c r="R973" s="15"/>
    </row>
    <row r="974" spans="18:18" ht="15.75" customHeight="1" x14ac:dyDescent="0.2">
      <c r="R974" s="15"/>
    </row>
    <row r="975" spans="18:18" ht="15.75" customHeight="1" x14ac:dyDescent="0.2">
      <c r="R975" s="15"/>
    </row>
    <row r="976" spans="18:18" ht="15.75" customHeight="1" x14ac:dyDescent="0.2">
      <c r="R976" s="15"/>
    </row>
    <row r="977" spans="18:18" ht="15.75" customHeight="1" x14ac:dyDescent="0.2">
      <c r="R977" s="15"/>
    </row>
    <row r="978" spans="18:18" ht="15.75" customHeight="1" x14ac:dyDescent="0.2">
      <c r="R978" s="15"/>
    </row>
    <row r="979" spans="18:18" ht="15.75" customHeight="1" x14ac:dyDescent="0.2">
      <c r="R979" s="15"/>
    </row>
    <row r="980" spans="18:18" ht="15.75" customHeight="1" x14ac:dyDescent="0.2">
      <c r="R980" s="15"/>
    </row>
    <row r="981" spans="18:18" ht="15.75" customHeight="1" x14ac:dyDescent="0.2">
      <c r="R981" s="15"/>
    </row>
    <row r="982" spans="18:18" ht="15.75" customHeight="1" x14ac:dyDescent="0.2">
      <c r="R982" s="15"/>
    </row>
    <row r="983" spans="18:18" ht="15.75" customHeight="1" x14ac:dyDescent="0.2">
      <c r="R983" s="15"/>
    </row>
    <row r="984" spans="18:18" ht="15.75" customHeight="1" x14ac:dyDescent="0.2">
      <c r="R984" s="15"/>
    </row>
    <row r="985" spans="18:18" ht="15.75" customHeight="1" x14ac:dyDescent="0.2">
      <c r="R985" s="15"/>
    </row>
    <row r="986" spans="18:18" ht="15.75" customHeight="1" x14ac:dyDescent="0.2">
      <c r="R986" s="15"/>
    </row>
    <row r="987" spans="18:18" ht="15.75" customHeight="1" x14ac:dyDescent="0.2">
      <c r="R987" s="15"/>
    </row>
    <row r="988" spans="18:18" ht="15.75" customHeight="1" x14ac:dyDescent="0.2">
      <c r="R988" s="15"/>
    </row>
    <row r="989" spans="18:18" ht="15.75" customHeight="1" x14ac:dyDescent="0.2">
      <c r="R989" s="15"/>
    </row>
    <row r="990" spans="18:18" ht="15.75" customHeight="1" x14ac:dyDescent="0.2">
      <c r="R990" s="15"/>
    </row>
    <row r="991" spans="18:18" ht="15.75" customHeight="1" x14ac:dyDescent="0.2">
      <c r="R991" s="15"/>
    </row>
    <row r="992" spans="18:18" ht="15.75" customHeight="1" x14ac:dyDescent="0.2">
      <c r="R992" s="15"/>
    </row>
    <row r="993" spans="18:18" ht="15.75" customHeight="1" x14ac:dyDescent="0.2">
      <c r="R993" s="15"/>
    </row>
    <row r="994" spans="18:18" ht="15.75" customHeight="1" x14ac:dyDescent="0.2">
      <c r="R994" s="15"/>
    </row>
    <row r="995" spans="18:18" ht="15.75" customHeight="1" x14ac:dyDescent="0.2">
      <c r="R995" s="15"/>
    </row>
    <row r="996" spans="18:18" ht="15.75" customHeight="1" x14ac:dyDescent="0.2">
      <c r="R996" s="15"/>
    </row>
    <row r="997" spans="18:18" ht="15.75" customHeight="1" x14ac:dyDescent="0.2">
      <c r="R997" s="15"/>
    </row>
    <row r="998" spans="18:18" ht="15.75" customHeight="1" x14ac:dyDescent="0.2">
      <c r="R998" s="15"/>
    </row>
    <row r="999" spans="18:18" ht="15.75" customHeight="1" x14ac:dyDescent="0.2">
      <c r="R999" s="15"/>
    </row>
    <row r="1000" spans="18:18" ht="15.75" customHeight="1" x14ac:dyDescent="0.2">
      <c r="R1000" s="15"/>
    </row>
  </sheetData>
  <mergeCells count="33">
    <mergeCell ref="AG1:AG2"/>
    <mergeCell ref="W1:W2"/>
    <mergeCell ref="X1:X2"/>
    <mergeCell ref="Y1:Y2"/>
    <mergeCell ref="Z1:Z2"/>
    <mergeCell ref="AA1:AA2"/>
    <mergeCell ref="AB1:AB2"/>
    <mergeCell ref="AC1:AC2"/>
    <mergeCell ref="U1:U2"/>
    <mergeCell ref="V1:V2"/>
    <mergeCell ref="AD1:AD2"/>
    <mergeCell ref="AE1:AE2"/>
    <mergeCell ref="AF1:AF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G1:G2"/>
    <mergeCell ref="H1:H2"/>
    <mergeCell ref="A3:B3"/>
    <mergeCell ref="I1:I2"/>
    <mergeCell ref="J1:J2"/>
    <mergeCell ref="A1:B1"/>
    <mergeCell ref="C1:C2"/>
    <mergeCell ref="D1:D2"/>
    <mergeCell ref="E1:E2"/>
    <mergeCell ref="F1:F2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PL-IL-KCHB12X16-BR</vt:lpstr>
      <vt:lpstr>PL-IL-KCHB12X16-WH</vt:lpstr>
      <vt:lpstr>PL-IL-KCHB12X16-WHW</vt:lpstr>
      <vt:lpstr>PL-IL-KCHB18X22-BR</vt:lpstr>
      <vt:lpstr>PL-IL-KCHB18X22-GR</vt:lpstr>
      <vt:lpstr>PL-IL-KCHB18X22-WH</vt:lpstr>
      <vt:lpstr>PL-IL-KCHB20X30-BR</vt:lpstr>
      <vt:lpstr>PL-IL-KCHB20X30-GR</vt:lpstr>
      <vt:lpstr>PL-IL-KCHB20X30-WH</vt:lpstr>
      <vt:lpstr>PL-IL-MB21X30-BK-FN</vt:lpstr>
      <vt:lpstr>PL-IL-MB21X30-CHR-FN</vt:lpstr>
      <vt:lpstr>PL-IL-MB21X30-OAK-FN</vt:lpstr>
      <vt:lpstr>PL-IL-MB21X30-WH-FN</vt:lpstr>
      <vt:lpstr>PL-IL-MB21X30-WHT-FN</vt:lpstr>
      <vt:lpstr>PL-IL-MB-BK</vt:lpstr>
      <vt:lpstr>PL-IL-MB-CHR</vt:lpstr>
      <vt:lpstr>PL-IL-MB-DIY</vt:lpstr>
      <vt:lpstr>PL-IL-MB-OAK</vt:lpstr>
      <vt:lpstr>PL-IL-MB-SGE</vt:lpstr>
      <vt:lpstr>PL-IL-MB-TUQ</vt:lpstr>
      <vt:lpstr>PL-IL-MB-WH</vt:lpstr>
      <vt:lpstr>PL-IL-MB-WHT</vt:lpstr>
      <vt:lpstr>PL-IL-MCHB5X6-8PK-BRN</vt:lpstr>
      <vt:lpstr>PL-IL-MCHB5X6-8PK-WHT</vt:lpstr>
      <vt:lpstr>PL-IL-ATS5X6-4PK-BRN</vt:lpstr>
      <vt:lpstr>PL-IL-ATS5X6-4PK-WHT</vt:lpstr>
      <vt:lpstr>PL-IL-ATS5X6-8PK-BRN</vt:lpstr>
      <vt:lpstr>PL-IL-ATS5X6-8PK-NAT</vt:lpstr>
      <vt:lpstr>PL-IL-ATS5X6-8PK-WHT</vt:lpstr>
      <vt:lpstr>PL-IL-ATS8X10-4PK-BRN</vt:lpstr>
      <vt:lpstr>PL-IL-ATS8X10-4PK-NAT</vt:lpstr>
      <vt:lpstr>PL-IL-ATS8X10-4PK-WHT</vt:lpstr>
      <vt:lpstr>PL-IL-TTMB-WHT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2021-07-19T15:34:38Z</dcterms:modified>
</cp:coreProperties>
</file>