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906778DD-2FD7-2E46-A866-BA1DFB9F963B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PL-IL-BTL16A-12" sheetId="1" r:id="rId1"/>
    <sheet name="PL-IL-BTL16C-12-A" sheetId="2" r:id="rId2"/>
    <sheet name="PL-IL-BTL32A-6PK" sheetId="3" r:id="rId3"/>
    <sheet name="PL-IL-BTL32C-6PK" sheetId="4" r:id="rId4"/>
    <sheet name="PL-IL-SQBTL8C-12PK" sheetId="5" r:id="rId5"/>
    <sheet name="PL-IL-GRO64A-2PK" sheetId="6" r:id="rId6"/>
    <sheet name="PL-IL-GRO64A-3PK" sheetId="7" r:id="rId7"/>
    <sheet name="PL-IL-CM30X48LW-A-RL" sheetId="8" r:id="rId8"/>
    <sheet name="PL-IL-CM30X48RW-2PK-FN-RL" sheetId="9" r:id="rId9"/>
    <sheet name="PL-IL-CM30X48RW-RL" sheetId="10" r:id="rId10"/>
    <sheet name="PL-IL-CM36X48LW-A-RL" sheetId="11" r:id="rId11"/>
    <sheet name="PL-IL-CM36X48RW-2PK-FN-RL" sheetId="12" r:id="rId12"/>
    <sheet name="PL-IL-CM36X48RW-RL" sheetId="13" r:id="rId13"/>
    <sheet name="PL-IL-CM59X47RW" sheetId="14" r:id="rId14"/>
    <sheet name="PL-IL-DM17X28PU-EGBK" sheetId="15" r:id="rId15"/>
    <sheet name="PL-IL-DM17X28PU-GRBH" sheetId="16" r:id="rId16"/>
    <sheet name="PL-IL-DM17X36FELT-BK" sheetId="17" r:id="rId17"/>
    <sheet name="PL-IL-DM17X36NFELT-GRY" sheetId="18" r:id="rId18"/>
    <sheet name="PL-IL-DM17X36PU-BHMV" sheetId="19" r:id="rId19"/>
    <sheet name="PL-IL-DM17X36PU-EGCK" sheetId="20" r:id="rId20"/>
    <sheet name="PL-IL-DM17X36PU-GRBK" sheetId="21" r:id="rId21"/>
    <sheet name="PL-IL-DM17X36PU-GRLB" sheetId="22" r:id="rId22"/>
    <sheet name="PL-IL-DM17X36PU-MVBK" sheetId="23" r:id="rId23"/>
    <sheet name="PL-IL-DM17X36PU-TNBL" sheetId="24" r:id="rId24"/>
    <sheet name="PL-IL-DM17X36RW" sheetId="25" r:id="rId25"/>
    <sheet name="PL-IL-DM23X47PU-BHMV" sheetId="26" r:id="rId26"/>
    <sheet name="PL-IL-DM23X47PUC-EGCK" sheetId="27" r:id="rId27"/>
    <sheet name="PL-IL-DM23X47PUC-BKCK" sheetId="28" r:id="rId28"/>
    <sheet name="PL-IL-DM23X47PU-EGBK" sheetId="29" r:id="rId29"/>
    <sheet name="PL-IL-DM23X47PU-GRBH" sheetId="30" r:id="rId30"/>
    <sheet name="PL-IL-DM23X47PU-GRBK" sheetId="31" r:id="rId31"/>
    <sheet name="PL-IL-DM23X47PU-GRLB" sheetId="32" r:id="rId32"/>
    <sheet name="PL-IL-DM23X47PU-MVBK" sheetId="33" r:id="rId33"/>
    <sheet name="PL-IL-DM23X47RW-FN-RL" sheetId="34" r:id="rId34"/>
    <sheet name="PL-IL-MC2S-30" sheetId="35" r:id="rId35"/>
    <sheet name="PL-IL-SER2P3B" sheetId="36" r:id="rId36"/>
    <sheet name="PL-IL-MRH-BK-4PK" sheetId="37" r:id="rId37"/>
    <sheet name="PL-IL-MRH-BK-6PK" sheetId="38" r:id="rId38"/>
    <sheet name="PL-IL-MRH-BK-8PK" sheetId="39" r:id="rId39"/>
    <sheet name="PL-IL-ARH-BK-6PK" sheetId="40" r:id="rId40"/>
    <sheet name="PL-IL-ARH-CL-6PK" sheetId="41" r:id="rId41"/>
    <sheet name="PL-IL-ARH-CL-8PK" sheetId="42" r:id="rId42"/>
    <sheet name="PL-IL-MS15X11X4-VTD-2PK" sheetId="43" r:id="rId43"/>
    <sheet name="PL-IL-MS15X9X5-MADJ-2PK" sheetId="44" r:id="rId44"/>
    <sheet name="PL-IL-MS15X9X5-MADJ-2PK-SL" sheetId="45" r:id="rId45"/>
    <sheet name="PL-IL-MS16X9.5X3.5-GL-2PK" sheetId="46" r:id="rId46"/>
    <sheet name="PL-IL-MS16X9.5X3.5-GLBK-2PK" sheetId="47" r:id="rId47"/>
    <sheet name="PL-IL-CPUC-BL" sheetId="48" r:id="rId48"/>
    <sheet name="PL-IL-CPUU-360-BL" sheetId="49" r:id="rId49"/>
    <sheet name="PL-IL-CPUU-STA-SIL" sheetId="50" r:id="rId50"/>
    <sheet name="PL-IL-GALV-FP-13x6-3PK" sheetId="51" r:id="rId51"/>
    <sheet name="PL-IL-GALV-FP-9x5-3PK" sheetId="52" r:id="rId52"/>
    <sheet name="PL-IL-GALV-SER-2T" sheetId="53" r:id="rId53"/>
    <sheet name="PL-IL-GALV-SER-3T" sheetId="54" r:id="rId54"/>
    <sheet name="PL-IL-GALV-SERCU-2T" sheetId="55" r:id="rId55"/>
    <sheet name="PL-IL-GALV-SERCU-3T" sheetId="56" r:id="rId56"/>
    <sheet name="PL-IL-GALV-SERFL-2T" sheetId="57" r:id="rId57"/>
    <sheet name="PL-IL-GALV-SERFL-3T" sheetId="58" r:id="rId58"/>
    <sheet name="PL-IL-GALV-TB25x15x13" sheetId="59" r:id="rId59"/>
    <sheet name="PL-IL-GALV-TB5X6" sheetId="60" r:id="rId60"/>
    <sheet name="PL-IL-GALV-TB5X6-2PK" sheetId="61" r:id="rId61"/>
    <sheet name="PL-IL-GALV-WMP-10x6-2PK" sheetId="62" r:id="rId62"/>
    <sheet name="PL-IL-FRUIT-SER-2T" sheetId="63" r:id="rId63"/>
    <sheet name="PL-IL-FRUIT-SER-3T" sheetId="64" r:id="rId64"/>
    <sheet name="PL-IL-WD15X25PK1-SSP-FN" sheetId="65" r:id="rId65"/>
    <sheet name="PL-IL-WD15X25PK1-SSP-NSD-FN" sheetId="66" r:id="rId66"/>
    <sheet name="PL-IL-WD15X25-SSP" sheetId="67" r:id="rId67"/>
    <sheet name="PL-IL-2GAL-SSP" sheetId="68" r:id="rId68"/>
    <sheet name="PL-IL-1GALI-SSP-NSD" sheetId="69" r:id="rId69"/>
    <sheet name="PL-IL-2GAL-SSP-NSD" sheetId="70" r:id="rId70"/>
    <sheet name="PL-IL-2GAL-SSP-BSTD" sheetId="71" r:id="rId71"/>
    <sheet name="PL-IL-2GAL2PK-SSP" sheetId="72" r:id="rId72"/>
    <sheet name="PL-IL-DM17X36PU-BKCK" sheetId="73" r:id="rId73"/>
    <sheet name="PL-IL-DM23X47PU-TNBL" sheetId="74" r:id="rId74"/>
    <sheet name="PL-IL-GALV-3FPTRY" sheetId="75" r:id="rId75"/>
    <sheet name="PL-IL-GALV-WMP-16x8-2PK" sheetId="76" r:id="rId76"/>
  </sheets>
  <calcPr calcId="191029"/>
</workbook>
</file>

<file path=xl/calcChain.xml><?xml version="1.0" encoding="utf-8"?>
<calcChain xmlns="http://schemas.openxmlformats.org/spreadsheetml/2006/main">
  <c r="R32" i="2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67"/>
  <c r="R32" i="68"/>
  <c r="R32" i="69"/>
  <c r="R32" i="70"/>
  <c r="R32" i="71"/>
  <c r="R32" i="72"/>
  <c r="R32" i="73"/>
  <c r="R32" i="74"/>
  <c r="R32" i="75"/>
  <c r="R32" i="76"/>
  <c r="R32" i="1"/>
  <c r="AD32" i="76"/>
  <c r="AB32" i="76"/>
  <c r="Y32" i="76"/>
  <c r="X32" i="76"/>
  <c r="V32" i="76"/>
  <c r="U32" i="76"/>
  <c r="T32" i="76"/>
  <c r="Q32" i="76"/>
  <c r="P32" i="76"/>
  <c r="O32" i="76"/>
  <c r="M32" i="76"/>
  <c r="J32" i="76"/>
  <c r="K32" i="76" s="1"/>
  <c r="H32" i="76"/>
  <c r="C32" i="76"/>
  <c r="AB31" i="76"/>
  <c r="AD31" i="76" s="1"/>
  <c r="J31" i="76" s="1"/>
  <c r="Y31" i="76"/>
  <c r="X31" i="76"/>
  <c r="P31" i="76"/>
  <c r="O31" i="76"/>
  <c r="Q31" i="76" s="1"/>
  <c r="M31" i="76"/>
  <c r="H31" i="76"/>
  <c r="C31" i="76"/>
  <c r="AB30" i="76"/>
  <c r="AD30" i="76" s="1"/>
  <c r="J30" i="76" s="1"/>
  <c r="Y30" i="76"/>
  <c r="X30" i="76"/>
  <c r="P30" i="76"/>
  <c r="O30" i="76"/>
  <c r="Q30" i="76" s="1"/>
  <c r="M30" i="76"/>
  <c r="H30" i="76"/>
  <c r="C30" i="76"/>
  <c r="AB29" i="76"/>
  <c r="AD29" i="76" s="1"/>
  <c r="J29" i="76" s="1"/>
  <c r="Y29" i="76"/>
  <c r="X29" i="76"/>
  <c r="Q29" i="76"/>
  <c r="P29" i="76"/>
  <c r="O29" i="76"/>
  <c r="M29" i="76"/>
  <c r="H29" i="76"/>
  <c r="C29" i="76"/>
  <c r="AD28" i="76"/>
  <c r="J28" i="76" s="1"/>
  <c r="AB28" i="76"/>
  <c r="Y28" i="76"/>
  <c r="X28" i="76"/>
  <c r="P28" i="76"/>
  <c r="O28" i="76"/>
  <c r="Q28" i="76" s="1"/>
  <c r="M28" i="76"/>
  <c r="H28" i="76"/>
  <c r="C28" i="76"/>
  <c r="AB27" i="76"/>
  <c r="AD27" i="76" s="1"/>
  <c r="J27" i="76" s="1"/>
  <c r="K27" i="76" s="1"/>
  <c r="Y27" i="76"/>
  <c r="X27" i="76"/>
  <c r="Q27" i="76"/>
  <c r="P27" i="76"/>
  <c r="O27" i="76"/>
  <c r="M27" i="76"/>
  <c r="I27" i="76"/>
  <c r="H27" i="76"/>
  <c r="C27" i="76"/>
  <c r="AD26" i="76"/>
  <c r="J26" i="76" s="1"/>
  <c r="AB26" i="76"/>
  <c r="Y26" i="76"/>
  <c r="X26" i="76"/>
  <c r="P26" i="76"/>
  <c r="Q26" i="76" s="1"/>
  <c r="O26" i="76"/>
  <c r="M26" i="76"/>
  <c r="H26" i="76"/>
  <c r="C26" i="76"/>
  <c r="AD25" i="76"/>
  <c r="J25" i="76" s="1"/>
  <c r="I25" i="76" s="1"/>
  <c r="AB25" i="76"/>
  <c r="Y25" i="76"/>
  <c r="X25" i="76"/>
  <c r="P25" i="76"/>
  <c r="O25" i="76"/>
  <c r="Q25" i="76" s="1"/>
  <c r="M25" i="76"/>
  <c r="H25" i="76"/>
  <c r="C25" i="76"/>
  <c r="AB24" i="76"/>
  <c r="AD24" i="76" s="1"/>
  <c r="J24" i="76" s="1"/>
  <c r="Y24" i="76"/>
  <c r="X24" i="76"/>
  <c r="Q24" i="76"/>
  <c r="P24" i="76"/>
  <c r="O24" i="76"/>
  <c r="M24" i="76"/>
  <c r="H24" i="76"/>
  <c r="C24" i="76"/>
  <c r="AD23" i="76"/>
  <c r="J23" i="76" s="1"/>
  <c r="AB23" i="76"/>
  <c r="Y23" i="76"/>
  <c r="X23" i="76"/>
  <c r="P23" i="76"/>
  <c r="O23" i="76"/>
  <c r="Q23" i="76" s="1"/>
  <c r="M23" i="76"/>
  <c r="H23" i="76"/>
  <c r="C23" i="76"/>
  <c r="AB22" i="76"/>
  <c r="AD22" i="76" s="1"/>
  <c r="Y22" i="76"/>
  <c r="X22" i="76"/>
  <c r="P22" i="76"/>
  <c r="O22" i="76"/>
  <c r="Q22" i="76" s="1"/>
  <c r="M22" i="76"/>
  <c r="J22" i="76"/>
  <c r="H22" i="76"/>
  <c r="C22" i="76"/>
  <c r="AB21" i="76"/>
  <c r="AD21" i="76" s="1"/>
  <c r="J21" i="76" s="1"/>
  <c r="Y21" i="76"/>
  <c r="X21" i="76"/>
  <c r="Q21" i="76"/>
  <c r="P21" i="76"/>
  <c r="O21" i="76"/>
  <c r="M21" i="76"/>
  <c r="H21" i="76"/>
  <c r="C21" i="76"/>
  <c r="AD20" i="76"/>
  <c r="J20" i="76" s="1"/>
  <c r="AB20" i="76"/>
  <c r="Y20" i="76"/>
  <c r="X20" i="76"/>
  <c r="P20" i="76"/>
  <c r="O20" i="76"/>
  <c r="Q20" i="76" s="1"/>
  <c r="M20" i="76"/>
  <c r="H20" i="76"/>
  <c r="C20" i="76"/>
  <c r="AB19" i="76"/>
  <c r="AD19" i="76" s="1"/>
  <c r="J19" i="76" s="1"/>
  <c r="K19" i="76" s="1"/>
  <c r="Y19" i="76"/>
  <c r="X19" i="76"/>
  <c r="Q19" i="76"/>
  <c r="P19" i="76"/>
  <c r="O19" i="76"/>
  <c r="M19" i="76"/>
  <c r="H19" i="76"/>
  <c r="C19" i="76"/>
  <c r="AB18" i="76"/>
  <c r="AD18" i="76" s="1"/>
  <c r="J18" i="76" s="1"/>
  <c r="Y18" i="76"/>
  <c r="X18" i="76"/>
  <c r="P18" i="76"/>
  <c r="Q18" i="76" s="1"/>
  <c r="O18" i="76"/>
  <c r="M18" i="76"/>
  <c r="H18" i="76"/>
  <c r="C18" i="76"/>
  <c r="AD17" i="76"/>
  <c r="J17" i="76" s="1"/>
  <c r="I17" i="76" s="1"/>
  <c r="AB17" i="76"/>
  <c r="Y17" i="76"/>
  <c r="X17" i="76"/>
  <c r="P17" i="76"/>
  <c r="O17" i="76"/>
  <c r="Q17" i="76" s="1"/>
  <c r="M17" i="76"/>
  <c r="K17" i="76"/>
  <c r="H17" i="76"/>
  <c r="C17" i="76"/>
  <c r="AB16" i="76"/>
  <c r="AD16" i="76" s="1"/>
  <c r="J16" i="76" s="1"/>
  <c r="Y16" i="76"/>
  <c r="X16" i="76"/>
  <c r="Q16" i="76"/>
  <c r="P16" i="76"/>
  <c r="O16" i="76"/>
  <c r="M16" i="76"/>
  <c r="H16" i="76"/>
  <c r="C16" i="76"/>
  <c r="AD15" i="76"/>
  <c r="J15" i="76" s="1"/>
  <c r="AB15" i="76"/>
  <c r="Y15" i="76"/>
  <c r="X15" i="76"/>
  <c r="P15" i="76"/>
  <c r="O15" i="76"/>
  <c r="Q15" i="76" s="1"/>
  <c r="M15" i="76"/>
  <c r="H15" i="76"/>
  <c r="C15" i="76"/>
  <c r="AB14" i="76"/>
  <c r="AD14" i="76" s="1"/>
  <c r="Y14" i="76"/>
  <c r="X14" i="76"/>
  <c r="P14" i="76"/>
  <c r="O14" i="76"/>
  <c r="Q14" i="76" s="1"/>
  <c r="M14" i="76"/>
  <c r="J14" i="76"/>
  <c r="H14" i="76"/>
  <c r="C14" i="76"/>
  <c r="AB13" i="76"/>
  <c r="AD13" i="76" s="1"/>
  <c r="J13" i="76" s="1"/>
  <c r="Y13" i="76"/>
  <c r="X13" i="76"/>
  <c r="Q13" i="76"/>
  <c r="P13" i="76"/>
  <c r="O13" i="76"/>
  <c r="M13" i="76"/>
  <c r="H13" i="76"/>
  <c r="C13" i="76"/>
  <c r="AD12" i="76"/>
  <c r="J12" i="76" s="1"/>
  <c r="AB12" i="76"/>
  <c r="Y12" i="76"/>
  <c r="X12" i="76"/>
  <c r="P12" i="76"/>
  <c r="O12" i="76"/>
  <c r="Q12" i="76" s="1"/>
  <c r="M12" i="76"/>
  <c r="H12" i="76"/>
  <c r="C12" i="76"/>
  <c r="AB11" i="76"/>
  <c r="AD11" i="76" s="1"/>
  <c r="J11" i="76" s="1"/>
  <c r="K11" i="76" s="1"/>
  <c r="Y11" i="76"/>
  <c r="X11" i="76"/>
  <c r="Q11" i="76"/>
  <c r="P11" i="76"/>
  <c r="O11" i="76"/>
  <c r="M11" i="76"/>
  <c r="H11" i="76"/>
  <c r="C11" i="76"/>
  <c r="AB10" i="76"/>
  <c r="AD10" i="76" s="1"/>
  <c r="J10" i="76" s="1"/>
  <c r="Y10" i="76"/>
  <c r="X10" i="76"/>
  <c r="P10" i="76"/>
  <c r="Q10" i="76" s="1"/>
  <c r="O10" i="76"/>
  <c r="M10" i="76"/>
  <c r="H10" i="76"/>
  <c r="C10" i="76"/>
  <c r="AD9" i="76"/>
  <c r="J9" i="76" s="1"/>
  <c r="AB9" i="76"/>
  <c r="Y9" i="76"/>
  <c r="X9" i="76"/>
  <c r="P9" i="76"/>
  <c r="O9" i="76"/>
  <c r="Q9" i="76" s="1"/>
  <c r="M9" i="76"/>
  <c r="H9" i="76"/>
  <c r="C9" i="76"/>
  <c r="AB8" i="76"/>
  <c r="AD8" i="76" s="1"/>
  <c r="J8" i="76" s="1"/>
  <c r="Y8" i="76"/>
  <c r="X8" i="76"/>
  <c r="Q8" i="76"/>
  <c r="P8" i="76"/>
  <c r="O8" i="76"/>
  <c r="M8" i="76"/>
  <c r="H8" i="76"/>
  <c r="C8" i="76"/>
  <c r="AD7" i="76"/>
  <c r="J7" i="76" s="1"/>
  <c r="AB7" i="76"/>
  <c r="Y7" i="76"/>
  <c r="X7" i="76"/>
  <c r="P7" i="76"/>
  <c r="O7" i="76"/>
  <c r="Q7" i="76" s="1"/>
  <c r="M7" i="76"/>
  <c r="H7" i="76"/>
  <c r="C7" i="76"/>
  <c r="AB6" i="76"/>
  <c r="AD6" i="76" s="1"/>
  <c r="Y6" i="76"/>
  <c r="X6" i="76"/>
  <c r="P6" i="76"/>
  <c r="O6" i="76"/>
  <c r="Q6" i="76" s="1"/>
  <c r="M6" i="76"/>
  <c r="J6" i="76"/>
  <c r="H6" i="76"/>
  <c r="C6" i="76"/>
  <c r="AB5" i="76"/>
  <c r="AD5" i="76" s="1"/>
  <c r="J5" i="76" s="1"/>
  <c r="Y5" i="76"/>
  <c r="X5" i="76"/>
  <c r="Q5" i="76"/>
  <c r="P5" i="76"/>
  <c r="O5" i="76"/>
  <c r="M5" i="76"/>
  <c r="H5" i="76"/>
  <c r="C5" i="76"/>
  <c r="AD4" i="76"/>
  <c r="J4" i="76" s="1"/>
  <c r="AB4" i="76"/>
  <c r="Y4" i="76"/>
  <c r="X4" i="76"/>
  <c r="P4" i="76"/>
  <c r="O4" i="76"/>
  <c r="Q4" i="76" s="1"/>
  <c r="M4" i="76"/>
  <c r="H4" i="76"/>
  <c r="C4" i="76"/>
  <c r="AG3" i="76"/>
  <c r="AF3" i="76"/>
  <c r="W3" i="76"/>
  <c r="V3" i="76"/>
  <c r="U3" i="76"/>
  <c r="T3" i="76"/>
  <c r="O3" i="76"/>
  <c r="G3" i="76"/>
  <c r="H3" i="76" s="1"/>
  <c r="F3" i="76"/>
  <c r="D3" i="76"/>
  <c r="X3" i="76" s="1"/>
  <c r="C3" i="76"/>
  <c r="A2" i="76"/>
  <c r="A1" i="76"/>
  <c r="AD32" i="75"/>
  <c r="AB32" i="75"/>
  <c r="Y32" i="75"/>
  <c r="X32" i="75"/>
  <c r="V32" i="75"/>
  <c r="U32" i="75"/>
  <c r="T32" i="75"/>
  <c r="Q32" i="75"/>
  <c r="P32" i="75"/>
  <c r="O32" i="75"/>
  <c r="M32" i="75"/>
  <c r="J32" i="75"/>
  <c r="K32" i="75" s="1"/>
  <c r="H32" i="75"/>
  <c r="C32" i="75"/>
  <c r="AB31" i="75"/>
  <c r="AD31" i="75" s="1"/>
  <c r="J31" i="75" s="1"/>
  <c r="Y31" i="75"/>
  <c r="X31" i="75"/>
  <c r="P31" i="75"/>
  <c r="O31" i="75"/>
  <c r="Q31" i="75" s="1"/>
  <c r="M31" i="75"/>
  <c r="H31" i="75"/>
  <c r="C31" i="75"/>
  <c r="AB30" i="75"/>
  <c r="AD30" i="75" s="1"/>
  <c r="J30" i="75" s="1"/>
  <c r="Y30" i="75"/>
  <c r="X30" i="75"/>
  <c r="P30" i="75"/>
  <c r="O30" i="75"/>
  <c r="Q30" i="75" s="1"/>
  <c r="M30" i="75"/>
  <c r="H30" i="75"/>
  <c r="C30" i="75"/>
  <c r="AB29" i="75"/>
  <c r="AD29" i="75" s="1"/>
  <c r="J29" i="75" s="1"/>
  <c r="Y29" i="75"/>
  <c r="X29" i="75"/>
  <c r="Q29" i="75"/>
  <c r="P29" i="75"/>
  <c r="O29" i="75"/>
  <c r="M29" i="75"/>
  <c r="H29" i="75"/>
  <c r="C29" i="75"/>
  <c r="AD28" i="75"/>
  <c r="J28" i="75" s="1"/>
  <c r="AB28" i="75"/>
  <c r="Y28" i="75"/>
  <c r="X28" i="75"/>
  <c r="P28" i="75"/>
  <c r="O28" i="75"/>
  <c r="Q28" i="75" s="1"/>
  <c r="M28" i="75"/>
  <c r="H28" i="75"/>
  <c r="C28" i="75"/>
  <c r="AD27" i="75"/>
  <c r="J27" i="75" s="1"/>
  <c r="AB27" i="75"/>
  <c r="Y27" i="75"/>
  <c r="X27" i="75"/>
  <c r="P27" i="75"/>
  <c r="O27" i="75"/>
  <c r="Q27" i="75" s="1"/>
  <c r="M27" i="75"/>
  <c r="H27" i="75"/>
  <c r="C27" i="75"/>
  <c r="AD26" i="75"/>
  <c r="J26" i="75" s="1"/>
  <c r="AB26" i="75"/>
  <c r="Y26" i="75"/>
  <c r="X26" i="75"/>
  <c r="P26" i="75"/>
  <c r="Q26" i="75" s="1"/>
  <c r="O26" i="75"/>
  <c r="M26" i="75"/>
  <c r="H26" i="75"/>
  <c r="C26" i="75"/>
  <c r="AD25" i="75"/>
  <c r="J25" i="75" s="1"/>
  <c r="I25" i="75" s="1"/>
  <c r="AB25" i="75"/>
  <c r="Y25" i="75"/>
  <c r="X25" i="75"/>
  <c r="P25" i="75"/>
  <c r="O25" i="75"/>
  <c r="Q25" i="75" s="1"/>
  <c r="M25" i="75"/>
  <c r="K25" i="75"/>
  <c r="H25" i="75"/>
  <c r="C25" i="75"/>
  <c r="AB24" i="75"/>
  <c r="AD24" i="75" s="1"/>
  <c r="J24" i="75" s="1"/>
  <c r="Y24" i="75"/>
  <c r="X24" i="75"/>
  <c r="Q24" i="75"/>
  <c r="P24" i="75"/>
  <c r="O24" i="75"/>
  <c r="M24" i="75"/>
  <c r="H24" i="75"/>
  <c r="C24" i="75"/>
  <c r="AB23" i="75"/>
  <c r="AD23" i="75" s="1"/>
  <c r="J23" i="75" s="1"/>
  <c r="Y23" i="75"/>
  <c r="X23" i="75"/>
  <c r="P23" i="75"/>
  <c r="O23" i="75"/>
  <c r="Q23" i="75" s="1"/>
  <c r="M23" i="75"/>
  <c r="H23" i="75"/>
  <c r="C23" i="75"/>
  <c r="AB22" i="75"/>
  <c r="AD22" i="75" s="1"/>
  <c r="J22" i="75" s="1"/>
  <c r="Y22" i="75"/>
  <c r="X22" i="75"/>
  <c r="P22" i="75"/>
  <c r="O22" i="75"/>
  <c r="Q22" i="75" s="1"/>
  <c r="M22" i="75"/>
  <c r="H22" i="75"/>
  <c r="C22" i="75"/>
  <c r="AB21" i="75"/>
  <c r="AD21" i="75" s="1"/>
  <c r="J21" i="75" s="1"/>
  <c r="Y21" i="75"/>
  <c r="X21" i="75"/>
  <c r="Q21" i="75"/>
  <c r="P21" i="75"/>
  <c r="O21" i="75"/>
  <c r="M21" i="75"/>
  <c r="H21" i="75"/>
  <c r="C21" i="75"/>
  <c r="AD20" i="75"/>
  <c r="J20" i="75" s="1"/>
  <c r="AB20" i="75"/>
  <c r="Y20" i="75"/>
  <c r="X20" i="75"/>
  <c r="P20" i="75"/>
  <c r="O20" i="75"/>
  <c r="Q20" i="75" s="1"/>
  <c r="M20" i="75"/>
  <c r="H20" i="75"/>
  <c r="C20" i="75"/>
  <c r="AB19" i="75"/>
  <c r="AD19" i="75" s="1"/>
  <c r="J19" i="75" s="1"/>
  <c r="K19" i="75" s="1"/>
  <c r="Y19" i="75"/>
  <c r="X19" i="75"/>
  <c r="P19" i="75"/>
  <c r="O19" i="75"/>
  <c r="Q19" i="75" s="1"/>
  <c r="M19" i="75"/>
  <c r="I19" i="75"/>
  <c r="H19" i="75"/>
  <c r="C19" i="75"/>
  <c r="AD18" i="75"/>
  <c r="J18" i="75" s="1"/>
  <c r="AB18" i="75"/>
  <c r="Y18" i="75"/>
  <c r="X18" i="75"/>
  <c r="P18" i="75"/>
  <c r="Q18" i="75" s="1"/>
  <c r="O18" i="75"/>
  <c r="M18" i="75"/>
  <c r="H18" i="75"/>
  <c r="C18" i="75"/>
  <c r="AD17" i="75"/>
  <c r="J17" i="75" s="1"/>
  <c r="I17" i="75" s="1"/>
  <c r="AB17" i="75"/>
  <c r="Y17" i="75"/>
  <c r="X17" i="75"/>
  <c r="P17" i="75"/>
  <c r="O17" i="75"/>
  <c r="Q17" i="75" s="1"/>
  <c r="M17" i="75"/>
  <c r="K17" i="75"/>
  <c r="H17" i="75"/>
  <c r="C17" i="75"/>
  <c r="AB16" i="75"/>
  <c r="AD16" i="75" s="1"/>
  <c r="J16" i="75" s="1"/>
  <c r="Y16" i="75"/>
  <c r="X16" i="75"/>
  <c r="Q16" i="75"/>
  <c r="P16" i="75"/>
  <c r="O16" i="75"/>
  <c r="M16" i="75"/>
  <c r="H16" i="75"/>
  <c r="C16" i="75"/>
  <c r="AB15" i="75"/>
  <c r="AD15" i="75" s="1"/>
  <c r="J15" i="75" s="1"/>
  <c r="Y15" i="75"/>
  <c r="X15" i="75"/>
  <c r="P15" i="75"/>
  <c r="O15" i="75"/>
  <c r="Q15" i="75" s="1"/>
  <c r="M15" i="75"/>
  <c r="H15" i="75"/>
  <c r="C15" i="75"/>
  <c r="AB14" i="75"/>
  <c r="AD14" i="75" s="1"/>
  <c r="J14" i="75" s="1"/>
  <c r="Y14" i="75"/>
  <c r="X14" i="75"/>
  <c r="P14" i="75"/>
  <c r="O14" i="75"/>
  <c r="Q14" i="75" s="1"/>
  <c r="M14" i="75"/>
  <c r="H14" i="75"/>
  <c r="C14" i="75"/>
  <c r="AB13" i="75"/>
  <c r="AD13" i="75" s="1"/>
  <c r="J13" i="75" s="1"/>
  <c r="Y13" i="75"/>
  <c r="X13" i="75"/>
  <c r="Q13" i="75"/>
  <c r="P13" i="75"/>
  <c r="O13" i="75"/>
  <c r="M13" i="75"/>
  <c r="H13" i="75"/>
  <c r="C13" i="75"/>
  <c r="AD12" i="75"/>
  <c r="J12" i="75" s="1"/>
  <c r="AB12" i="75"/>
  <c r="Y12" i="75"/>
  <c r="X12" i="75"/>
  <c r="P12" i="75"/>
  <c r="O12" i="75"/>
  <c r="Q12" i="75" s="1"/>
  <c r="M12" i="75"/>
  <c r="H12" i="75"/>
  <c r="C12" i="75"/>
  <c r="AB11" i="75"/>
  <c r="AD11" i="75" s="1"/>
  <c r="J11" i="75" s="1"/>
  <c r="K11" i="75" s="1"/>
  <c r="Y11" i="75"/>
  <c r="X11" i="75"/>
  <c r="P11" i="75"/>
  <c r="Q11" i="75" s="1"/>
  <c r="O11" i="75"/>
  <c r="M11" i="75"/>
  <c r="I11" i="75"/>
  <c r="H11" i="75"/>
  <c r="C11" i="75"/>
  <c r="AD10" i="75"/>
  <c r="J10" i="75" s="1"/>
  <c r="AB10" i="75"/>
  <c r="Y10" i="75"/>
  <c r="X10" i="75"/>
  <c r="P10" i="75"/>
  <c r="Q10" i="75" s="1"/>
  <c r="O10" i="75"/>
  <c r="M10" i="75"/>
  <c r="H10" i="75"/>
  <c r="C10" i="75"/>
  <c r="AD9" i="75"/>
  <c r="J9" i="75" s="1"/>
  <c r="I9" i="75" s="1"/>
  <c r="AB9" i="75"/>
  <c r="Y9" i="75"/>
  <c r="X9" i="75"/>
  <c r="P9" i="75"/>
  <c r="O9" i="75"/>
  <c r="Q9" i="75" s="1"/>
  <c r="M9" i="75"/>
  <c r="K9" i="75"/>
  <c r="H9" i="75"/>
  <c r="C9" i="75"/>
  <c r="AB8" i="75"/>
  <c r="AD8" i="75" s="1"/>
  <c r="J8" i="75" s="1"/>
  <c r="Y8" i="75"/>
  <c r="X8" i="75"/>
  <c r="Q8" i="75"/>
  <c r="P8" i="75"/>
  <c r="O8" i="75"/>
  <c r="M8" i="75"/>
  <c r="H8" i="75"/>
  <c r="C8" i="75"/>
  <c r="AB7" i="75"/>
  <c r="AD7" i="75" s="1"/>
  <c r="J7" i="75" s="1"/>
  <c r="Y7" i="75"/>
  <c r="X7" i="75"/>
  <c r="P7" i="75"/>
  <c r="O7" i="75"/>
  <c r="Q7" i="75" s="1"/>
  <c r="M7" i="75"/>
  <c r="H7" i="75"/>
  <c r="C7" i="75"/>
  <c r="AB6" i="75"/>
  <c r="AD6" i="75" s="1"/>
  <c r="J6" i="75" s="1"/>
  <c r="Y6" i="75"/>
  <c r="X6" i="75"/>
  <c r="P6" i="75"/>
  <c r="O6" i="75"/>
  <c r="Q6" i="75" s="1"/>
  <c r="M6" i="75"/>
  <c r="H6" i="75"/>
  <c r="C6" i="75"/>
  <c r="AB5" i="75"/>
  <c r="AD5" i="75" s="1"/>
  <c r="J5" i="75" s="1"/>
  <c r="Y5" i="75"/>
  <c r="X5" i="75"/>
  <c r="Q5" i="75"/>
  <c r="P5" i="75"/>
  <c r="O5" i="75"/>
  <c r="M5" i="75"/>
  <c r="H5" i="75"/>
  <c r="C5" i="75"/>
  <c r="AD4" i="75"/>
  <c r="J4" i="75" s="1"/>
  <c r="AB4" i="75"/>
  <c r="Y4" i="75"/>
  <c r="X4" i="75"/>
  <c r="P4" i="75"/>
  <c r="O4" i="75"/>
  <c r="Q4" i="75" s="1"/>
  <c r="M4" i="75"/>
  <c r="H4" i="75"/>
  <c r="C4" i="75"/>
  <c r="AG3" i="75"/>
  <c r="AF3" i="75"/>
  <c r="W3" i="75"/>
  <c r="V3" i="75"/>
  <c r="U3" i="75"/>
  <c r="T3" i="75"/>
  <c r="O3" i="75"/>
  <c r="G3" i="75"/>
  <c r="H3" i="75" s="1"/>
  <c r="F3" i="75"/>
  <c r="D3" i="75"/>
  <c r="X3" i="75" s="1"/>
  <c r="C3" i="75"/>
  <c r="A2" i="75"/>
  <c r="A1" i="75"/>
  <c r="AD32" i="74"/>
  <c r="AB32" i="74"/>
  <c r="Y32" i="74"/>
  <c r="X32" i="74"/>
  <c r="V32" i="74"/>
  <c r="U32" i="74"/>
  <c r="T32" i="74"/>
  <c r="Q32" i="74"/>
  <c r="P32" i="74"/>
  <c r="O32" i="74"/>
  <c r="M32" i="74"/>
  <c r="J32" i="74"/>
  <c r="K32" i="74" s="1"/>
  <c r="H32" i="74"/>
  <c r="C32" i="74"/>
  <c r="AB31" i="74"/>
  <c r="AD31" i="74" s="1"/>
  <c r="J31" i="74" s="1"/>
  <c r="Y31" i="74"/>
  <c r="X31" i="74"/>
  <c r="P31" i="74"/>
  <c r="O31" i="74"/>
  <c r="Q31" i="74" s="1"/>
  <c r="M31" i="74"/>
  <c r="H31" i="74"/>
  <c r="C31" i="74"/>
  <c r="AB30" i="74"/>
  <c r="AD30" i="74" s="1"/>
  <c r="J30" i="74" s="1"/>
  <c r="Y30" i="74"/>
  <c r="X30" i="74"/>
  <c r="P30" i="74"/>
  <c r="O30" i="74"/>
  <c r="Q30" i="74" s="1"/>
  <c r="M30" i="74"/>
  <c r="H30" i="74"/>
  <c r="C30" i="74"/>
  <c r="AB29" i="74"/>
  <c r="AD29" i="74" s="1"/>
  <c r="J29" i="74" s="1"/>
  <c r="Y29" i="74"/>
  <c r="X29" i="74"/>
  <c r="Q29" i="74"/>
  <c r="P29" i="74"/>
  <c r="O29" i="74"/>
  <c r="M29" i="74"/>
  <c r="H29" i="74"/>
  <c r="C29" i="74"/>
  <c r="AD28" i="74"/>
  <c r="J28" i="74" s="1"/>
  <c r="AB28" i="74"/>
  <c r="Y28" i="74"/>
  <c r="X28" i="74"/>
  <c r="P28" i="74"/>
  <c r="O28" i="74"/>
  <c r="Q28" i="74" s="1"/>
  <c r="M28" i="74"/>
  <c r="H28" i="74"/>
  <c r="C28" i="74"/>
  <c r="AD27" i="74"/>
  <c r="J27" i="74" s="1"/>
  <c r="K27" i="74" s="1"/>
  <c r="AB27" i="74"/>
  <c r="Y27" i="74"/>
  <c r="X27" i="74"/>
  <c r="P27" i="74"/>
  <c r="O27" i="74"/>
  <c r="Q27" i="74" s="1"/>
  <c r="M27" i="74"/>
  <c r="H27" i="74"/>
  <c r="C27" i="74"/>
  <c r="AD26" i="74"/>
  <c r="J26" i="74" s="1"/>
  <c r="AB26" i="74"/>
  <c r="Y26" i="74"/>
  <c r="X26" i="74"/>
  <c r="P26" i="74"/>
  <c r="Q26" i="74" s="1"/>
  <c r="O26" i="74"/>
  <c r="M26" i="74"/>
  <c r="H26" i="74"/>
  <c r="C26" i="74"/>
  <c r="AD25" i="74"/>
  <c r="J25" i="74" s="1"/>
  <c r="I25" i="74" s="1"/>
  <c r="AB25" i="74"/>
  <c r="Y25" i="74"/>
  <c r="X25" i="74"/>
  <c r="P25" i="74"/>
  <c r="O25" i="74"/>
  <c r="Q25" i="74" s="1"/>
  <c r="M25" i="74"/>
  <c r="H25" i="74"/>
  <c r="C25" i="74"/>
  <c r="AB24" i="74"/>
  <c r="AD24" i="74" s="1"/>
  <c r="J24" i="74" s="1"/>
  <c r="Y24" i="74"/>
  <c r="X24" i="74"/>
  <c r="Q24" i="74"/>
  <c r="P24" i="74"/>
  <c r="O24" i="74"/>
  <c r="M24" i="74"/>
  <c r="H24" i="74"/>
  <c r="C24" i="74"/>
  <c r="AB23" i="74"/>
  <c r="AD23" i="74" s="1"/>
  <c r="J23" i="74" s="1"/>
  <c r="Y23" i="74"/>
  <c r="X23" i="74"/>
  <c r="P23" i="74"/>
  <c r="O23" i="74"/>
  <c r="Q23" i="74" s="1"/>
  <c r="M23" i="74"/>
  <c r="H23" i="74"/>
  <c r="C23" i="74"/>
  <c r="AB22" i="74"/>
  <c r="AD22" i="74" s="1"/>
  <c r="J22" i="74" s="1"/>
  <c r="Y22" i="74"/>
  <c r="X22" i="74"/>
  <c r="P22" i="74"/>
  <c r="O22" i="74"/>
  <c r="Q22" i="74" s="1"/>
  <c r="M22" i="74"/>
  <c r="H22" i="74"/>
  <c r="C22" i="74"/>
  <c r="AB21" i="74"/>
  <c r="AD21" i="74" s="1"/>
  <c r="J21" i="74" s="1"/>
  <c r="Y21" i="74"/>
  <c r="X21" i="74"/>
  <c r="Q21" i="74"/>
  <c r="P21" i="74"/>
  <c r="O21" i="74"/>
  <c r="M21" i="74"/>
  <c r="H21" i="74"/>
  <c r="C21" i="74"/>
  <c r="AD20" i="74"/>
  <c r="J20" i="74" s="1"/>
  <c r="AB20" i="74"/>
  <c r="Y20" i="74"/>
  <c r="X20" i="74"/>
  <c r="P20" i="74"/>
  <c r="O20" i="74"/>
  <c r="Q20" i="74" s="1"/>
  <c r="M20" i="74"/>
  <c r="H20" i="74"/>
  <c r="C20" i="74"/>
  <c r="AD19" i="74"/>
  <c r="J19" i="74" s="1"/>
  <c r="K19" i="74" s="1"/>
  <c r="AB19" i="74"/>
  <c r="Y19" i="74"/>
  <c r="X19" i="74"/>
  <c r="P19" i="74"/>
  <c r="O19" i="74"/>
  <c r="Q19" i="74" s="1"/>
  <c r="M19" i="74"/>
  <c r="I19" i="74"/>
  <c r="H19" i="74"/>
  <c r="C19" i="74"/>
  <c r="AD18" i="74"/>
  <c r="J18" i="74" s="1"/>
  <c r="AB18" i="74"/>
  <c r="Y18" i="74"/>
  <c r="X18" i="74"/>
  <c r="P18" i="74"/>
  <c r="Q18" i="74" s="1"/>
  <c r="O18" i="74"/>
  <c r="M18" i="74"/>
  <c r="H18" i="74"/>
  <c r="C18" i="74"/>
  <c r="AD17" i="74"/>
  <c r="J17" i="74" s="1"/>
  <c r="I17" i="74" s="1"/>
  <c r="AB17" i="74"/>
  <c r="Y17" i="74"/>
  <c r="X17" i="74"/>
  <c r="P17" i="74"/>
  <c r="O17" i="74"/>
  <c r="Q17" i="74" s="1"/>
  <c r="M17" i="74"/>
  <c r="H17" i="74"/>
  <c r="C17" i="74"/>
  <c r="AB16" i="74"/>
  <c r="AD16" i="74" s="1"/>
  <c r="J16" i="74" s="1"/>
  <c r="Y16" i="74"/>
  <c r="X16" i="74"/>
  <c r="Q16" i="74"/>
  <c r="P16" i="74"/>
  <c r="O16" i="74"/>
  <c r="M16" i="74"/>
  <c r="H16" i="74"/>
  <c r="C16" i="74"/>
  <c r="AB15" i="74"/>
  <c r="AD15" i="74" s="1"/>
  <c r="J15" i="74" s="1"/>
  <c r="Y15" i="74"/>
  <c r="X15" i="74"/>
  <c r="P15" i="74"/>
  <c r="O15" i="74"/>
  <c r="Q15" i="74" s="1"/>
  <c r="M15" i="74"/>
  <c r="H15" i="74"/>
  <c r="C15" i="74"/>
  <c r="AB14" i="74"/>
  <c r="AD14" i="74" s="1"/>
  <c r="Y14" i="74"/>
  <c r="X14" i="74"/>
  <c r="P14" i="74"/>
  <c r="O14" i="74"/>
  <c r="Q14" i="74" s="1"/>
  <c r="M14" i="74"/>
  <c r="J14" i="74"/>
  <c r="H14" i="74"/>
  <c r="C14" i="74"/>
  <c r="AB13" i="74"/>
  <c r="AD13" i="74" s="1"/>
  <c r="J13" i="74" s="1"/>
  <c r="Y13" i="74"/>
  <c r="X13" i="74"/>
  <c r="Q13" i="74"/>
  <c r="P13" i="74"/>
  <c r="O13" i="74"/>
  <c r="M13" i="74"/>
  <c r="H13" i="74"/>
  <c r="C13" i="74"/>
  <c r="AD12" i="74"/>
  <c r="J12" i="74" s="1"/>
  <c r="AB12" i="74"/>
  <c r="Y12" i="74"/>
  <c r="X12" i="74"/>
  <c r="P12" i="74"/>
  <c r="O12" i="74"/>
  <c r="Q12" i="74" s="1"/>
  <c r="M12" i="74"/>
  <c r="H12" i="74"/>
  <c r="C12" i="74"/>
  <c r="AB11" i="74"/>
  <c r="AD11" i="74" s="1"/>
  <c r="J11" i="74" s="1"/>
  <c r="K11" i="74" s="1"/>
  <c r="Y11" i="74"/>
  <c r="X11" i="74"/>
  <c r="P11" i="74"/>
  <c r="O11" i="74"/>
  <c r="Q11" i="74" s="1"/>
  <c r="M11" i="74"/>
  <c r="I11" i="74"/>
  <c r="H11" i="74"/>
  <c r="C11" i="74"/>
  <c r="AD10" i="74"/>
  <c r="J10" i="74" s="1"/>
  <c r="AB10" i="74"/>
  <c r="Y10" i="74"/>
  <c r="X10" i="74"/>
  <c r="P10" i="74"/>
  <c r="Q10" i="74" s="1"/>
  <c r="O10" i="74"/>
  <c r="M10" i="74"/>
  <c r="H10" i="74"/>
  <c r="C10" i="74"/>
  <c r="AD9" i="74"/>
  <c r="J9" i="74" s="1"/>
  <c r="I9" i="74" s="1"/>
  <c r="AB9" i="74"/>
  <c r="Y9" i="74"/>
  <c r="X9" i="74"/>
  <c r="P9" i="74"/>
  <c r="O9" i="74"/>
  <c r="Q9" i="74" s="1"/>
  <c r="M9" i="74"/>
  <c r="H9" i="74"/>
  <c r="C9" i="74"/>
  <c r="AB8" i="74"/>
  <c r="AD8" i="74" s="1"/>
  <c r="Y8" i="74"/>
  <c r="X8" i="74"/>
  <c r="Q8" i="74"/>
  <c r="P8" i="74"/>
  <c r="O8" i="74"/>
  <c r="M8" i="74"/>
  <c r="H8" i="74"/>
  <c r="C8" i="74"/>
  <c r="AB7" i="74"/>
  <c r="AD7" i="74" s="1"/>
  <c r="J7" i="74" s="1"/>
  <c r="Y7" i="74"/>
  <c r="X7" i="74"/>
  <c r="P7" i="74"/>
  <c r="O7" i="74"/>
  <c r="Q7" i="74" s="1"/>
  <c r="M7" i="74"/>
  <c r="H7" i="74"/>
  <c r="C7" i="74"/>
  <c r="AB6" i="74"/>
  <c r="AD6" i="74" s="1"/>
  <c r="Y6" i="74"/>
  <c r="X6" i="74"/>
  <c r="Q6" i="74"/>
  <c r="P6" i="74"/>
  <c r="O6" i="74"/>
  <c r="M6" i="74"/>
  <c r="J6" i="74"/>
  <c r="H6" i="74"/>
  <c r="C6" i="74"/>
  <c r="AB5" i="74"/>
  <c r="AD5" i="74" s="1"/>
  <c r="J5" i="74" s="1"/>
  <c r="Y5" i="74"/>
  <c r="X5" i="74"/>
  <c r="Q5" i="74"/>
  <c r="P5" i="74"/>
  <c r="O5" i="74"/>
  <c r="M5" i="74"/>
  <c r="H5" i="74"/>
  <c r="C5" i="74"/>
  <c r="AD4" i="74"/>
  <c r="J4" i="74" s="1"/>
  <c r="AB4" i="74"/>
  <c r="Y4" i="74"/>
  <c r="X4" i="74"/>
  <c r="P4" i="74"/>
  <c r="O4" i="74"/>
  <c r="Q4" i="74" s="1"/>
  <c r="M4" i="74"/>
  <c r="H4" i="74"/>
  <c r="C4" i="74"/>
  <c r="AG3" i="74"/>
  <c r="AF3" i="74"/>
  <c r="W3" i="74"/>
  <c r="V3" i="74"/>
  <c r="U3" i="74"/>
  <c r="T3" i="74"/>
  <c r="O3" i="74"/>
  <c r="G3" i="74"/>
  <c r="H3" i="74" s="1"/>
  <c r="F3" i="74"/>
  <c r="D3" i="74"/>
  <c r="X3" i="74" s="1"/>
  <c r="C3" i="74"/>
  <c r="A2" i="74"/>
  <c r="A1" i="74"/>
  <c r="AD32" i="73"/>
  <c r="AB32" i="73"/>
  <c r="Y32" i="73"/>
  <c r="X32" i="73"/>
  <c r="V32" i="73"/>
  <c r="U32" i="73"/>
  <c r="T32" i="73"/>
  <c r="P32" i="73"/>
  <c r="O32" i="73"/>
  <c r="Q32" i="73" s="1"/>
  <c r="M32" i="73"/>
  <c r="J32" i="73"/>
  <c r="K32" i="73" s="1"/>
  <c r="H32" i="73"/>
  <c r="C32" i="73"/>
  <c r="AB31" i="73"/>
  <c r="AD31" i="73" s="1"/>
  <c r="J31" i="73" s="1"/>
  <c r="Y31" i="73"/>
  <c r="X31" i="73"/>
  <c r="P31" i="73"/>
  <c r="O31" i="73"/>
  <c r="Q31" i="73" s="1"/>
  <c r="M31" i="73"/>
  <c r="H31" i="73"/>
  <c r="C31" i="73"/>
  <c r="AB30" i="73"/>
  <c r="AD30" i="73" s="1"/>
  <c r="J30" i="73" s="1"/>
  <c r="Y30" i="73"/>
  <c r="X30" i="73"/>
  <c r="Q30" i="73"/>
  <c r="P30" i="73"/>
  <c r="O30" i="73"/>
  <c r="M30" i="73"/>
  <c r="H30" i="73"/>
  <c r="C30" i="73"/>
  <c r="AB29" i="73"/>
  <c r="AD29" i="73" s="1"/>
  <c r="J29" i="73" s="1"/>
  <c r="Y29" i="73"/>
  <c r="X29" i="73"/>
  <c r="Q29" i="73"/>
  <c r="P29" i="73"/>
  <c r="O29" i="73"/>
  <c r="M29" i="73"/>
  <c r="H29" i="73"/>
  <c r="C29" i="73"/>
  <c r="AD28" i="73"/>
  <c r="J28" i="73" s="1"/>
  <c r="AB28" i="73"/>
  <c r="Y28" i="73"/>
  <c r="X28" i="73"/>
  <c r="P28" i="73"/>
  <c r="Q28" i="73" s="1"/>
  <c r="O28" i="73"/>
  <c r="M28" i="73"/>
  <c r="H28" i="73"/>
  <c r="C28" i="73"/>
  <c r="AD27" i="73"/>
  <c r="J27" i="73" s="1"/>
  <c r="K27" i="73" s="1"/>
  <c r="AB27" i="73"/>
  <c r="Y27" i="73"/>
  <c r="X27" i="73"/>
  <c r="P27" i="73"/>
  <c r="O27" i="73"/>
  <c r="Q27" i="73" s="1"/>
  <c r="M27" i="73"/>
  <c r="H27" i="73"/>
  <c r="C27" i="73"/>
  <c r="AD26" i="73"/>
  <c r="J26" i="73" s="1"/>
  <c r="AB26" i="73"/>
  <c r="Y26" i="73"/>
  <c r="X26" i="73"/>
  <c r="P26" i="73"/>
  <c r="Q26" i="73" s="1"/>
  <c r="O26" i="73"/>
  <c r="M26" i="73"/>
  <c r="H26" i="73"/>
  <c r="C26" i="73"/>
  <c r="AD25" i="73"/>
  <c r="J25" i="73" s="1"/>
  <c r="I25" i="73" s="1"/>
  <c r="AB25" i="73"/>
  <c r="Y25" i="73"/>
  <c r="X25" i="73"/>
  <c r="P25" i="73"/>
  <c r="O25" i="73"/>
  <c r="Q25" i="73" s="1"/>
  <c r="M25" i="73"/>
  <c r="K25" i="73"/>
  <c r="H25" i="73"/>
  <c r="C25" i="73"/>
  <c r="AB24" i="73"/>
  <c r="AD24" i="73" s="1"/>
  <c r="J24" i="73" s="1"/>
  <c r="Y24" i="73"/>
  <c r="X24" i="73"/>
  <c r="P24" i="73"/>
  <c r="O24" i="73"/>
  <c r="Q24" i="73" s="1"/>
  <c r="M24" i="73"/>
  <c r="H24" i="73"/>
  <c r="C24" i="73"/>
  <c r="AB23" i="73"/>
  <c r="AD23" i="73" s="1"/>
  <c r="J23" i="73" s="1"/>
  <c r="Y23" i="73"/>
  <c r="X23" i="73"/>
  <c r="P23" i="73"/>
  <c r="O23" i="73"/>
  <c r="Q23" i="73" s="1"/>
  <c r="M23" i="73"/>
  <c r="H23" i="73"/>
  <c r="C23" i="73"/>
  <c r="AB22" i="73"/>
  <c r="AD22" i="73" s="1"/>
  <c r="Y22" i="73"/>
  <c r="X22" i="73"/>
  <c r="Q22" i="73"/>
  <c r="P22" i="73"/>
  <c r="O22" i="73"/>
  <c r="M22" i="73"/>
  <c r="J22" i="73"/>
  <c r="H22" i="73"/>
  <c r="C22" i="73"/>
  <c r="AB21" i="73"/>
  <c r="AD21" i="73" s="1"/>
  <c r="J21" i="73" s="1"/>
  <c r="Y21" i="73"/>
  <c r="X21" i="73"/>
  <c r="Q21" i="73"/>
  <c r="P21" i="73"/>
  <c r="O21" i="73"/>
  <c r="M21" i="73"/>
  <c r="H21" i="73"/>
  <c r="C21" i="73"/>
  <c r="AD20" i="73"/>
  <c r="J20" i="73" s="1"/>
  <c r="AB20" i="73"/>
  <c r="Y20" i="73"/>
  <c r="X20" i="73"/>
  <c r="P20" i="73"/>
  <c r="Q20" i="73" s="1"/>
  <c r="O20" i="73"/>
  <c r="M20" i="73"/>
  <c r="H20" i="73"/>
  <c r="C20" i="73"/>
  <c r="AD19" i="73"/>
  <c r="J19" i="73" s="1"/>
  <c r="K19" i="73" s="1"/>
  <c r="AB19" i="73"/>
  <c r="Y19" i="73"/>
  <c r="X19" i="73"/>
  <c r="P19" i="73"/>
  <c r="Q19" i="73" s="1"/>
  <c r="O19" i="73"/>
  <c r="M19" i="73"/>
  <c r="H19" i="73"/>
  <c r="C19" i="73"/>
  <c r="AD18" i="73"/>
  <c r="J18" i="73" s="1"/>
  <c r="AB18" i="73"/>
  <c r="Y18" i="73"/>
  <c r="X18" i="73"/>
  <c r="P18" i="73"/>
  <c r="Q18" i="73" s="1"/>
  <c r="O18" i="73"/>
  <c r="M18" i="73"/>
  <c r="H18" i="73"/>
  <c r="C18" i="73"/>
  <c r="AD17" i="73"/>
  <c r="J17" i="73" s="1"/>
  <c r="I17" i="73" s="1"/>
  <c r="AB17" i="73"/>
  <c r="Y17" i="73"/>
  <c r="X17" i="73"/>
  <c r="P17" i="73"/>
  <c r="O17" i="73"/>
  <c r="Q17" i="73" s="1"/>
  <c r="M17" i="73"/>
  <c r="H17" i="73"/>
  <c r="C17" i="73"/>
  <c r="AB16" i="73"/>
  <c r="AD16" i="73" s="1"/>
  <c r="J16" i="73" s="1"/>
  <c r="Y16" i="73"/>
  <c r="X16" i="73"/>
  <c r="P16" i="73"/>
  <c r="O16" i="73"/>
  <c r="Q16" i="73" s="1"/>
  <c r="M16" i="73"/>
  <c r="H16" i="73"/>
  <c r="C16" i="73"/>
  <c r="AB15" i="73"/>
  <c r="AD15" i="73" s="1"/>
  <c r="J15" i="73" s="1"/>
  <c r="Y15" i="73"/>
  <c r="X15" i="73"/>
  <c r="P15" i="73"/>
  <c r="O15" i="73"/>
  <c r="Q15" i="73" s="1"/>
  <c r="M15" i="73"/>
  <c r="H15" i="73"/>
  <c r="C15" i="73"/>
  <c r="AB14" i="73"/>
  <c r="AD14" i="73" s="1"/>
  <c r="Y14" i="73"/>
  <c r="X14" i="73"/>
  <c r="Q14" i="73"/>
  <c r="P14" i="73"/>
  <c r="O14" i="73"/>
  <c r="M14" i="73"/>
  <c r="J14" i="73"/>
  <c r="H14" i="73"/>
  <c r="C14" i="73"/>
  <c r="AB13" i="73"/>
  <c r="AD13" i="73" s="1"/>
  <c r="J13" i="73" s="1"/>
  <c r="Y13" i="73"/>
  <c r="X13" i="73"/>
  <c r="Q13" i="73"/>
  <c r="P13" i="73"/>
  <c r="O13" i="73"/>
  <c r="M13" i="73"/>
  <c r="H13" i="73"/>
  <c r="C13" i="73"/>
  <c r="AD12" i="73"/>
  <c r="J12" i="73" s="1"/>
  <c r="AB12" i="73"/>
  <c r="Y12" i="73"/>
  <c r="X12" i="73"/>
  <c r="P12" i="73"/>
  <c r="Q12" i="73" s="1"/>
  <c r="O12" i="73"/>
  <c r="M12" i="73"/>
  <c r="H12" i="73"/>
  <c r="C12" i="73"/>
  <c r="AD11" i="73"/>
  <c r="J11" i="73" s="1"/>
  <c r="AB11" i="73"/>
  <c r="Y11" i="73"/>
  <c r="X11" i="73"/>
  <c r="P11" i="73"/>
  <c r="Q11" i="73" s="1"/>
  <c r="O11" i="73"/>
  <c r="M11" i="73"/>
  <c r="H11" i="73"/>
  <c r="C11" i="73"/>
  <c r="AD10" i="73"/>
  <c r="J10" i="73" s="1"/>
  <c r="AB10" i="73"/>
  <c r="Y10" i="73"/>
  <c r="X10" i="73"/>
  <c r="P10" i="73"/>
  <c r="Q10" i="73" s="1"/>
  <c r="O10" i="73"/>
  <c r="M10" i="73"/>
  <c r="H10" i="73"/>
  <c r="C10" i="73"/>
  <c r="AD9" i="73"/>
  <c r="J9" i="73" s="1"/>
  <c r="I9" i="73" s="1"/>
  <c r="AB9" i="73"/>
  <c r="Y9" i="73"/>
  <c r="X9" i="73"/>
  <c r="P9" i="73"/>
  <c r="O9" i="73"/>
  <c r="Q9" i="73" s="1"/>
  <c r="M9" i="73"/>
  <c r="K9" i="73"/>
  <c r="H9" i="73"/>
  <c r="C9" i="73"/>
  <c r="AB8" i="73"/>
  <c r="AD8" i="73" s="1"/>
  <c r="J8" i="73" s="1"/>
  <c r="Y8" i="73"/>
  <c r="X8" i="73"/>
  <c r="P8" i="73"/>
  <c r="O8" i="73"/>
  <c r="Q8" i="73" s="1"/>
  <c r="M8" i="73"/>
  <c r="H8" i="73"/>
  <c r="C8" i="73"/>
  <c r="AB7" i="73"/>
  <c r="AD7" i="73" s="1"/>
  <c r="J7" i="73" s="1"/>
  <c r="Y7" i="73"/>
  <c r="X7" i="73"/>
  <c r="P7" i="73"/>
  <c r="O7" i="73"/>
  <c r="Q7" i="73" s="1"/>
  <c r="M7" i="73"/>
  <c r="H7" i="73"/>
  <c r="C7" i="73"/>
  <c r="AB6" i="73"/>
  <c r="AD6" i="73" s="1"/>
  <c r="J6" i="73" s="1"/>
  <c r="Y6" i="73"/>
  <c r="X6" i="73"/>
  <c r="Q6" i="73"/>
  <c r="P6" i="73"/>
  <c r="O6" i="73"/>
  <c r="M6" i="73"/>
  <c r="H6" i="73"/>
  <c r="C6" i="73"/>
  <c r="AB5" i="73"/>
  <c r="AD5" i="73" s="1"/>
  <c r="J5" i="73" s="1"/>
  <c r="Y5" i="73"/>
  <c r="X5" i="73"/>
  <c r="Q5" i="73"/>
  <c r="P5" i="73"/>
  <c r="O5" i="73"/>
  <c r="M5" i="73"/>
  <c r="H5" i="73"/>
  <c r="C5" i="73"/>
  <c r="AD4" i="73"/>
  <c r="J4" i="73" s="1"/>
  <c r="AB4" i="73"/>
  <c r="Y4" i="73"/>
  <c r="X4" i="73"/>
  <c r="P4" i="73"/>
  <c r="Q4" i="73" s="1"/>
  <c r="O4" i="73"/>
  <c r="M4" i="73"/>
  <c r="H4" i="73"/>
  <c r="C4" i="73"/>
  <c r="AG3" i="73"/>
  <c r="AF3" i="73"/>
  <c r="W3" i="73"/>
  <c r="X3" i="73" s="1"/>
  <c r="V3" i="73"/>
  <c r="U3" i="73"/>
  <c r="T3" i="73"/>
  <c r="O3" i="73"/>
  <c r="G3" i="73"/>
  <c r="H3" i="73" s="1"/>
  <c r="F3" i="73"/>
  <c r="D3" i="73"/>
  <c r="C3" i="73"/>
  <c r="A2" i="73"/>
  <c r="A1" i="73"/>
  <c r="AB32" i="72"/>
  <c r="AD32" i="72" s="1"/>
  <c r="J32" i="72" s="1"/>
  <c r="Y32" i="72"/>
  <c r="X32" i="72"/>
  <c r="V32" i="72"/>
  <c r="U32" i="72"/>
  <c r="T32" i="72"/>
  <c r="P32" i="72"/>
  <c r="O32" i="72"/>
  <c r="Q32" i="72" s="1"/>
  <c r="M32" i="72"/>
  <c r="H32" i="72"/>
  <c r="C32" i="72"/>
  <c r="AB31" i="72"/>
  <c r="AD31" i="72" s="1"/>
  <c r="J31" i="72" s="1"/>
  <c r="Y31" i="72"/>
  <c r="X31" i="72"/>
  <c r="Q31" i="72"/>
  <c r="P31" i="72"/>
  <c r="O31" i="72"/>
  <c r="M31" i="72"/>
  <c r="H31" i="72"/>
  <c r="C31" i="72"/>
  <c r="AB30" i="72"/>
  <c r="AD30" i="72" s="1"/>
  <c r="J30" i="72" s="1"/>
  <c r="Y30" i="72"/>
  <c r="X30" i="72"/>
  <c r="Q30" i="72"/>
  <c r="P30" i="72"/>
  <c r="O30" i="72"/>
  <c r="M30" i="72"/>
  <c r="H30" i="72"/>
  <c r="C30" i="72"/>
  <c r="AB29" i="72"/>
  <c r="AD29" i="72" s="1"/>
  <c r="J29" i="72" s="1"/>
  <c r="K29" i="72" s="1"/>
  <c r="Y29" i="72"/>
  <c r="X29" i="72"/>
  <c r="Q29" i="72"/>
  <c r="P29" i="72"/>
  <c r="O29" i="72"/>
  <c r="M29" i="72"/>
  <c r="I29" i="72"/>
  <c r="H29" i="72"/>
  <c r="C29" i="72"/>
  <c r="AB28" i="72"/>
  <c r="AD28" i="72" s="1"/>
  <c r="J28" i="72" s="1"/>
  <c r="K28" i="72" s="1"/>
  <c r="Y28" i="72"/>
  <c r="X28" i="72"/>
  <c r="P28" i="72"/>
  <c r="Q28" i="72" s="1"/>
  <c r="O28" i="72"/>
  <c r="M28" i="72"/>
  <c r="H28" i="72"/>
  <c r="C28" i="72"/>
  <c r="AD27" i="72"/>
  <c r="J27" i="72" s="1"/>
  <c r="AB27" i="72"/>
  <c r="Y27" i="72"/>
  <c r="X27" i="72"/>
  <c r="P27" i="72"/>
  <c r="Q27" i="72" s="1"/>
  <c r="O27" i="72"/>
  <c r="M27" i="72"/>
  <c r="K27" i="72"/>
  <c r="I27" i="72"/>
  <c r="H27" i="72"/>
  <c r="C27" i="72"/>
  <c r="AD26" i="72"/>
  <c r="J26" i="72" s="1"/>
  <c r="K26" i="72" s="1"/>
  <c r="AB26" i="72"/>
  <c r="Y26" i="72"/>
  <c r="X26" i="72"/>
  <c r="P26" i="72"/>
  <c r="Q26" i="72" s="1"/>
  <c r="O26" i="72"/>
  <c r="M26" i="72"/>
  <c r="I26" i="72"/>
  <c r="H26" i="72"/>
  <c r="C26" i="72"/>
  <c r="AD25" i="72"/>
  <c r="J25" i="72" s="1"/>
  <c r="I25" i="72" s="1"/>
  <c r="AB25" i="72"/>
  <c r="Y25" i="72"/>
  <c r="X25" i="72"/>
  <c r="P25" i="72"/>
  <c r="O25" i="72"/>
  <c r="Q25" i="72" s="1"/>
  <c r="M25" i="72"/>
  <c r="H25" i="72"/>
  <c r="C25" i="72"/>
  <c r="AB24" i="72"/>
  <c r="AD24" i="72" s="1"/>
  <c r="J24" i="72" s="1"/>
  <c r="Y24" i="72"/>
  <c r="X24" i="72"/>
  <c r="P24" i="72"/>
  <c r="O24" i="72"/>
  <c r="Q24" i="72" s="1"/>
  <c r="M24" i="72"/>
  <c r="H24" i="72"/>
  <c r="C24" i="72"/>
  <c r="AB23" i="72"/>
  <c r="AD23" i="72" s="1"/>
  <c r="AD3" i="72" s="1"/>
  <c r="Y23" i="72"/>
  <c r="X23" i="72"/>
  <c r="Q23" i="72"/>
  <c r="P23" i="72"/>
  <c r="O23" i="72"/>
  <c r="M23" i="72"/>
  <c r="H23" i="72"/>
  <c r="C23" i="72"/>
  <c r="AB22" i="72"/>
  <c r="AD22" i="72" s="1"/>
  <c r="Y22" i="72"/>
  <c r="X22" i="72"/>
  <c r="P22" i="72"/>
  <c r="O22" i="72"/>
  <c r="Q22" i="72" s="1"/>
  <c r="M22" i="72"/>
  <c r="J22" i="72"/>
  <c r="H22" i="72"/>
  <c r="C22" i="72"/>
  <c r="AG3" i="72"/>
  <c r="AF3" i="72"/>
  <c r="W3" i="72"/>
  <c r="X3" i="72" s="1"/>
  <c r="V3" i="72"/>
  <c r="U3" i="72"/>
  <c r="T3" i="72"/>
  <c r="O3" i="72"/>
  <c r="H3" i="72"/>
  <c r="G3" i="72"/>
  <c r="F3" i="72"/>
  <c r="D3" i="72"/>
  <c r="C3" i="72"/>
  <c r="A2" i="72"/>
  <c r="A1" i="72"/>
  <c r="AB32" i="71"/>
  <c r="AD32" i="71" s="1"/>
  <c r="J32" i="71" s="1"/>
  <c r="Y32" i="71"/>
  <c r="X32" i="71"/>
  <c r="V32" i="71"/>
  <c r="U32" i="71"/>
  <c r="T32" i="71"/>
  <c r="P32" i="71"/>
  <c r="O32" i="71"/>
  <c r="Q32" i="71" s="1"/>
  <c r="M32" i="71"/>
  <c r="H32" i="71"/>
  <c r="C32" i="71"/>
  <c r="AB31" i="71"/>
  <c r="AD31" i="71" s="1"/>
  <c r="J31" i="71" s="1"/>
  <c r="K31" i="71" s="1"/>
  <c r="Y31" i="71"/>
  <c r="X31" i="71"/>
  <c r="Q31" i="71"/>
  <c r="P31" i="71"/>
  <c r="O31" i="71"/>
  <c r="M31" i="71"/>
  <c r="H31" i="71"/>
  <c r="C31" i="71"/>
  <c r="AD30" i="71"/>
  <c r="J30" i="71" s="1"/>
  <c r="AB30" i="71"/>
  <c r="Y30" i="71"/>
  <c r="X30" i="71"/>
  <c r="P30" i="71"/>
  <c r="Q30" i="71" s="1"/>
  <c r="O30" i="71"/>
  <c r="M30" i="71"/>
  <c r="H30" i="71"/>
  <c r="C30" i="71"/>
  <c r="AD29" i="71"/>
  <c r="J29" i="71" s="1"/>
  <c r="I29" i="71" s="1"/>
  <c r="AB29" i="71"/>
  <c r="Y29" i="71"/>
  <c r="X29" i="71"/>
  <c r="P29" i="71"/>
  <c r="O29" i="71"/>
  <c r="Q29" i="71" s="1"/>
  <c r="M29" i="71"/>
  <c r="K29" i="71"/>
  <c r="H29" i="71"/>
  <c r="C29" i="71"/>
  <c r="AB28" i="71"/>
  <c r="AD28" i="71" s="1"/>
  <c r="J28" i="71" s="1"/>
  <c r="Y28" i="71"/>
  <c r="X28" i="71"/>
  <c r="P28" i="71"/>
  <c r="O28" i="71"/>
  <c r="Q28" i="71" s="1"/>
  <c r="M28" i="71"/>
  <c r="H28" i="71"/>
  <c r="C28" i="71"/>
  <c r="AD27" i="71"/>
  <c r="J27" i="71" s="1"/>
  <c r="AB27" i="71"/>
  <c r="Y27" i="71"/>
  <c r="X27" i="71"/>
  <c r="P27" i="71"/>
  <c r="O27" i="71"/>
  <c r="Q27" i="71" s="1"/>
  <c r="M27" i="71"/>
  <c r="H27" i="71"/>
  <c r="C27" i="71"/>
  <c r="AB26" i="71"/>
  <c r="AD26" i="71" s="1"/>
  <c r="Y26" i="71"/>
  <c r="X26" i="71"/>
  <c r="P26" i="71"/>
  <c r="O26" i="71"/>
  <c r="Q26" i="71" s="1"/>
  <c r="M26" i="71"/>
  <c r="J26" i="71"/>
  <c r="H26" i="71"/>
  <c r="C26" i="71"/>
  <c r="AB25" i="71"/>
  <c r="AD25" i="71" s="1"/>
  <c r="J25" i="71" s="1"/>
  <c r="Y25" i="71"/>
  <c r="X25" i="71"/>
  <c r="Q25" i="71"/>
  <c r="P25" i="71"/>
  <c r="O25" i="71"/>
  <c r="M25" i="71"/>
  <c r="H25" i="71"/>
  <c r="C25" i="71"/>
  <c r="AB24" i="71"/>
  <c r="AD24" i="71" s="1"/>
  <c r="J24" i="71" s="1"/>
  <c r="Y24" i="71"/>
  <c r="X24" i="71"/>
  <c r="P24" i="71"/>
  <c r="O24" i="71"/>
  <c r="Q24" i="71" s="1"/>
  <c r="M24" i="71"/>
  <c r="H24" i="71"/>
  <c r="C24" i="71"/>
  <c r="AB23" i="71"/>
  <c r="AD23" i="71" s="1"/>
  <c r="J23" i="71" s="1"/>
  <c r="K23" i="71" s="1"/>
  <c r="Y23" i="71"/>
  <c r="X23" i="71"/>
  <c r="Q23" i="71"/>
  <c r="P23" i="71"/>
  <c r="O23" i="71"/>
  <c r="M23" i="71"/>
  <c r="H23" i="71"/>
  <c r="C23" i="71"/>
  <c r="AD22" i="71"/>
  <c r="J22" i="71" s="1"/>
  <c r="AB22" i="71"/>
  <c r="Y22" i="71"/>
  <c r="X22" i="71"/>
  <c r="P22" i="71"/>
  <c r="Q22" i="71" s="1"/>
  <c r="O22" i="71"/>
  <c r="M22" i="71"/>
  <c r="H22" i="71"/>
  <c r="C22" i="71"/>
  <c r="AD21" i="71"/>
  <c r="J21" i="71" s="1"/>
  <c r="I21" i="71" s="1"/>
  <c r="AB21" i="71"/>
  <c r="Y21" i="71"/>
  <c r="X21" i="71"/>
  <c r="P21" i="71"/>
  <c r="O21" i="71"/>
  <c r="Q21" i="71" s="1"/>
  <c r="M21" i="71"/>
  <c r="K21" i="71"/>
  <c r="H21" i="71"/>
  <c r="C21" i="71"/>
  <c r="AB20" i="71"/>
  <c r="AD20" i="71" s="1"/>
  <c r="J20" i="71" s="1"/>
  <c r="Y20" i="71"/>
  <c r="X20" i="71"/>
  <c r="P20" i="71"/>
  <c r="O20" i="71"/>
  <c r="Q20" i="71" s="1"/>
  <c r="M20" i="71"/>
  <c r="H20" i="71"/>
  <c r="C20" i="71"/>
  <c r="AD19" i="71"/>
  <c r="J19" i="71" s="1"/>
  <c r="AB19" i="71"/>
  <c r="Y19" i="71"/>
  <c r="X19" i="71"/>
  <c r="P19" i="71"/>
  <c r="O19" i="71"/>
  <c r="Q19" i="71" s="1"/>
  <c r="M19" i="71"/>
  <c r="H19" i="71"/>
  <c r="C19" i="71"/>
  <c r="AB18" i="71"/>
  <c r="AD18" i="71" s="1"/>
  <c r="Y18" i="71"/>
  <c r="X18" i="71"/>
  <c r="P18" i="71"/>
  <c r="O18" i="71"/>
  <c r="Q18" i="71" s="1"/>
  <c r="M18" i="71"/>
  <c r="J18" i="71"/>
  <c r="H18" i="71"/>
  <c r="C18" i="71"/>
  <c r="AB17" i="71"/>
  <c r="AD17" i="71" s="1"/>
  <c r="J17" i="71" s="1"/>
  <c r="Y17" i="71"/>
  <c r="X17" i="71"/>
  <c r="Q17" i="71"/>
  <c r="P17" i="71"/>
  <c r="O17" i="71"/>
  <c r="M17" i="71"/>
  <c r="H17" i="71"/>
  <c r="C17" i="71"/>
  <c r="AB16" i="71"/>
  <c r="AD16" i="71" s="1"/>
  <c r="J16" i="71" s="1"/>
  <c r="Y16" i="71"/>
  <c r="X16" i="71"/>
  <c r="P16" i="71"/>
  <c r="O16" i="71"/>
  <c r="Q16" i="71" s="1"/>
  <c r="M16" i="71"/>
  <c r="H16" i="71"/>
  <c r="C16" i="71"/>
  <c r="AB15" i="71"/>
  <c r="AD15" i="71" s="1"/>
  <c r="J15" i="71" s="1"/>
  <c r="K15" i="71" s="1"/>
  <c r="Y15" i="71"/>
  <c r="X15" i="71"/>
  <c r="Q15" i="71"/>
  <c r="P15" i="71"/>
  <c r="O15" i="71"/>
  <c r="M15" i="71"/>
  <c r="H15" i="71"/>
  <c r="C15" i="71"/>
  <c r="AD14" i="71"/>
  <c r="J14" i="71" s="1"/>
  <c r="AB14" i="71"/>
  <c r="Y14" i="71"/>
  <c r="X14" i="71"/>
  <c r="P14" i="71"/>
  <c r="Q14" i="71" s="1"/>
  <c r="O14" i="71"/>
  <c r="M14" i="71"/>
  <c r="H14" i="71"/>
  <c r="C14" i="71"/>
  <c r="AD13" i="71"/>
  <c r="J13" i="71" s="1"/>
  <c r="I13" i="71" s="1"/>
  <c r="AB13" i="71"/>
  <c r="Y13" i="71"/>
  <c r="X13" i="71"/>
  <c r="P13" i="71"/>
  <c r="O13" i="71"/>
  <c r="Q13" i="71" s="1"/>
  <c r="M13" i="71"/>
  <c r="K13" i="71"/>
  <c r="H13" i="71"/>
  <c r="C13" i="71"/>
  <c r="AB12" i="71"/>
  <c r="AD12" i="71" s="1"/>
  <c r="J12" i="71" s="1"/>
  <c r="Y12" i="71"/>
  <c r="X12" i="71"/>
  <c r="P12" i="71"/>
  <c r="O12" i="71"/>
  <c r="Q12" i="71" s="1"/>
  <c r="M12" i="71"/>
  <c r="H12" i="71"/>
  <c r="C12" i="71"/>
  <c r="AD11" i="71"/>
  <c r="J11" i="71" s="1"/>
  <c r="AB11" i="71"/>
  <c r="Y11" i="71"/>
  <c r="X11" i="71"/>
  <c r="P11" i="71"/>
  <c r="O11" i="71"/>
  <c r="Q11" i="71" s="1"/>
  <c r="M11" i="71"/>
  <c r="H11" i="71"/>
  <c r="C11" i="71"/>
  <c r="AB10" i="71"/>
  <c r="AD10" i="71" s="1"/>
  <c r="Y10" i="71"/>
  <c r="X10" i="71"/>
  <c r="P10" i="71"/>
  <c r="O10" i="71"/>
  <c r="Q10" i="71" s="1"/>
  <c r="M10" i="71"/>
  <c r="J10" i="71"/>
  <c r="H10" i="71"/>
  <c r="C10" i="71"/>
  <c r="AB9" i="71"/>
  <c r="AD9" i="71" s="1"/>
  <c r="J9" i="71" s="1"/>
  <c r="Y9" i="71"/>
  <c r="X9" i="71"/>
  <c r="Q9" i="71"/>
  <c r="P9" i="71"/>
  <c r="O9" i="71"/>
  <c r="M9" i="71"/>
  <c r="H9" i="71"/>
  <c r="C9" i="71"/>
  <c r="AB8" i="71"/>
  <c r="AD8" i="71" s="1"/>
  <c r="J8" i="71" s="1"/>
  <c r="Y8" i="71"/>
  <c r="X8" i="71"/>
  <c r="P8" i="71"/>
  <c r="O8" i="71"/>
  <c r="Q8" i="71" s="1"/>
  <c r="M8" i="71"/>
  <c r="H8" i="71"/>
  <c r="C8" i="71"/>
  <c r="AB7" i="71"/>
  <c r="AD7" i="71" s="1"/>
  <c r="J7" i="71" s="1"/>
  <c r="K7" i="71" s="1"/>
  <c r="Y7" i="71"/>
  <c r="X7" i="71"/>
  <c r="Q7" i="71"/>
  <c r="P7" i="71"/>
  <c r="O7" i="71"/>
  <c r="M7" i="71"/>
  <c r="H7" i="71"/>
  <c r="C7" i="71"/>
  <c r="AD6" i="71"/>
  <c r="J6" i="71" s="1"/>
  <c r="AB6" i="71"/>
  <c r="Y6" i="71"/>
  <c r="X6" i="71"/>
  <c r="P6" i="71"/>
  <c r="Q6" i="71" s="1"/>
  <c r="O6" i="71"/>
  <c r="M6" i="71"/>
  <c r="H6" i="71"/>
  <c r="C6" i="71"/>
  <c r="AD5" i="71"/>
  <c r="J5" i="71" s="1"/>
  <c r="I5" i="71" s="1"/>
  <c r="AB5" i="71"/>
  <c r="Y5" i="71"/>
  <c r="X5" i="71"/>
  <c r="P5" i="71"/>
  <c r="O5" i="71"/>
  <c r="Q5" i="71" s="1"/>
  <c r="M5" i="71"/>
  <c r="K5" i="71"/>
  <c r="H5" i="71"/>
  <c r="C5" i="71"/>
  <c r="AB4" i="71"/>
  <c r="AD4" i="71" s="1"/>
  <c r="Y4" i="71"/>
  <c r="X4" i="71"/>
  <c r="P4" i="71"/>
  <c r="O4" i="71"/>
  <c r="Q4" i="71" s="1"/>
  <c r="M4" i="71"/>
  <c r="H4" i="71"/>
  <c r="C4" i="71"/>
  <c r="AG3" i="71"/>
  <c r="AF3" i="71"/>
  <c r="W3" i="71"/>
  <c r="X3" i="71" s="1"/>
  <c r="V3" i="71"/>
  <c r="U3" i="71"/>
  <c r="T3" i="71"/>
  <c r="O3" i="71"/>
  <c r="G3" i="71"/>
  <c r="H3" i="71" s="1"/>
  <c r="F3" i="71"/>
  <c r="D3" i="71"/>
  <c r="C3" i="71"/>
  <c r="A2" i="71"/>
  <c r="A1" i="71"/>
  <c r="AB32" i="70"/>
  <c r="AD32" i="70" s="1"/>
  <c r="J32" i="70" s="1"/>
  <c r="Y32" i="70"/>
  <c r="X32" i="70"/>
  <c r="V32" i="70"/>
  <c r="U32" i="70"/>
  <c r="T32" i="70"/>
  <c r="P32" i="70"/>
  <c r="O32" i="70"/>
  <c r="Q32" i="70" s="1"/>
  <c r="M32" i="70"/>
  <c r="H32" i="70"/>
  <c r="C32" i="70"/>
  <c r="AB31" i="70"/>
  <c r="AD31" i="70" s="1"/>
  <c r="J31" i="70" s="1"/>
  <c r="K31" i="70" s="1"/>
  <c r="Y31" i="70"/>
  <c r="X31" i="70"/>
  <c r="Q31" i="70"/>
  <c r="P31" i="70"/>
  <c r="O31" i="70"/>
  <c r="M31" i="70"/>
  <c r="H31" i="70"/>
  <c r="C31" i="70"/>
  <c r="AD30" i="70"/>
  <c r="J30" i="70" s="1"/>
  <c r="AB30" i="70"/>
  <c r="Y30" i="70"/>
  <c r="X30" i="70"/>
  <c r="P30" i="70"/>
  <c r="Q30" i="70" s="1"/>
  <c r="O30" i="70"/>
  <c r="M30" i="70"/>
  <c r="H30" i="70"/>
  <c r="C30" i="70"/>
  <c r="AD29" i="70"/>
  <c r="J29" i="70" s="1"/>
  <c r="I29" i="70" s="1"/>
  <c r="AB29" i="70"/>
  <c r="Y29" i="70"/>
  <c r="X29" i="70"/>
  <c r="P29" i="70"/>
  <c r="O29" i="70"/>
  <c r="Q29" i="70" s="1"/>
  <c r="M29" i="70"/>
  <c r="K29" i="70"/>
  <c r="H29" i="70"/>
  <c r="C29" i="70"/>
  <c r="AB28" i="70"/>
  <c r="AD28" i="70" s="1"/>
  <c r="J28" i="70" s="1"/>
  <c r="Y28" i="70"/>
  <c r="X28" i="70"/>
  <c r="P28" i="70"/>
  <c r="O28" i="70"/>
  <c r="Q28" i="70" s="1"/>
  <c r="M28" i="70"/>
  <c r="H28" i="70"/>
  <c r="C28" i="70"/>
  <c r="AD27" i="70"/>
  <c r="J27" i="70" s="1"/>
  <c r="AB27" i="70"/>
  <c r="Y27" i="70"/>
  <c r="X27" i="70"/>
  <c r="P27" i="70"/>
  <c r="O27" i="70"/>
  <c r="Q27" i="70" s="1"/>
  <c r="M27" i="70"/>
  <c r="H27" i="70"/>
  <c r="C27" i="70"/>
  <c r="AB26" i="70"/>
  <c r="AD26" i="70" s="1"/>
  <c r="J26" i="70" s="1"/>
  <c r="Y26" i="70"/>
  <c r="X26" i="70"/>
  <c r="P26" i="70"/>
  <c r="O26" i="70"/>
  <c r="Q26" i="70" s="1"/>
  <c r="M26" i="70"/>
  <c r="H26" i="70"/>
  <c r="C26" i="70"/>
  <c r="AB25" i="70"/>
  <c r="AD25" i="70" s="1"/>
  <c r="J25" i="70" s="1"/>
  <c r="Y25" i="70"/>
  <c r="X25" i="70"/>
  <c r="Q25" i="70"/>
  <c r="P25" i="70"/>
  <c r="O25" i="70"/>
  <c r="M25" i="70"/>
  <c r="H25" i="70"/>
  <c r="C25" i="70"/>
  <c r="AB24" i="70"/>
  <c r="AD24" i="70" s="1"/>
  <c r="J24" i="70" s="1"/>
  <c r="Y24" i="70"/>
  <c r="X24" i="70"/>
  <c r="P24" i="70"/>
  <c r="O24" i="70"/>
  <c r="Q24" i="70" s="1"/>
  <c r="M24" i="70"/>
  <c r="H24" i="70"/>
  <c r="C24" i="70"/>
  <c r="AB23" i="70"/>
  <c r="AD23" i="70" s="1"/>
  <c r="J23" i="70" s="1"/>
  <c r="K23" i="70" s="1"/>
  <c r="Y23" i="70"/>
  <c r="X23" i="70"/>
  <c r="Q23" i="70"/>
  <c r="P23" i="70"/>
  <c r="O23" i="70"/>
  <c r="M23" i="70"/>
  <c r="H23" i="70"/>
  <c r="C23" i="70"/>
  <c r="AD22" i="70"/>
  <c r="J22" i="70" s="1"/>
  <c r="AB22" i="70"/>
  <c r="Y22" i="70"/>
  <c r="X22" i="70"/>
  <c r="P22" i="70"/>
  <c r="Q22" i="70" s="1"/>
  <c r="O22" i="70"/>
  <c r="M22" i="70"/>
  <c r="H22" i="70"/>
  <c r="C22" i="70"/>
  <c r="AD21" i="70"/>
  <c r="J21" i="70" s="1"/>
  <c r="I21" i="70" s="1"/>
  <c r="AB21" i="70"/>
  <c r="Y21" i="70"/>
  <c r="X21" i="70"/>
  <c r="P21" i="70"/>
  <c r="O21" i="70"/>
  <c r="Q21" i="70" s="1"/>
  <c r="M21" i="70"/>
  <c r="K21" i="70"/>
  <c r="H21" i="70"/>
  <c r="C21" i="70"/>
  <c r="AB20" i="70"/>
  <c r="AD20" i="70" s="1"/>
  <c r="J20" i="70" s="1"/>
  <c r="Y20" i="70"/>
  <c r="X20" i="70"/>
  <c r="P20" i="70"/>
  <c r="O20" i="70"/>
  <c r="Q20" i="70" s="1"/>
  <c r="M20" i="70"/>
  <c r="H20" i="70"/>
  <c r="C20" i="70"/>
  <c r="AD19" i="70"/>
  <c r="J19" i="70" s="1"/>
  <c r="AB19" i="70"/>
  <c r="Y19" i="70"/>
  <c r="X19" i="70"/>
  <c r="P19" i="70"/>
  <c r="O19" i="70"/>
  <c r="Q19" i="70" s="1"/>
  <c r="M19" i="70"/>
  <c r="H19" i="70"/>
  <c r="C19" i="70"/>
  <c r="AB18" i="70"/>
  <c r="AD18" i="70" s="1"/>
  <c r="J18" i="70" s="1"/>
  <c r="Y18" i="70"/>
  <c r="X18" i="70"/>
  <c r="P18" i="70"/>
  <c r="O18" i="70"/>
  <c r="Q18" i="70" s="1"/>
  <c r="M18" i="70"/>
  <c r="H18" i="70"/>
  <c r="C18" i="70"/>
  <c r="AB17" i="70"/>
  <c r="AD17" i="70" s="1"/>
  <c r="J17" i="70" s="1"/>
  <c r="Y17" i="70"/>
  <c r="X17" i="70"/>
  <c r="Q17" i="70"/>
  <c r="P17" i="70"/>
  <c r="O17" i="70"/>
  <c r="M17" i="70"/>
  <c r="H17" i="70"/>
  <c r="C17" i="70"/>
  <c r="AB16" i="70"/>
  <c r="AD16" i="70" s="1"/>
  <c r="J16" i="70" s="1"/>
  <c r="Y16" i="70"/>
  <c r="X16" i="70"/>
  <c r="P16" i="70"/>
  <c r="O16" i="70"/>
  <c r="Q16" i="70" s="1"/>
  <c r="M16" i="70"/>
  <c r="H16" i="70"/>
  <c r="C16" i="70"/>
  <c r="AB15" i="70"/>
  <c r="AD15" i="70" s="1"/>
  <c r="J15" i="70" s="1"/>
  <c r="K15" i="70" s="1"/>
  <c r="Y15" i="70"/>
  <c r="X15" i="70"/>
  <c r="Q15" i="70"/>
  <c r="P15" i="70"/>
  <c r="O15" i="70"/>
  <c r="M15" i="70"/>
  <c r="H15" i="70"/>
  <c r="C15" i="70"/>
  <c r="AD14" i="70"/>
  <c r="J14" i="70" s="1"/>
  <c r="AB14" i="70"/>
  <c r="Y14" i="70"/>
  <c r="X14" i="70"/>
  <c r="P14" i="70"/>
  <c r="Q14" i="70" s="1"/>
  <c r="O14" i="70"/>
  <c r="M14" i="70"/>
  <c r="H14" i="70"/>
  <c r="C14" i="70"/>
  <c r="AD13" i="70"/>
  <c r="J13" i="70" s="1"/>
  <c r="I13" i="70" s="1"/>
  <c r="AB13" i="70"/>
  <c r="Y13" i="70"/>
  <c r="X13" i="70"/>
  <c r="P13" i="70"/>
  <c r="O13" i="70"/>
  <c r="Q13" i="70" s="1"/>
  <c r="M13" i="70"/>
  <c r="K13" i="70"/>
  <c r="H13" i="70"/>
  <c r="C13" i="70"/>
  <c r="AB12" i="70"/>
  <c r="AD12" i="70" s="1"/>
  <c r="J12" i="70" s="1"/>
  <c r="Y12" i="70"/>
  <c r="X12" i="70"/>
  <c r="P12" i="70"/>
  <c r="O12" i="70"/>
  <c r="Q12" i="70" s="1"/>
  <c r="M12" i="70"/>
  <c r="H12" i="70"/>
  <c r="C12" i="70"/>
  <c r="AD11" i="70"/>
  <c r="J11" i="70" s="1"/>
  <c r="AB11" i="70"/>
  <c r="Y11" i="70"/>
  <c r="X11" i="70"/>
  <c r="P11" i="70"/>
  <c r="O11" i="70"/>
  <c r="Q11" i="70" s="1"/>
  <c r="M11" i="70"/>
  <c r="H11" i="70"/>
  <c r="C11" i="70"/>
  <c r="AB10" i="70"/>
  <c r="AD10" i="70" s="1"/>
  <c r="J10" i="70" s="1"/>
  <c r="Y10" i="70"/>
  <c r="X10" i="70"/>
  <c r="P10" i="70"/>
  <c r="O10" i="70"/>
  <c r="Q10" i="70" s="1"/>
  <c r="M10" i="70"/>
  <c r="H10" i="70"/>
  <c r="C10" i="70"/>
  <c r="AB9" i="70"/>
  <c r="AD9" i="70" s="1"/>
  <c r="J9" i="70" s="1"/>
  <c r="Y9" i="70"/>
  <c r="X9" i="70"/>
  <c r="Q9" i="70"/>
  <c r="P9" i="70"/>
  <c r="O9" i="70"/>
  <c r="M9" i="70"/>
  <c r="H9" i="70"/>
  <c r="C9" i="70"/>
  <c r="AB8" i="70"/>
  <c r="AD8" i="70" s="1"/>
  <c r="J8" i="70" s="1"/>
  <c r="Y8" i="70"/>
  <c r="X8" i="70"/>
  <c r="P8" i="70"/>
  <c r="O8" i="70"/>
  <c r="Q8" i="70" s="1"/>
  <c r="M8" i="70"/>
  <c r="H8" i="70"/>
  <c r="C8" i="70"/>
  <c r="AB7" i="70"/>
  <c r="AD7" i="70" s="1"/>
  <c r="J7" i="70" s="1"/>
  <c r="K7" i="70" s="1"/>
  <c r="Y7" i="70"/>
  <c r="X7" i="70"/>
  <c r="Q7" i="70"/>
  <c r="P7" i="70"/>
  <c r="O7" i="70"/>
  <c r="M7" i="70"/>
  <c r="H7" i="70"/>
  <c r="C7" i="70"/>
  <c r="AD6" i="70"/>
  <c r="J6" i="70" s="1"/>
  <c r="AB6" i="70"/>
  <c r="Y6" i="70"/>
  <c r="X6" i="70"/>
  <c r="P6" i="70"/>
  <c r="Q6" i="70" s="1"/>
  <c r="O6" i="70"/>
  <c r="M6" i="70"/>
  <c r="H6" i="70"/>
  <c r="C6" i="70"/>
  <c r="AD5" i="70"/>
  <c r="J5" i="70" s="1"/>
  <c r="I5" i="70" s="1"/>
  <c r="AB5" i="70"/>
  <c r="Y5" i="70"/>
  <c r="X5" i="70"/>
  <c r="P5" i="70"/>
  <c r="O5" i="70"/>
  <c r="Q5" i="70" s="1"/>
  <c r="M5" i="70"/>
  <c r="K5" i="70"/>
  <c r="H5" i="70"/>
  <c r="C5" i="70"/>
  <c r="AB4" i="70"/>
  <c r="AD4" i="70" s="1"/>
  <c r="Y4" i="70"/>
  <c r="X4" i="70"/>
  <c r="P4" i="70"/>
  <c r="O4" i="70"/>
  <c r="Q4" i="70" s="1"/>
  <c r="M4" i="70"/>
  <c r="H4" i="70"/>
  <c r="C4" i="70"/>
  <c r="AG3" i="70"/>
  <c r="AF3" i="70"/>
  <c r="W3" i="70"/>
  <c r="X3" i="70" s="1"/>
  <c r="V3" i="70"/>
  <c r="U3" i="70"/>
  <c r="T3" i="70"/>
  <c r="O3" i="70"/>
  <c r="G3" i="70"/>
  <c r="F3" i="70"/>
  <c r="D3" i="70"/>
  <c r="C3" i="70"/>
  <c r="A2" i="70"/>
  <c r="A1" i="70"/>
  <c r="AB32" i="69"/>
  <c r="AD32" i="69" s="1"/>
  <c r="J32" i="69" s="1"/>
  <c r="Y32" i="69"/>
  <c r="X32" i="69"/>
  <c r="V32" i="69"/>
  <c r="U32" i="69"/>
  <c r="T32" i="69"/>
  <c r="P32" i="69"/>
  <c r="O32" i="69"/>
  <c r="Q32" i="69" s="1"/>
  <c r="M32" i="69"/>
  <c r="H32" i="69"/>
  <c r="C32" i="69"/>
  <c r="AB31" i="69"/>
  <c r="AD31" i="69" s="1"/>
  <c r="J31" i="69" s="1"/>
  <c r="Y31" i="69"/>
  <c r="X31" i="69"/>
  <c r="Q31" i="69"/>
  <c r="P31" i="69"/>
  <c r="O31" i="69"/>
  <c r="M31" i="69"/>
  <c r="H31" i="69"/>
  <c r="C31" i="69"/>
  <c r="AD30" i="69"/>
  <c r="J30" i="69" s="1"/>
  <c r="AB30" i="69"/>
  <c r="Y30" i="69"/>
  <c r="X30" i="69"/>
  <c r="P30" i="69"/>
  <c r="Q30" i="69" s="1"/>
  <c r="O30" i="69"/>
  <c r="M30" i="69"/>
  <c r="H30" i="69"/>
  <c r="C30" i="69"/>
  <c r="AD29" i="69"/>
  <c r="J29" i="69" s="1"/>
  <c r="I29" i="69" s="1"/>
  <c r="AB29" i="69"/>
  <c r="Y29" i="69"/>
  <c r="X29" i="69"/>
  <c r="P29" i="69"/>
  <c r="O29" i="69"/>
  <c r="Q29" i="69" s="1"/>
  <c r="M29" i="69"/>
  <c r="K29" i="69"/>
  <c r="H29" i="69"/>
  <c r="C29" i="69"/>
  <c r="AB28" i="69"/>
  <c r="AD28" i="69" s="1"/>
  <c r="J28" i="69" s="1"/>
  <c r="Y28" i="69"/>
  <c r="X28" i="69"/>
  <c r="P28" i="69"/>
  <c r="O28" i="69"/>
  <c r="Q28" i="69" s="1"/>
  <c r="M28" i="69"/>
  <c r="H28" i="69"/>
  <c r="C28" i="69"/>
  <c r="AD27" i="69"/>
  <c r="J27" i="69" s="1"/>
  <c r="AB27" i="69"/>
  <c r="Y27" i="69"/>
  <c r="X27" i="69"/>
  <c r="P27" i="69"/>
  <c r="O27" i="69"/>
  <c r="Q27" i="69" s="1"/>
  <c r="M27" i="69"/>
  <c r="H27" i="69"/>
  <c r="C27" i="69"/>
  <c r="AB26" i="69"/>
  <c r="AD26" i="69" s="1"/>
  <c r="J26" i="69" s="1"/>
  <c r="Y26" i="69"/>
  <c r="X26" i="69"/>
  <c r="P26" i="69"/>
  <c r="O26" i="69"/>
  <c r="Q26" i="69" s="1"/>
  <c r="M26" i="69"/>
  <c r="H26" i="69"/>
  <c r="C26" i="69"/>
  <c r="AB25" i="69"/>
  <c r="AD25" i="69" s="1"/>
  <c r="J25" i="69" s="1"/>
  <c r="Y25" i="69"/>
  <c r="X25" i="69"/>
  <c r="Q25" i="69"/>
  <c r="P25" i="69"/>
  <c r="O25" i="69"/>
  <c r="M25" i="69"/>
  <c r="H25" i="69"/>
  <c r="C25" i="69"/>
  <c r="AB24" i="69"/>
  <c r="AD24" i="69" s="1"/>
  <c r="J24" i="69" s="1"/>
  <c r="Y24" i="69"/>
  <c r="X24" i="69"/>
  <c r="P24" i="69"/>
  <c r="O24" i="69"/>
  <c r="Q24" i="69" s="1"/>
  <c r="M24" i="69"/>
  <c r="H24" i="69"/>
  <c r="C24" i="69"/>
  <c r="AB23" i="69"/>
  <c r="AD23" i="69" s="1"/>
  <c r="J23" i="69" s="1"/>
  <c r="Y23" i="69"/>
  <c r="X23" i="69"/>
  <c r="Q23" i="69"/>
  <c r="P23" i="69"/>
  <c r="O23" i="69"/>
  <c r="M23" i="69"/>
  <c r="H23" i="69"/>
  <c r="C23" i="69"/>
  <c r="AD22" i="69"/>
  <c r="J22" i="69" s="1"/>
  <c r="AB22" i="69"/>
  <c r="Y22" i="69"/>
  <c r="X22" i="69"/>
  <c r="P22" i="69"/>
  <c r="Q22" i="69" s="1"/>
  <c r="O22" i="69"/>
  <c r="M22" i="69"/>
  <c r="H22" i="69"/>
  <c r="C22" i="69"/>
  <c r="AD21" i="69"/>
  <c r="J21" i="69" s="1"/>
  <c r="I21" i="69" s="1"/>
  <c r="AB21" i="69"/>
  <c r="Y21" i="69"/>
  <c r="X21" i="69"/>
  <c r="P21" i="69"/>
  <c r="O21" i="69"/>
  <c r="Q21" i="69" s="1"/>
  <c r="M21" i="69"/>
  <c r="K21" i="69"/>
  <c r="H21" i="69"/>
  <c r="C21" i="69"/>
  <c r="AB20" i="69"/>
  <c r="AD20" i="69" s="1"/>
  <c r="J20" i="69" s="1"/>
  <c r="Y20" i="69"/>
  <c r="X20" i="69"/>
  <c r="P20" i="69"/>
  <c r="O20" i="69"/>
  <c r="Q20" i="69" s="1"/>
  <c r="M20" i="69"/>
  <c r="H20" i="69"/>
  <c r="C20" i="69"/>
  <c r="AD19" i="69"/>
  <c r="AB19" i="69"/>
  <c r="Y19" i="69"/>
  <c r="X19" i="69"/>
  <c r="P19" i="69"/>
  <c r="O19" i="69"/>
  <c r="Q19" i="69" s="1"/>
  <c r="M19" i="69"/>
  <c r="H19" i="69"/>
  <c r="C19" i="69"/>
  <c r="AG3" i="69"/>
  <c r="AF3" i="69"/>
  <c r="W3" i="69"/>
  <c r="V3" i="69"/>
  <c r="U3" i="69"/>
  <c r="T3" i="69"/>
  <c r="O3" i="69"/>
  <c r="H3" i="69"/>
  <c r="G3" i="69"/>
  <c r="F3" i="69"/>
  <c r="D3" i="69"/>
  <c r="X3" i="69" s="1"/>
  <c r="C3" i="69"/>
  <c r="A2" i="69"/>
  <c r="A1" i="69"/>
  <c r="AD32" i="68"/>
  <c r="AB32" i="68"/>
  <c r="Y32" i="68"/>
  <c r="X32" i="68"/>
  <c r="V32" i="68"/>
  <c r="U32" i="68"/>
  <c r="T32" i="68"/>
  <c r="Q32" i="68"/>
  <c r="P32" i="68"/>
  <c r="O32" i="68"/>
  <c r="M32" i="68"/>
  <c r="J32" i="68"/>
  <c r="K32" i="68" s="1"/>
  <c r="I32" i="68"/>
  <c r="H32" i="68"/>
  <c r="C32" i="68"/>
  <c r="AD31" i="68"/>
  <c r="J31" i="68" s="1"/>
  <c r="AB31" i="68"/>
  <c r="Y31" i="68"/>
  <c r="X31" i="68"/>
  <c r="P31" i="68"/>
  <c r="Q31" i="68" s="1"/>
  <c r="O31" i="68"/>
  <c r="M31" i="68"/>
  <c r="H31" i="68"/>
  <c r="C31" i="68"/>
  <c r="AD30" i="68"/>
  <c r="J30" i="68" s="1"/>
  <c r="I30" i="68" s="1"/>
  <c r="AB30" i="68"/>
  <c r="Y30" i="68"/>
  <c r="X30" i="68"/>
  <c r="P30" i="68"/>
  <c r="O30" i="68"/>
  <c r="Q30" i="68" s="1"/>
  <c r="M30" i="68"/>
  <c r="H30" i="68"/>
  <c r="C30" i="68"/>
  <c r="AB29" i="68"/>
  <c r="AD29" i="68" s="1"/>
  <c r="Y29" i="68"/>
  <c r="X29" i="68"/>
  <c r="P29" i="68"/>
  <c r="O29" i="68"/>
  <c r="Q29" i="68" s="1"/>
  <c r="M29" i="68"/>
  <c r="J29" i="68"/>
  <c r="K29" i="68" s="1"/>
  <c r="I29" i="68"/>
  <c r="H29" i="68"/>
  <c r="C29" i="68"/>
  <c r="AD28" i="68"/>
  <c r="J28" i="68" s="1"/>
  <c r="AB28" i="68"/>
  <c r="Y28" i="68"/>
  <c r="X28" i="68"/>
  <c r="P28" i="68"/>
  <c r="Q28" i="68" s="1"/>
  <c r="O28" i="68"/>
  <c r="M28" i="68"/>
  <c r="H28" i="68"/>
  <c r="C28" i="68"/>
  <c r="AB27" i="68"/>
  <c r="AD27" i="68" s="1"/>
  <c r="J27" i="68" s="1"/>
  <c r="Y27" i="68"/>
  <c r="X27" i="68"/>
  <c r="Q27" i="68"/>
  <c r="P27" i="68"/>
  <c r="O27" i="68"/>
  <c r="M27" i="68"/>
  <c r="H27" i="68"/>
  <c r="C27" i="68"/>
  <c r="AB26" i="68"/>
  <c r="AD26" i="68" s="1"/>
  <c r="J26" i="68" s="1"/>
  <c r="K26" i="68" s="1"/>
  <c r="Y26" i="68"/>
  <c r="X26" i="68"/>
  <c r="Q26" i="68"/>
  <c r="P26" i="68"/>
  <c r="O26" i="68"/>
  <c r="M26" i="68"/>
  <c r="I26" i="68"/>
  <c r="H26" i="68"/>
  <c r="C26" i="68"/>
  <c r="AB25" i="68"/>
  <c r="AD25" i="68" s="1"/>
  <c r="J25" i="68" s="1"/>
  <c r="Y25" i="68"/>
  <c r="X25" i="68"/>
  <c r="P25" i="68"/>
  <c r="O25" i="68"/>
  <c r="Q25" i="68" s="1"/>
  <c r="M25" i="68"/>
  <c r="H25" i="68"/>
  <c r="C25" i="68"/>
  <c r="AB24" i="68"/>
  <c r="AD24" i="68" s="1"/>
  <c r="J24" i="68" s="1"/>
  <c r="Y24" i="68"/>
  <c r="X24" i="68"/>
  <c r="Q24" i="68"/>
  <c r="P24" i="68"/>
  <c r="O24" i="68"/>
  <c r="M24" i="68"/>
  <c r="H24" i="68"/>
  <c r="C24" i="68"/>
  <c r="AD23" i="68"/>
  <c r="J23" i="68" s="1"/>
  <c r="AB23" i="68"/>
  <c r="Y23" i="68"/>
  <c r="X23" i="68"/>
  <c r="Q23" i="68"/>
  <c r="P23" i="68"/>
  <c r="O23" i="68"/>
  <c r="M23" i="68"/>
  <c r="H23" i="68"/>
  <c r="C23" i="68"/>
  <c r="AD22" i="68"/>
  <c r="J22" i="68" s="1"/>
  <c r="I22" i="68" s="1"/>
  <c r="AB22" i="68"/>
  <c r="Y22" i="68"/>
  <c r="X22" i="68"/>
  <c r="P22" i="68"/>
  <c r="O22" i="68"/>
  <c r="Q22" i="68" s="1"/>
  <c r="M22" i="68"/>
  <c r="H22" i="68"/>
  <c r="C22" i="68"/>
  <c r="AB21" i="68"/>
  <c r="AD21" i="68" s="1"/>
  <c r="J21" i="68" s="1"/>
  <c r="Y21" i="68"/>
  <c r="X21" i="68"/>
  <c r="P21" i="68"/>
  <c r="O21" i="68"/>
  <c r="Q21" i="68" s="1"/>
  <c r="M21" i="68"/>
  <c r="H21" i="68"/>
  <c r="C21" i="68"/>
  <c r="AD20" i="68"/>
  <c r="J20" i="68" s="1"/>
  <c r="AB20" i="68"/>
  <c r="Y20" i="68"/>
  <c r="X20" i="68"/>
  <c r="P20" i="68"/>
  <c r="O20" i="68"/>
  <c r="Q20" i="68" s="1"/>
  <c r="M20" i="68"/>
  <c r="H20" i="68"/>
  <c r="C20" i="68"/>
  <c r="AD19" i="68"/>
  <c r="J19" i="68" s="1"/>
  <c r="I19" i="68" s="1"/>
  <c r="AB19" i="68"/>
  <c r="Y19" i="68"/>
  <c r="X19" i="68"/>
  <c r="Q19" i="68"/>
  <c r="P19" i="68"/>
  <c r="O19" i="68"/>
  <c r="M19" i="68"/>
  <c r="K19" i="68"/>
  <c r="H19" i="68"/>
  <c r="C19" i="68"/>
  <c r="AB18" i="68"/>
  <c r="AD18" i="68" s="1"/>
  <c r="J18" i="68" s="1"/>
  <c r="K18" i="68" s="1"/>
  <c r="Y18" i="68"/>
  <c r="X18" i="68"/>
  <c r="Q18" i="68"/>
  <c r="P18" i="68"/>
  <c r="O18" i="68"/>
  <c r="M18" i="68"/>
  <c r="H18" i="68"/>
  <c r="C18" i="68"/>
  <c r="AB17" i="68"/>
  <c r="AD17" i="68" s="1"/>
  <c r="J17" i="68" s="1"/>
  <c r="Y17" i="68"/>
  <c r="X17" i="68"/>
  <c r="P17" i="68"/>
  <c r="O17" i="68"/>
  <c r="Q17" i="68" s="1"/>
  <c r="M17" i="68"/>
  <c r="H17" i="68"/>
  <c r="C17" i="68"/>
  <c r="AB16" i="68"/>
  <c r="AD16" i="68" s="1"/>
  <c r="J16" i="68" s="1"/>
  <c r="Y16" i="68"/>
  <c r="X16" i="68"/>
  <c r="Q16" i="68"/>
  <c r="P16" i="68"/>
  <c r="O16" i="68"/>
  <c r="M16" i="68"/>
  <c r="H16" i="68"/>
  <c r="C16" i="68"/>
  <c r="AD15" i="68"/>
  <c r="J15" i="68" s="1"/>
  <c r="AB15" i="68"/>
  <c r="Y15" i="68"/>
  <c r="X15" i="68"/>
  <c r="Q15" i="68"/>
  <c r="P15" i="68"/>
  <c r="O15" i="68"/>
  <c r="M15" i="68"/>
  <c r="H15" i="68"/>
  <c r="C15" i="68"/>
  <c r="AD14" i="68"/>
  <c r="J14" i="68" s="1"/>
  <c r="K14" i="68" s="1"/>
  <c r="AB14" i="68"/>
  <c r="Y14" i="68"/>
  <c r="X14" i="68"/>
  <c r="P14" i="68"/>
  <c r="O14" i="68"/>
  <c r="Q14" i="68" s="1"/>
  <c r="M14" i="68"/>
  <c r="I14" i="68"/>
  <c r="H14" i="68"/>
  <c r="C14" i="68"/>
  <c r="AB13" i="68"/>
  <c r="AD13" i="68" s="1"/>
  <c r="Y13" i="68"/>
  <c r="X13" i="68"/>
  <c r="P13" i="68"/>
  <c r="O13" i="68"/>
  <c r="M13" i="68"/>
  <c r="J13" i="68"/>
  <c r="K13" i="68" s="1"/>
  <c r="I13" i="68"/>
  <c r="H13" i="68"/>
  <c r="C13" i="68"/>
  <c r="AD12" i="68"/>
  <c r="J12" i="68" s="1"/>
  <c r="I12" i="68" s="1"/>
  <c r="AB12" i="68"/>
  <c r="Y12" i="68"/>
  <c r="X12" i="68"/>
  <c r="P12" i="68"/>
  <c r="Q12" i="68" s="1"/>
  <c r="O12" i="68"/>
  <c r="M12" i="68"/>
  <c r="K12" i="68"/>
  <c r="H12" i="68"/>
  <c r="C12" i="68"/>
  <c r="AB11" i="68"/>
  <c r="AD11" i="68" s="1"/>
  <c r="J11" i="68" s="1"/>
  <c r="Y11" i="68"/>
  <c r="X11" i="68"/>
  <c r="Q11" i="68"/>
  <c r="P11" i="68"/>
  <c r="O11" i="68"/>
  <c r="M11" i="68"/>
  <c r="H11" i="68"/>
  <c r="C11" i="68"/>
  <c r="AB10" i="68"/>
  <c r="AD10" i="68" s="1"/>
  <c r="J10" i="68" s="1"/>
  <c r="K10" i="68" s="1"/>
  <c r="Y10" i="68"/>
  <c r="X10" i="68"/>
  <c r="P10" i="68"/>
  <c r="O10" i="68"/>
  <c r="Q10" i="68" s="1"/>
  <c r="M10" i="68"/>
  <c r="H10" i="68"/>
  <c r="C10" i="68"/>
  <c r="AB9" i="68"/>
  <c r="AD9" i="68" s="1"/>
  <c r="J9" i="68" s="1"/>
  <c r="Y9" i="68"/>
  <c r="X9" i="68"/>
  <c r="P9" i="68"/>
  <c r="O9" i="68"/>
  <c r="Q9" i="68" s="1"/>
  <c r="M9" i="68"/>
  <c r="H9" i="68"/>
  <c r="C9" i="68"/>
  <c r="AB8" i="68"/>
  <c r="AD8" i="68" s="1"/>
  <c r="J8" i="68" s="1"/>
  <c r="K8" i="68" s="1"/>
  <c r="Y8" i="68"/>
  <c r="X8" i="68"/>
  <c r="Q8" i="68"/>
  <c r="P8" i="68"/>
  <c r="O8" i="68"/>
  <c r="M8" i="68"/>
  <c r="H8" i="68"/>
  <c r="C8" i="68"/>
  <c r="AD7" i="68"/>
  <c r="J7" i="68" s="1"/>
  <c r="I7" i="68" s="1"/>
  <c r="AB7" i="68"/>
  <c r="Y7" i="68"/>
  <c r="X7" i="68"/>
  <c r="P7" i="68"/>
  <c r="Q7" i="68" s="1"/>
  <c r="O7" i="68"/>
  <c r="M7" i="68"/>
  <c r="K7" i="68"/>
  <c r="H7" i="68"/>
  <c r="C7" i="68"/>
  <c r="AD6" i="68"/>
  <c r="J6" i="68" s="1"/>
  <c r="K6" i="68" s="1"/>
  <c r="AB6" i="68"/>
  <c r="Y6" i="68"/>
  <c r="X6" i="68"/>
  <c r="P6" i="68"/>
  <c r="O6" i="68"/>
  <c r="Q6" i="68" s="1"/>
  <c r="M6" i="68"/>
  <c r="I6" i="68"/>
  <c r="H6" i="68"/>
  <c r="C6" i="68"/>
  <c r="AB5" i="68"/>
  <c r="AD5" i="68" s="1"/>
  <c r="Y5" i="68"/>
  <c r="X5" i="68"/>
  <c r="P5" i="68"/>
  <c r="O5" i="68"/>
  <c r="M5" i="68"/>
  <c r="J5" i="68"/>
  <c r="K5" i="68" s="1"/>
  <c r="I5" i="68"/>
  <c r="H5" i="68"/>
  <c r="C5" i="68"/>
  <c r="AB4" i="68"/>
  <c r="AD4" i="68" s="1"/>
  <c r="Y4" i="68"/>
  <c r="X4" i="68"/>
  <c r="P4" i="68"/>
  <c r="Q4" i="68" s="1"/>
  <c r="O4" i="68"/>
  <c r="M4" i="68"/>
  <c r="H4" i="68"/>
  <c r="C4" i="68"/>
  <c r="AG3" i="68"/>
  <c r="AF3" i="68"/>
  <c r="W3" i="68"/>
  <c r="X3" i="68" s="1"/>
  <c r="V3" i="68"/>
  <c r="U3" i="68"/>
  <c r="T3" i="68"/>
  <c r="O3" i="68"/>
  <c r="G3" i="68"/>
  <c r="F3" i="68"/>
  <c r="H3" i="68" s="1"/>
  <c r="D3" i="68"/>
  <c r="C3" i="68"/>
  <c r="A2" i="68"/>
  <c r="A1" i="68"/>
  <c r="AD32" i="67"/>
  <c r="J32" i="67" s="1"/>
  <c r="AB32" i="67"/>
  <c r="Y32" i="67"/>
  <c r="X32" i="67"/>
  <c r="V32" i="67"/>
  <c r="U32" i="67"/>
  <c r="T32" i="67"/>
  <c r="Q32" i="67"/>
  <c r="P32" i="67"/>
  <c r="O32" i="67"/>
  <c r="M32" i="67"/>
  <c r="H32" i="67"/>
  <c r="C32" i="67"/>
  <c r="AD31" i="67"/>
  <c r="J31" i="67" s="1"/>
  <c r="AB31" i="67"/>
  <c r="Y31" i="67"/>
  <c r="X31" i="67"/>
  <c r="P31" i="67"/>
  <c r="Q31" i="67" s="1"/>
  <c r="O31" i="67"/>
  <c r="M31" i="67"/>
  <c r="K31" i="67"/>
  <c r="I31" i="67"/>
  <c r="H31" i="67"/>
  <c r="C31" i="67"/>
  <c r="AD30" i="67"/>
  <c r="J30" i="67" s="1"/>
  <c r="AB30" i="67"/>
  <c r="Y30" i="67"/>
  <c r="X30" i="67"/>
  <c r="P30" i="67"/>
  <c r="O30" i="67"/>
  <c r="Q30" i="67" s="1"/>
  <c r="M30" i="67"/>
  <c r="K30" i="67"/>
  <c r="I30" i="67"/>
  <c r="H30" i="67"/>
  <c r="C30" i="67"/>
  <c r="AD29" i="67"/>
  <c r="AB29" i="67"/>
  <c r="Y29" i="67"/>
  <c r="X29" i="67"/>
  <c r="P29" i="67"/>
  <c r="O29" i="67"/>
  <c r="M29" i="67"/>
  <c r="J29" i="67"/>
  <c r="H29" i="67"/>
  <c r="C29" i="67"/>
  <c r="AD28" i="67"/>
  <c r="J28" i="67" s="1"/>
  <c r="AB28" i="67"/>
  <c r="Y28" i="67"/>
  <c r="X28" i="67"/>
  <c r="Q28" i="67"/>
  <c r="P28" i="67"/>
  <c r="O28" i="67"/>
  <c r="M28" i="67"/>
  <c r="H28" i="67"/>
  <c r="C28" i="67"/>
  <c r="AB27" i="67"/>
  <c r="AD27" i="67" s="1"/>
  <c r="J27" i="67" s="1"/>
  <c r="Y27" i="67"/>
  <c r="X27" i="67"/>
  <c r="P27" i="67"/>
  <c r="O27" i="67"/>
  <c r="Q27" i="67" s="1"/>
  <c r="M27" i="67"/>
  <c r="H27" i="67"/>
  <c r="C27" i="67"/>
  <c r="AB26" i="67"/>
  <c r="AD26" i="67" s="1"/>
  <c r="J26" i="67" s="1"/>
  <c r="Y26" i="67"/>
  <c r="X26" i="67"/>
  <c r="P26" i="67"/>
  <c r="O26" i="67"/>
  <c r="Q26" i="67" s="1"/>
  <c r="M26" i="67"/>
  <c r="H26" i="67"/>
  <c r="C26" i="67"/>
  <c r="AB25" i="67"/>
  <c r="AD25" i="67" s="1"/>
  <c r="J25" i="67" s="1"/>
  <c r="Y25" i="67"/>
  <c r="X25" i="67"/>
  <c r="P25" i="67"/>
  <c r="Q25" i="67" s="1"/>
  <c r="O25" i="67"/>
  <c r="M25" i="67"/>
  <c r="H25" i="67"/>
  <c r="C25" i="67"/>
  <c r="AD24" i="67"/>
  <c r="J24" i="67" s="1"/>
  <c r="I24" i="67" s="1"/>
  <c r="AB24" i="67"/>
  <c r="Y24" i="67"/>
  <c r="X24" i="67"/>
  <c r="Q24" i="67"/>
  <c r="P24" i="67"/>
  <c r="O24" i="67"/>
  <c r="M24" i="67"/>
  <c r="K24" i="67"/>
  <c r="H24" i="67"/>
  <c r="C24" i="67"/>
  <c r="AB23" i="67"/>
  <c r="AD23" i="67" s="1"/>
  <c r="J23" i="67" s="1"/>
  <c r="Y23" i="67"/>
  <c r="X23" i="67"/>
  <c r="P23" i="67"/>
  <c r="O23" i="67"/>
  <c r="Q23" i="67" s="1"/>
  <c r="M23" i="67"/>
  <c r="H23" i="67"/>
  <c r="C23" i="67"/>
  <c r="AD22" i="67"/>
  <c r="J22" i="67" s="1"/>
  <c r="AB22" i="67"/>
  <c r="Y22" i="67"/>
  <c r="X22" i="67"/>
  <c r="P22" i="67"/>
  <c r="O22" i="67"/>
  <c r="Q22" i="67" s="1"/>
  <c r="M22" i="67"/>
  <c r="H22" i="67"/>
  <c r="C22" i="67"/>
  <c r="AB21" i="67"/>
  <c r="AD21" i="67" s="1"/>
  <c r="J21" i="67" s="1"/>
  <c r="Y21" i="67"/>
  <c r="X21" i="67"/>
  <c r="P21" i="67"/>
  <c r="O21" i="67"/>
  <c r="Q21" i="67" s="1"/>
  <c r="M21" i="67"/>
  <c r="H21" i="67"/>
  <c r="C21" i="67"/>
  <c r="AD20" i="67"/>
  <c r="J20" i="67" s="1"/>
  <c r="AB20" i="67"/>
  <c r="Y20" i="67"/>
  <c r="X20" i="67"/>
  <c r="Q20" i="67"/>
  <c r="P20" i="67"/>
  <c r="O20" i="67"/>
  <c r="M20" i="67"/>
  <c r="H20" i="67"/>
  <c r="C20" i="67"/>
  <c r="AB19" i="67"/>
  <c r="AD19" i="67" s="1"/>
  <c r="J19" i="67" s="1"/>
  <c r="Y19" i="67"/>
  <c r="X19" i="67"/>
  <c r="P19" i="67"/>
  <c r="O19" i="67"/>
  <c r="Q19" i="67" s="1"/>
  <c r="M19" i="67"/>
  <c r="H19" i="67"/>
  <c r="C19" i="67"/>
  <c r="AB18" i="67"/>
  <c r="AD18" i="67" s="1"/>
  <c r="J18" i="67" s="1"/>
  <c r="Y18" i="67"/>
  <c r="X18" i="67"/>
  <c r="P18" i="67"/>
  <c r="O18" i="67"/>
  <c r="Q18" i="67" s="1"/>
  <c r="M18" i="67"/>
  <c r="H18" i="67"/>
  <c r="C18" i="67"/>
  <c r="AB17" i="67"/>
  <c r="AD17" i="67" s="1"/>
  <c r="J17" i="67" s="1"/>
  <c r="Y17" i="67"/>
  <c r="X17" i="67"/>
  <c r="P17" i="67"/>
  <c r="Q17" i="67" s="1"/>
  <c r="O17" i="67"/>
  <c r="M17" i="67"/>
  <c r="H17" i="67"/>
  <c r="C17" i="67"/>
  <c r="AD16" i="67"/>
  <c r="J16" i="67" s="1"/>
  <c r="I16" i="67" s="1"/>
  <c r="AB16" i="67"/>
  <c r="Y16" i="67"/>
  <c r="X16" i="67"/>
  <c r="Q16" i="67"/>
  <c r="P16" i="67"/>
  <c r="O16" i="67"/>
  <c r="M16" i="67"/>
  <c r="K16" i="67"/>
  <c r="H16" i="67"/>
  <c r="C16" i="67"/>
  <c r="AB15" i="67"/>
  <c r="AD15" i="67" s="1"/>
  <c r="J15" i="67" s="1"/>
  <c r="Y15" i="67"/>
  <c r="X15" i="67"/>
  <c r="P15" i="67"/>
  <c r="O15" i="67"/>
  <c r="Q15" i="67" s="1"/>
  <c r="M15" i="67"/>
  <c r="H15" i="67"/>
  <c r="C15" i="67"/>
  <c r="AD14" i="67"/>
  <c r="J14" i="67" s="1"/>
  <c r="AB14" i="67"/>
  <c r="Y14" i="67"/>
  <c r="X14" i="67"/>
  <c r="P14" i="67"/>
  <c r="O14" i="67"/>
  <c r="Q14" i="67" s="1"/>
  <c r="M14" i="67"/>
  <c r="H14" i="67"/>
  <c r="C14" i="67"/>
  <c r="AB13" i="67"/>
  <c r="AD13" i="67" s="1"/>
  <c r="J13" i="67" s="1"/>
  <c r="Y13" i="67"/>
  <c r="X13" i="67"/>
  <c r="P13" i="67"/>
  <c r="O13" i="67"/>
  <c r="Q13" i="67" s="1"/>
  <c r="M13" i="67"/>
  <c r="H13" i="67"/>
  <c r="C13" i="67"/>
  <c r="AD12" i="67"/>
  <c r="J12" i="67" s="1"/>
  <c r="AB12" i="67"/>
  <c r="Y12" i="67"/>
  <c r="X12" i="67"/>
  <c r="Q12" i="67"/>
  <c r="P12" i="67"/>
  <c r="O12" i="67"/>
  <c r="M12" i="67"/>
  <c r="H12" i="67"/>
  <c r="C12" i="67"/>
  <c r="AB11" i="67"/>
  <c r="AD11" i="67" s="1"/>
  <c r="J11" i="67" s="1"/>
  <c r="Y11" i="67"/>
  <c r="X11" i="67"/>
  <c r="P11" i="67"/>
  <c r="O11" i="67"/>
  <c r="Q11" i="67" s="1"/>
  <c r="M11" i="67"/>
  <c r="H11" i="67"/>
  <c r="C11" i="67"/>
  <c r="AB10" i="67"/>
  <c r="AD10" i="67" s="1"/>
  <c r="J10" i="67" s="1"/>
  <c r="Y10" i="67"/>
  <c r="X10" i="67"/>
  <c r="P10" i="67"/>
  <c r="O10" i="67"/>
  <c r="Q10" i="67" s="1"/>
  <c r="M10" i="67"/>
  <c r="H10" i="67"/>
  <c r="C10" i="67"/>
  <c r="AB9" i="67"/>
  <c r="AD9" i="67" s="1"/>
  <c r="J9" i="67" s="1"/>
  <c r="Y9" i="67"/>
  <c r="X9" i="67"/>
  <c r="P9" i="67"/>
  <c r="Q9" i="67" s="1"/>
  <c r="O9" i="67"/>
  <c r="M9" i="67"/>
  <c r="H9" i="67"/>
  <c r="C9" i="67"/>
  <c r="AD8" i="67"/>
  <c r="J8" i="67" s="1"/>
  <c r="I8" i="67" s="1"/>
  <c r="AB8" i="67"/>
  <c r="Y8" i="67"/>
  <c r="X8" i="67"/>
  <c r="P8" i="67"/>
  <c r="O8" i="67"/>
  <c r="Q8" i="67" s="1"/>
  <c r="M8" i="67"/>
  <c r="K8" i="67"/>
  <c r="H8" i="67"/>
  <c r="C8" i="67"/>
  <c r="AB7" i="67"/>
  <c r="AD7" i="67" s="1"/>
  <c r="J7" i="67" s="1"/>
  <c r="Y7" i="67"/>
  <c r="X7" i="67"/>
  <c r="P7" i="67"/>
  <c r="Q7" i="67" s="1"/>
  <c r="O7" i="67"/>
  <c r="M7" i="67"/>
  <c r="H7" i="67"/>
  <c r="C7" i="67"/>
  <c r="AD6" i="67"/>
  <c r="J6" i="67" s="1"/>
  <c r="AB6" i="67"/>
  <c r="Y6" i="67"/>
  <c r="X6" i="67"/>
  <c r="P6" i="67"/>
  <c r="O6" i="67"/>
  <c r="Q6" i="67" s="1"/>
  <c r="M6" i="67"/>
  <c r="H6" i="67"/>
  <c r="C6" i="67"/>
  <c r="AB5" i="67"/>
  <c r="AD5" i="67" s="1"/>
  <c r="J5" i="67" s="1"/>
  <c r="Y5" i="67"/>
  <c r="X5" i="67"/>
  <c r="P5" i="67"/>
  <c r="O5" i="67"/>
  <c r="Q5" i="67" s="1"/>
  <c r="M5" i="67"/>
  <c r="H5" i="67"/>
  <c r="C5" i="67"/>
  <c r="AD4" i="67"/>
  <c r="AB4" i="67"/>
  <c r="Y4" i="67"/>
  <c r="X4" i="67"/>
  <c r="Q4" i="67"/>
  <c r="P4" i="67"/>
  <c r="O4" i="67"/>
  <c r="M4" i="67"/>
  <c r="H4" i="67"/>
  <c r="C4" i="67"/>
  <c r="AG3" i="67"/>
  <c r="AF3" i="67"/>
  <c r="W3" i="67"/>
  <c r="V3" i="67"/>
  <c r="U3" i="67"/>
  <c r="T3" i="67"/>
  <c r="O3" i="67"/>
  <c r="G3" i="67"/>
  <c r="H3" i="67" s="1"/>
  <c r="F3" i="67"/>
  <c r="D3" i="67"/>
  <c r="X3" i="67" s="1"/>
  <c r="C3" i="67"/>
  <c r="A2" i="67"/>
  <c r="A1" i="67"/>
  <c r="AD32" i="66"/>
  <c r="J32" i="66" s="1"/>
  <c r="I32" i="66" s="1"/>
  <c r="AB32" i="66"/>
  <c r="Y32" i="66"/>
  <c r="X32" i="66"/>
  <c r="V32" i="66"/>
  <c r="U32" i="66"/>
  <c r="T32" i="66"/>
  <c r="P32" i="66"/>
  <c r="O32" i="66"/>
  <c r="Q32" i="66" s="1"/>
  <c r="M32" i="66"/>
  <c r="K32" i="66"/>
  <c r="H32" i="66"/>
  <c r="C32" i="66"/>
  <c r="AB31" i="66"/>
  <c r="AD31" i="66" s="1"/>
  <c r="J31" i="66" s="1"/>
  <c r="Y31" i="66"/>
  <c r="X31" i="66"/>
  <c r="P31" i="66"/>
  <c r="Q31" i="66" s="1"/>
  <c r="O31" i="66"/>
  <c r="M31" i="66"/>
  <c r="H31" i="66"/>
  <c r="C31" i="66"/>
  <c r="AD30" i="66"/>
  <c r="J30" i="66" s="1"/>
  <c r="AB30" i="66"/>
  <c r="Y30" i="66"/>
  <c r="X30" i="66"/>
  <c r="P30" i="66"/>
  <c r="O30" i="66"/>
  <c r="Q30" i="66" s="1"/>
  <c r="M30" i="66"/>
  <c r="H30" i="66"/>
  <c r="C30" i="66"/>
  <c r="AB29" i="66"/>
  <c r="AD29" i="66" s="1"/>
  <c r="Y29" i="66"/>
  <c r="X29" i="66"/>
  <c r="P29" i="66"/>
  <c r="O29" i="66"/>
  <c r="Q29" i="66" s="1"/>
  <c r="M29" i="66"/>
  <c r="J29" i="66"/>
  <c r="H29" i="66"/>
  <c r="C29" i="66"/>
  <c r="AD28" i="66"/>
  <c r="J28" i="66" s="1"/>
  <c r="AB28" i="66"/>
  <c r="Y28" i="66"/>
  <c r="X28" i="66"/>
  <c r="Q28" i="66"/>
  <c r="P28" i="66"/>
  <c r="O28" i="66"/>
  <c r="M28" i="66"/>
  <c r="H28" i="66"/>
  <c r="C28" i="66"/>
  <c r="AB27" i="66"/>
  <c r="AD27" i="66" s="1"/>
  <c r="J27" i="66" s="1"/>
  <c r="Y27" i="66"/>
  <c r="X27" i="66"/>
  <c r="P27" i="66"/>
  <c r="O27" i="66"/>
  <c r="Q27" i="66" s="1"/>
  <c r="M27" i="66"/>
  <c r="H27" i="66"/>
  <c r="C27" i="66"/>
  <c r="AD26" i="66"/>
  <c r="J26" i="66" s="1"/>
  <c r="K26" i="66" s="1"/>
  <c r="AB26" i="66"/>
  <c r="Y26" i="66"/>
  <c r="X26" i="66"/>
  <c r="P26" i="66"/>
  <c r="O26" i="66"/>
  <c r="Q26" i="66" s="1"/>
  <c r="M26" i="66"/>
  <c r="H26" i="66"/>
  <c r="C26" i="66"/>
  <c r="AB25" i="66"/>
  <c r="AD25" i="66" s="1"/>
  <c r="J25" i="66" s="1"/>
  <c r="Y25" i="66"/>
  <c r="X25" i="66"/>
  <c r="P25" i="66"/>
  <c r="Q25" i="66" s="1"/>
  <c r="O25" i="66"/>
  <c r="M25" i="66"/>
  <c r="H25" i="66"/>
  <c r="C25" i="66"/>
  <c r="AD24" i="66"/>
  <c r="J24" i="66" s="1"/>
  <c r="AB24" i="66"/>
  <c r="Y24" i="66"/>
  <c r="X24" i="66"/>
  <c r="P24" i="66"/>
  <c r="O24" i="66"/>
  <c r="Q24" i="66" s="1"/>
  <c r="M24" i="66"/>
  <c r="H24" i="66"/>
  <c r="C24" i="66"/>
  <c r="AB23" i="66"/>
  <c r="AD23" i="66" s="1"/>
  <c r="J23" i="66" s="1"/>
  <c r="Y23" i="66"/>
  <c r="X23" i="66"/>
  <c r="P23" i="66"/>
  <c r="Q23" i="66" s="1"/>
  <c r="O23" i="66"/>
  <c r="M23" i="66"/>
  <c r="H23" i="66"/>
  <c r="C23" i="66"/>
  <c r="AD22" i="66"/>
  <c r="J22" i="66" s="1"/>
  <c r="AB22" i="66"/>
  <c r="Y22" i="66"/>
  <c r="X22" i="66"/>
  <c r="P22" i="66"/>
  <c r="O22" i="66"/>
  <c r="Q22" i="66" s="1"/>
  <c r="M22" i="66"/>
  <c r="H22" i="66"/>
  <c r="C22" i="66"/>
  <c r="AB21" i="66"/>
  <c r="AD21" i="66" s="1"/>
  <c r="J21" i="66" s="1"/>
  <c r="Y21" i="66"/>
  <c r="X21" i="66"/>
  <c r="P21" i="66"/>
  <c r="O21" i="66"/>
  <c r="Q21" i="66" s="1"/>
  <c r="M21" i="66"/>
  <c r="H21" i="66"/>
  <c r="C21" i="66"/>
  <c r="AD20" i="66"/>
  <c r="J20" i="66" s="1"/>
  <c r="AB20" i="66"/>
  <c r="Y20" i="66"/>
  <c r="X20" i="66"/>
  <c r="Q20" i="66"/>
  <c r="P20" i="66"/>
  <c r="O20" i="66"/>
  <c r="M20" i="66"/>
  <c r="H20" i="66"/>
  <c r="C20" i="66"/>
  <c r="AB19" i="66"/>
  <c r="AD19" i="66" s="1"/>
  <c r="J19" i="66" s="1"/>
  <c r="Y19" i="66"/>
  <c r="X19" i="66"/>
  <c r="P19" i="66"/>
  <c r="O19" i="66"/>
  <c r="Q19" i="66" s="1"/>
  <c r="M19" i="66"/>
  <c r="H19" i="66"/>
  <c r="C19" i="66"/>
  <c r="AD18" i="66"/>
  <c r="J18" i="66" s="1"/>
  <c r="K18" i="66" s="1"/>
  <c r="AB18" i="66"/>
  <c r="Y18" i="66"/>
  <c r="X18" i="66"/>
  <c r="P18" i="66"/>
  <c r="O18" i="66"/>
  <c r="Q18" i="66" s="1"/>
  <c r="M18" i="66"/>
  <c r="H18" i="66"/>
  <c r="C18" i="66"/>
  <c r="AB17" i="66"/>
  <c r="AD17" i="66" s="1"/>
  <c r="J17" i="66" s="1"/>
  <c r="Y17" i="66"/>
  <c r="X17" i="66"/>
  <c r="P17" i="66"/>
  <c r="Q17" i="66" s="1"/>
  <c r="O17" i="66"/>
  <c r="M17" i="66"/>
  <c r="H17" i="66"/>
  <c r="C17" i="66"/>
  <c r="AD16" i="66"/>
  <c r="J16" i="66" s="1"/>
  <c r="AB16" i="66"/>
  <c r="Y16" i="66"/>
  <c r="X16" i="66"/>
  <c r="P16" i="66"/>
  <c r="O16" i="66"/>
  <c r="Q16" i="66" s="1"/>
  <c r="M16" i="66"/>
  <c r="H16" i="66"/>
  <c r="C16" i="66"/>
  <c r="AB15" i="66"/>
  <c r="AD15" i="66" s="1"/>
  <c r="J15" i="66" s="1"/>
  <c r="Y15" i="66"/>
  <c r="X15" i="66"/>
  <c r="P15" i="66"/>
  <c r="O15" i="66"/>
  <c r="Q15" i="66" s="1"/>
  <c r="M15" i="66"/>
  <c r="H15" i="66"/>
  <c r="C15" i="66"/>
  <c r="AD14" i="66"/>
  <c r="J14" i="66" s="1"/>
  <c r="AB14" i="66"/>
  <c r="Y14" i="66"/>
  <c r="X14" i="66"/>
  <c r="P14" i="66"/>
  <c r="O14" i="66"/>
  <c r="Q14" i="66" s="1"/>
  <c r="M14" i="66"/>
  <c r="H14" i="66"/>
  <c r="C14" i="66"/>
  <c r="AB13" i="66"/>
  <c r="AD13" i="66" s="1"/>
  <c r="J13" i="66" s="1"/>
  <c r="Y13" i="66"/>
  <c r="X13" i="66"/>
  <c r="P13" i="66"/>
  <c r="O13" i="66"/>
  <c r="Q13" i="66" s="1"/>
  <c r="M13" i="66"/>
  <c r="H13" i="66"/>
  <c r="C13" i="66"/>
  <c r="AD12" i="66"/>
  <c r="J12" i="66" s="1"/>
  <c r="AB12" i="66"/>
  <c r="Y12" i="66"/>
  <c r="X12" i="66"/>
  <c r="Q12" i="66"/>
  <c r="P12" i="66"/>
  <c r="O12" i="66"/>
  <c r="M12" i="66"/>
  <c r="H12" i="66"/>
  <c r="C12" i="66"/>
  <c r="AB11" i="66"/>
  <c r="AD11" i="66" s="1"/>
  <c r="J11" i="66" s="1"/>
  <c r="Y11" i="66"/>
  <c r="X11" i="66"/>
  <c r="P11" i="66"/>
  <c r="O11" i="66"/>
  <c r="Q11" i="66" s="1"/>
  <c r="M11" i="66"/>
  <c r="H11" i="66"/>
  <c r="C11" i="66"/>
  <c r="AB10" i="66"/>
  <c r="AD10" i="66" s="1"/>
  <c r="J10" i="66" s="1"/>
  <c r="K10" i="66" s="1"/>
  <c r="Y10" i="66"/>
  <c r="X10" i="66"/>
  <c r="P10" i="66"/>
  <c r="O10" i="66"/>
  <c r="Q10" i="66" s="1"/>
  <c r="M10" i="66"/>
  <c r="H10" i="66"/>
  <c r="C10" i="66"/>
  <c r="AB9" i="66"/>
  <c r="AD9" i="66" s="1"/>
  <c r="J9" i="66" s="1"/>
  <c r="Y9" i="66"/>
  <c r="X9" i="66"/>
  <c r="P9" i="66"/>
  <c r="Q9" i="66" s="1"/>
  <c r="O9" i="66"/>
  <c r="M9" i="66"/>
  <c r="H9" i="66"/>
  <c r="C9" i="66"/>
  <c r="AD8" i="66"/>
  <c r="J8" i="66" s="1"/>
  <c r="I8" i="66" s="1"/>
  <c r="AB8" i="66"/>
  <c r="Y8" i="66"/>
  <c r="X8" i="66"/>
  <c r="P8" i="66"/>
  <c r="O8" i="66"/>
  <c r="Q8" i="66" s="1"/>
  <c r="M8" i="66"/>
  <c r="K8" i="66"/>
  <c r="H8" i="66"/>
  <c r="C8" i="66"/>
  <c r="AB7" i="66"/>
  <c r="AD7" i="66" s="1"/>
  <c r="J7" i="66" s="1"/>
  <c r="Y7" i="66"/>
  <c r="X7" i="66"/>
  <c r="P7" i="66"/>
  <c r="Q7" i="66" s="1"/>
  <c r="O7" i="66"/>
  <c r="M7" i="66"/>
  <c r="H7" i="66"/>
  <c r="C7" i="66"/>
  <c r="AD6" i="66"/>
  <c r="J6" i="66" s="1"/>
  <c r="AB6" i="66"/>
  <c r="Y6" i="66"/>
  <c r="X6" i="66"/>
  <c r="P6" i="66"/>
  <c r="O6" i="66"/>
  <c r="Q6" i="66" s="1"/>
  <c r="M6" i="66"/>
  <c r="H6" i="66"/>
  <c r="C6" i="66"/>
  <c r="AB5" i="66"/>
  <c r="AD5" i="66" s="1"/>
  <c r="Y5" i="66"/>
  <c r="X5" i="66"/>
  <c r="P5" i="66"/>
  <c r="O5" i="66"/>
  <c r="Q5" i="66" s="1"/>
  <c r="M5" i="66"/>
  <c r="J5" i="66"/>
  <c r="H5" i="66"/>
  <c r="C5" i="66"/>
  <c r="AD4" i="66"/>
  <c r="AB4" i="66"/>
  <c r="Y4" i="66"/>
  <c r="X4" i="66"/>
  <c r="Q4" i="66"/>
  <c r="P4" i="66"/>
  <c r="O4" i="66"/>
  <c r="M4" i="66"/>
  <c r="H4" i="66"/>
  <c r="C4" i="66"/>
  <c r="AG3" i="66"/>
  <c r="AF3" i="66"/>
  <c r="W3" i="66"/>
  <c r="V3" i="66"/>
  <c r="U3" i="66"/>
  <c r="T3" i="66"/>
  <c r="O3" i="66"/>
  <c r="G3" i="66"/>
  <c r="H3" i="66" s="1"/>
  <c r="F3" i="66"/>
  <c r="D3" i="66"/>
  <c r="X3" i="66" s="1"/>
  <c r="C3" i="66"/>
  <c r="A2" i="66"/>
  <c r="A1" i="66"/>
  <c r="AD32" i="65"/>
  <c r="J32" i="65" s="1"/>
  <c r="I32" i="65" s="1"/>
  <c r="AB32" i="65"/>
  <c r="Y32" i="65"/>
  <c r="X32" i="65"/>
  <c r="V32" i="65"/>
  <c r="U32" i="65"/>
  <c r="T32" i="65"/>
  <c r="P32" i="65"/>
  <c r="O32" i="65"/>
  <c r="Q32" i="65" s="1"/>
  <c r="M32" i="65"/>
  <c r="H32" i="65"/>
  <c r="C32" i="65"/>
  <c r="AB31" i="65"/>
  <c r="AD31" i="65" s="1"/>
  <c r="J31" i="65" s="1"/>
  <c r="Y31" i="65"/>
  <c r="X31" i="65"/>
  <c r="P31" i="65"/>
  <c r="Q31" i="65" s="1"/>
  <c r="O31" i="65"/>
  <c r="M31" i="65"/>
  <c r="H31" i="65"/>
  <c r="C31" i="65"/>
  <c r="AD30" i="65"/>
  <c r="J30" i="65" s="1"/>
  <c r="AB30" i="65"/>
  <c r="Y30" i="65"/>
  <c r="X30" i="65"/>
  <c r="P30" i="65"/>
  <c r="O30" i="65"/>
  <c r="Q30" i="65" s="1"/>
  <c r="M30" i="65"/>
  <c r="H30" i="65"/>
  <c r="C30" i="65"/>
  <c r="AB29" i="65"/>
  <c r="AD29" i="65" s="1"/>
  <c r="Y29" i="65"/>
  <c r="X29" i="65"/>
  <c r="P29" i="65"/>
  <c r="O29" i="65"/>
  <c r="Q29" i="65" s="1"/>
  <c r="M29" i="65"/>
  <c r="J29" i="65"/>
  <c r="H29" i="65"/>
  <c r="C29" i="65"/>
  <c r="AD28" i="65"/>
  <c r="J28" i="65" s="1"/>
  <c r="AB28" i="65"/>
  <c r="Y28" i="65"/>
  <c r="X28" i="65"/>
  <c r="Q28" i="65"/>
  <c r="P28" i="65"/>
  <c r="O28" i="65"/>
  <c r="M28" i="65"/>
  <c r="H28" i="65"/>
  <c r="C28" i="65"/>
  <c r="AB27" i="65"/>
  <c r="AD27" i="65" s="1"/>
  <c r="J27" i="65" s="1"/>
  <c r="Y27" i="65"/>
  <c r="X27" i="65"/>
  <c r="P27" i="65"/>
  <c r="O27" i="65"/>
  <c r="Q27" i="65" s="1"/>
  <c r="M27" i="65"/>
  <c r="H27" i="65"/>
  <c r="C27" i="65"/>
  <c r="AB26" i="65"/>
  <c r="AD26" i="65" s="1"/>
  <c r="J26" i="65" s="1"/>
  <c r="K26" i="65" s="1"/>
  <c r="Y26" i="65"/>
  <c r="X26" i="65"/>
  <c r="Q26" i="65"/>
  <c r="P26" i="65"/>
  <c r="O26" i="65"/>
  <c r="M26" i="65"/>
  <c r="H26" i="65"/>
  <c r="C26" i="65"/>
  <c r="AB25" i="65"/>
  <c r="AD25" i="65" s="1"/>
  <c r="J25" i="65" s="1"/>
  <c r="Y25" i="65"/>
  <c r="X25" i="65"/>
  <c r="P25" i="65"/>
  <c r="Q25" i="65" s="1"/>
  <c r="O25" i="65"/>
  <c r="M25" i="65"/>
  <c r="H25" i="65"/>
  <c r="C25" i="65"/>
  <c r="AD24" i="65"/>
  <c r="J24" i="65" s="1"/>
  <c r="I24" i="65" s="1"/>
  <c r="AB24" i="65"/>
  <c r="Y24" i="65"/>
  <c r="X24" i="65"/>
  <c r="P24" i="65"/>
  <c r="O24" i="65"/>
  <c r="Q24" i="65" s="1"/>
  <c r="M24" i="65"/>
  <c r="H24" i="65"/>
  <c r="C24" i="65"/>
  <c r="AB23" i="65"/>
  <c r="AD23" i="65" s="1"/>
  <c r="J23" i="65" s="1"/>
  <c r="Y23" i="65"/>
  <c r="X23" i="65"/>
  <c r="P23" i="65"/>
  <c r="Q23" i="65" s="1"/>
  <c r="O23" i="65"/>
  <c r="M23" i="65"/>
  <c r="H23" i="65"/>
  <c r="C23" i="65"/>
  <c r="AD22" i="65"/>
  <c r="J22" i="65" s="1"/>
  <c r="AB22" i="65"/>
  <c r="Y22" i="65"/>
  <c r="X22" i="65"/>
  <c r="P22" i="65"/>
  <c r="O22" i="65"/>
  <c r="Q22" i="65" s="1"/>
  <c r="M22" i="65"/>
  <c r="H22" i="65"/>
  <c r="C22" i="65"/>
  <c r="AB21" i="65"/>
  <c r="AD21" i="65" s="1"/>
  <c r="Y21" i="65"/>
  <c r="X21" i="65"/>
  <c r="P21" i="65"/>
  <c r="O21" i="65"/>
  <c r="Q21" i="65" s="1"/>
  <c r="M21" i="65"/>
  <c r="J21" i="65"/>
  <c r="H21" i="65"/>
  <c r="C21" i="65"/>
  <c r="AD20" i="65"/>
  <c r="J20" i="65" s="1"/>
  <c r="K20" i="65" s="1"/>
  <c r="AB20" i="65"/>
  <c r="Y20" i="65"/>
  <c r="X20" i="65"/>
  <c r="Q20" i="65"/>
  <c r="P20" i="65"/>
  <c r="O20" i="65"/>
  <c r="M20" i="65"/>
  <c r="I20" i="65"/>
  <c r="H20" i="65"/>
  <c r="C20" i="65"/>
  <c r="AB19" i="65"/>
  <c r="AD19" i="65" s="1"/>
  <c r="J19" i="65" s="1"/>
  <c r="Y19" i="65"/>
  <c r="X19" i="65"/>
  <c r="P19" i="65"/>
  <c r="O19" i="65"/>
  <c r="M19" i="65"/>
  <c r="H19" i="65"/>
  <c r="C19" i="65"/>
  <c r="AB18" i="65"/>
  <c r="AD18" i="65" s="1"/>
  <c r="J18" i="65" s="1"/>
  <c r="Y18" i="65"/>
  <c r="X18" i="65"/>
  <c r="Q18" i="65"/>
  <c r="P18" i="65"/>
  <c r="O18" i="65"/>
  <c r="M18" i="65"/>
  <c r="H18" i="65"/>
  <c r="C18" i="65"/>
  <c r="AB17" i="65"/>
  <c r="AD17" i="65" s="1"/>
  <c r="J17" i="65" s="1"/>
  <c r="Y17" i="65"/>
  <c r="X17" i="65"/>
  <c r="P17" i="65"/>
  <c r="Q17" i="65" s="1"/>
  <c r="O17" i="65"/>
  <c r="M17" i="65"/>
  <c r="H17" i="65"/>
  <c r="C17" i="65"/>
  <c r="AD16" i="65"/>
  <c r="J16" i="65" s="1"/>
  <c r="I16" i="65" s="1"/>
  <c r="AB16" i="65"/>
  <c r="Y16" i="65"/>
  <c r="X16" i="65"/>
  <c r="P16" i="65"/>
  <c r="O16" i="65"/>
  <c r="Q16" i="65" s="1"/>
  <c r="M16" i="65"/>
  <c r="K16" i="65"/>
  <c r="H16" i="65"/>
  <c r="C16" i="65"/>
  <c r="AB15" i="65"/>
  <c r="AD15" i="65" s="1"/>
  <c r="J15" i="65" s="1"/>
  <c r="Y15" i="65"/>
  <c r="X15" i="65"/>
  <c r="P15" i="65"/>
  <c r="Q15" i="65" s="1"/>
  <c r="O15" i="65"/>
  <c r="M15" i="65"/>
  <c r="H15" i="65"/>
  <c r="C15" i="65"/>
  <c r="AD14" i="65"/>
  <c r="J14" i="65" s="1"/>
  <c r="I14" i="65" s="1"/>
  <c r="AB14" i="65"/>
  <c r="Y14" i="65"/>
  <c r="X14" i="65"/>
  <c r="P14" i="65"/>
  <c r="O14" i="65"/>
  <c r="Q14" i="65" s="1"/>
  <c r="M14" i="65"/>
  <c r="K14" i="65"/>
  <c r="H14" i="65"/>
  <c r="C14" i="65"/>
  <c r="AD13" i="65"/>
  <c r="AB13" i="65"/>
  <c r="Y13" i="65"/>
  <c r="X13" i="65"/>
  <c r="P13" i="65"/>
  <c r="O13" i="65"/>
  <c r="Q13" i="65" s="1"/>
  <c r="M13" i="65"/>
  <c r="J13" i="65"/>
  <c r="I13" i="65" s="1"/>
  <c r="H13" i="65"/>
  <c r="C13" i="65"/>
  <c r="AB12" i="65"/>
  <c r="AD12" i="65" s="1"/>
  <c r="J12" i="65" s="1"/>
  <c r="K12" i="65" s="1"/>
  <c r="Y12" i="65"/>
  <c r="X12" i="65"/>
  <c r="Q12" i="65"/>
  <c r="P12" i="65"/>
  <c r="O12" i="65"/>
  <c r="M12" i="65"/>
  <c r="H12" i="65"/>
  <c r="C12" i="65"/>
  <c r="AB11" i="65"/>
  <c r="AD11" i="65" s="1"/>
  <c r="J11" i="65" s="1"/>
  <c r="Y11" i="65"/>
  <c r="X11" i="65"/>
  <c r="P11" i="65"/>
  <c r="O11" i="65"/>
  <c r="M11" i="65"/>
  <c r="H11" i="65"/>
  <c r="C11" i="65"/>
  <c r="AD10" i="65"/>
  <c r="J10" i="65" s="1"/>
  <c r="I10" i="65" s="1"/>
  <c r="AB10" i="65"/>
  <c r="Y10" i="65"/>
  <c r="X10" i="65"/>
  <c r="Q10" i="65"/>
  <c r="P10" i="65"/>
  <c r="O10" i="65"/>
  <c r="M10" i="65"/>
  <c r="K10" i="65"/>
  <c r="H10" i="65"/>
  <c r="C10" i="65"/>
  <c r="AB9" i="65"/>
  <c r="AD9" i="65" s="1"/>
  <c r="J9" i="65" s="1"/>
  <c r="Y9" i="65"/>
  <c r="X9" i="65"/>
  <c r="Q9" i="65"/>
  <c r="P9" i="65"/>
  <c r="O9" i="65"/>
  <c r="M9" i="65"/>
  <c r="H9" i="65"/>
  <c r="C9" i="65"/>
  <c r="AD8" i="65"/>
  <c r="J8" i="65" s="1"/>
  <c r="K8" i="65" s="1"/>
  <c r="AB8" i="65"/>
  <c r="Y8" i="65"/>
  <c r="X8" i="65"/>
  <c r="P8" i="65"/>
  <c r="O8" i="65"/>
  <c r="Q8" i="65" s="1"/>
  <c r="M8" i="65"/>
  <c r="I8" i="65"/>
  <c r="H8" i="65"/>
  <c r="C8" i="65"/>
  <c r="AB7" i="65"/>
  <c r="AD7" i="65" s="1"/>
  <c r="Y7" i="65"/>
  <c r="X7" i="65"/>
  <c r="P7" i="65"/>
  <c r="Q7" i="65" s="1"/>
  <c r="O7" i="65"/>
  <c r="M7" i="65"/>
  <c r="J7" i="65"/>
  <c r="K7" i="65" s="1"/>
  <c r="I7" i="65"/>
  <c r="H7" i="65"/>
  <c r="C7" i="65"/>
  <c r="AD6" i="65"/>
  <c r="J6" i="65" s="1"/>
  <c r="AB6" i="65"/>
  <c r="Y6" i="65"/>
  <c r="X6" i="65"/>
  <c r="P6" i="65"/>
  <c r="Q6" i="65" s="1"/>
  <c r="O6" i="65"/>
  <c r="M6" i="65"/>
  <c r="K6" i="65"/>
  <c r="I6" i="65"/>
  <c r="H6" i="65"/>
  <c r="C6" i="65"/>
  <c r="AB5" i="65"/>
  <c r="AD5" i="65" s="1"/>
  <c r="J5" i="65" s="1"/>
  <c r="Y5" i="65"/>
  <c r="X5" i="65"/>
  <c r="P5" i="65"/>
  <c r="O5" i="65"/>
  <c r="Q5" i="65" s="1"/>
  <c r="M5" i="65"/>
  <c r="H5" i="65"/>
  <c r="C5" i="65"/>
  <c r="AD4" i="65"/>
  <c r="J4" i="65" s="1"/>
  <c r="AB4" i="65"/>
  <c r="Y4" i="65"/>
  <c r="X4" i="65"/>
  <c r="P4" i="65"/>
  <c r="O4" i="65"/>
  <c r="Q4" i="65" s="1"/>
  <c r="M4" i="65"/>
  <c r="H4" i="65"/>
  <c r="C4" i="65"/>
  <c r="AG3" i="65"/>
  <c r="AF3" i="65"/>
  <c r="W3" i="65"/>
  <c r="X3" i="65" s="1"/>
  <c r="V3" i="65"/>
  <c r="U3" i="65"/>
  <c r="T3" i="65"/>
  <c r="O3" i="65"/>
  <c r="G3" i="65"/>
  <c r="H3" i="65" s="1"/>
  <c r="F3" i="65"/>
  <c r="D3" i="65"/>
  <c r="C3" i="65"/>
  <c r="A2" i="65"/>
  <c r="A1" i="65"/>
  <c r="AD32" i="64"/>
  <c r="J32" i="64" s="1"/>
  <c r="AB32" i="64"/>
  <c r="Y32" i="64"/>
  <c r="X32" i="64"/>
  <c r="V32" i="64"/>
  <c r="U32" i="64"/>
  <c r="T32" i="64"/>
  <c r="Q32" i="64"/>
  <c r="P32" i="64"/>
  <c r="O32" i="64"/>
  <c r="M32" i="64"/>
  <c r="H32" i="64"/>
  <c r="C32" i="64"/>
  <c r="AD31" i="64"/>
  <c r="J31" i="64" s="1"/>
  <c r="AB31" i="64"/>
  <c r="Y31" i="64"/>
  <c r="X31" i="64"/>
  <c r="P31" i="64"/>
  <c r="Q31" i="64" s="1"/>
  <c r="O31" i="64"/>
  <c r="M31" i="64"/>
  <c r="H31" i="64"/>
  <c r="C31" i="64"/>
  <c r="AD30" i="64"/>
  <c r="J30" i="64" s="1"/>
  <c r="I30" i="64" s="1"/>
  <c r="AB30" i="64"/>
  <c r="Y30" i="64"/>
  <c r="X30" i="64"/>
  <c r="Q30" i="64"/>
  <c r="P30" i="64"/>
  <c r="O30" i="64"/>
  <c r="M30" i="64"/>
  <c r="K30" i="64"/>
  <c r="H30" i="64"/>
  <c r="C30" i="64"/>
  <c r="AD29" i="64"/>
  <c r="J29" i="64" s="1"/>
  <c r="AB29" i="64"/>
  <c r="Y29" i="64"/>
  <c r="X29" i="64"/>
  <c r="P29" i="64"/>
  <c r="O29" i="64"/>
  <c r="M29" i="64"/>
  <c r="H29" i="64"/>
  <c r="C29" i="64"/>
  <c r="AB28" i="64"/>
  <c r="AD28" i="64" s="1"/>
  <c r="J28" i="64" s="1"/>
  <c r="Y28" i="64"/>
  <c r="X28" i="64"/>
  <c r="Q28" i="64"/>
  <c r="P28" i="64"/>
  <c r="O28" i="64"/>
  <c r="M28" i="64"/>
  <c r="H28" i="64"/>
  <c r="C28" i="64"/>
  <c r="AB27" i="64"/>
  <c r="AD27" i="64" s="1"/>
  <c r="J27" i="64" s="1"/>
  <c r="Y27" i="64"/>
  <c r="X27" i="64"/>
  <c r="P27" i="64"/>
  <c r="O27" i="64"/>
  <c r="Q27" i="64" s="1"/>
  <c r="M27" i="64"/>
  <c r="H27" i="64"/>
  <c r="C27" i="64"/>
  <c r="AD26" i="64"/>
  <c r="J26" i="64" s="1"/>
  <c r="AB26" i="64"/>
  <c r="Y26" i="64"/>
  <c r="X26" i="64"/>
  <c r="P26" i="64"/>
  <c r="O26" i="64"/>
  <c r="Q26" i="64" s="1"/>
  <c r="M26" i="64"/>
  <c r="H26" i="64"/>
  <c r="C26" i="64"/>
  <c r="AB25" i="64"/>
  <c r="AD25" i="64" s="1"/>
  <c r="Y25" i="64"/>
  <c r="X25" i="64"/>
  <c r="Q25" i="64"/>
  <c r="P25" i="64"/>
  <c r="O25" i="64"/>
  <c r="M25" i="64"/>
  <c r="J25" i="64"/>
  <c r="K25" i="64" s="1"/>
  <c r="H25" i="64"/>
  <c r="C25" i="64"/>
  <c r="AD24" i="64"/>
  <c r="J24" i="64" s="1"/>
  <c r="I24" i="64" s="1"/>
  <c r="AB24" i="64"/>
  <c r="Y24" i="64"/>
  <c r="X24" i="64"/>
  <c r="P24" i="64"/>
  <c r="O24" i="64"/>
  <c r="Q24" i="64" s="1"/>
  <c r="M24" i="64"/>
  <c r="K24" i="64"/>
  <c r="H24" i="64"/>
  <c r="C24" i="64"/>
  <c r="AD23" i="64"/>
  <c r="AB23" i="64"/>
  <c r="Y23" i="64"/>
  <c r="X23" i="64"/>
  <c r="P23" i="64"/>
  <c r="Q23" i="64" s="1"/>
  <c r="O23" i="64"/>
  <c r="M23" i="64"/>
  <c r="J23" i="64"/>
  <c r="K23" i="64" s="1"/>
  <c r="H23" i="64"/>
  <c r="C23" i="64"/>
  <c r="AD22" i="64"/>
  <c r="J22" i="64" s="1"/>
  <c r="I22" i="64" s="1"/>
  <c r="AB22" i="64"/>
  <c r="Y22" i="64"/>
  <c r="X22" i="64"/>
  <c r="P22" i="64"/>
  <c r="O22" i="64"/>
  <c r="Q22" i="64" s="1"/>
  <c r="M22" i="64"/>
  <c r="K22" i="64"/>
  <c r="H22" i="64"/>
  <c r="C22" i="64"/>
  <c r="AD21" i="64"/>
  <c r="AB21" i="64"/>
  <c r="Y21" i="64"/>
  <c r="X21" i="64"/>
  <c r="P21" i="64"/>
  <c r="O21" i="64"/>
  <c r="M21" i="64"/>
  <c r="J21" i="64"/>
  <c r="I21" i="64" s="1"/>
  <c r="H21" i="64"/>
  <c r="C21" i="64"/>
  <c r="AB20" i="64"/>
  <c r="AD20" i="64" s="1"/>
  <c r="J20" i="64" s="1"/>
  <c r="Y20" i="64"/>
  <c r="X20" i="64"/>
  <c r="P20" i="64"/>
  <c r="O20" i="64"/>
  <c r="Q20" i="64" s="1"/>
  <c r="M20" i="64"/>
  <c r="H20" i="64"/>
  <c r="C20" i="64"/>
  <c r="AB19" i="64"/>
  <c r="AD19" i="64" s="1"/>
  <c r="J19" i="64" s="1"/>
  <c r="Y19" i="64"/>
  <c r="X19" i="64"/>
  <c r="P19" i="64"/>
  <c r="O19" i="64"/>
  <c r="Q19" i="64" s="1"/>
  <c r="M19" i="64"/>
  <c r="H19" i="64"/>
  <c r="C19" i="64"/>
  <c r="AD18" i="64"/>
  <c r="J18" i="64" s="1"/>
  <c r="I18" i="64" s="1"/>
  <c r="AB18" i="64"/>
  <c r="Y18" i="64"/>
  <c r="X18" i="64"/>
  <c r="Q18" i="64"/>
  <c r="P18" i="64"/>
  <c r="O18" i="64"/>
  <c r="M18" i="64"/>
  <c r="K18" i="64"/>
  <c r="H18" i="64"/>
  <c r="C18" i="64"/>
  <c r="AB17" i="64"/>
  <c r="AD17" i="64" s="1"/>
  <c r="Y17" i="64"/>
  <c r="X17" i="64"/>
  <c r="Q17" i="64"/>
  <c r="P17" i="64"/>
  <c r="O17" i="64"/>
  <c r="M17" i="64"/>
  <c r="J17" i="64"/>
  <c r="K17" i="64" s="1"/>
  <c r="H17" i="64"/>
  <c r="C17" i="64"/>
  <c r="AD16" i="64"/>
  <c r="J16" i="64" s="1"/>
  <c r="I16" i="64" s="1"/>
  <c r="AB16" i="64"/>
  <c r="Y16" i="64"/>
  <c r="X16" i="64"/>
  <c r="Q16" i="64"/>
  <c r="P16" i="64"/>
  <c r="O16" i="64"/>
  <c r="M16" i="64"/>
  <c r="K16" i="64"/>
  <c r="H16" i="64"/>
  <c r="C16" i="64"/>
  <c r="AD15" i="64"/>
  <c r="AB15" i="64"/>
  <c r="Y15" i="64"/>
  <c r="X15" i="64"/>
  <c r="P15" i="64"/>
  <c r="Q15" i="64" s="1"/>
  <c r="O15" i="64"/>
  <c r="M15" i="64"/>
  <c r="J15" i="64"/>
  <c r="K15" i="64" s="1"/>
  <c r="H15" i="64"/>
  <c r="C15" i="64"/>
  <c r="AD14" i="64"/>
  <c r="J14" i="64" s="1"/>
  <c r="I14" i="64" s="1"/>
  <c r="AB14" i="64"/>
  <c r="Y14" i="64"/>
  <c r="X14" i="64"/>
  <c r="Q14" i="64"/>
  <c r="P14" i="64"/>
  <c r="O14" i="64"/>
  <c r="M14" i="64"/>
  <c r="K14" i="64"/>
  <c r="H14" i="64"/>
  <c r="C14" i="64"/>
  <c r="AD13" i="64"/>
  <c r="AB13" i="64"/>
  <c r="Y13" i="64"/>
  <c r="X13" i="64"/>
  <c r="P13" i="64"/>
  <c r="O13" i="64"/>
  <c r="M13" i="64"/>
  <c r="J13" i="64"/>
  <c r="I13" i="64" s="1"/>
  <c r="H13" i="64"/>
  <c r="C13" i="64"/>
  <c r="AB12" i="64"/>
  <c r="AD12" i="64" s="1"/>
  <c r="Y12" i="64"/>
  <c r="X12" i="64"/>
  <c r="P12" i="64"/>
  <c r="O12" i="64"/>
  <c r="Q12" i="64" s="1"/>
  <c r="M12" i="64"/>
  <c r="J12" i="64"/>
  <c r="H12" i="64"/>
  <c r="C12" i="64"/>
  <c r="AB11" i="64"/>
  <c r="AD11" i="64" s="1"/>
  <c r="J11" i="64" s="1"/>
  <c r="Y11" i="64"/>
  <c r="X11" i="64"/>
  <c r="P11" i="64"/>
  <c r="Q11" i="64" s="1"/>
  <c r="O11" i="64"/>
  <c r="M11" i="64"/>
  <c r="H11" i="64"/>
  <c r="C11" i="64"/>
  <c r="AD10" i="64"/>
  <c r="J10" i="64" s="1"/>
  <c r="K10" i="64" s="1"/>
  <c r="AB10" i="64"/>
  <c r="Y10" i="64"/>
  <c r="X10" i="64"/>
  <c r="P10" i="64"/>
  <c r="O10" i="64"/>
  <c r="Q10" i="64" s="1"/>
  <c r="M10" i="64"/>
  <c r="H10" i="64"/>
  <c r="C10" i="64"/>
  <c r="AB9" i="64"/>
  <c r="AD9" i="64" s="1"/>
  <c r="Y9" i="64"/>
  <c r="X9" i="64"/>
  <c r="Q9" i="64"/>
  <c r="P9" i="64"/>
  <c r="O9" i="64"/>
  <c r="M9" i="64"/>
  <c r="J9" i="64"/>
  <c r="K9" i="64" s="1"/>
  <c r="H9" i="64"/>
  <c r="C9" i="64"/>
  <c r="AD8" i="64"/>
  <c r="J8" i="64" s="1"/>
  <c r="I8" i="64" s="1"/>
  <c r="AB8" i="64"/>
  <c r="Y8" i="64"/>
  <c r="X8" i="64"/>
  <c r="P8" i="64"/>
  <c r="O8" i="64"/>
  <c r="Q8" i="64" s="1"/>
  <c r="M8" i="64"/>
  <c r="K8" i="64"/>
  <c r="H8" i="64"/>
  <c r="C8" i="64"/>
  <c r="AD7" i="64"/>
  <c r="AB7" i="64"/>
  <c r="Y7" i="64"/>
  <c r="X7" i="64"/>
  <c r="P7" i="64"/>
  <c r="O7" i="64"/>
  <c r="M7" i="64"/>
  <c r="J7" i="64"/>
  <c r="K7" i="64" s="1"/>
  <c r="H7" i="64"/>
  <c r="C7" i="64"/>
  <c r="AD6" i="64"/>
  <c r="J6" i="64" s="1"/>
  <c r="K6" i="64" s="1"/>
  <c r="AB6" i="64"/>
  <c r="Y6" i="64"/>
  <c r="X6" i="64"/>
  <c r="P6" i="64"/>
  <c r="O6" i="64"/>
  <c r="Q6" i="64" s="1"/>
  <c r="M6" i="64"/>
  <c r="H6" i="64"/>
  <c r="C6" i="64"/>
  <c r="AB5" i="64"/>
  <c r="AD5" i="64" s="1"/>
  <c r="J5" i="64" s="1"/>
  <c r="Y5" i="64"/>
  <c r="X5" i="64"/>
  <c r="P5" i="64"/>
  <c r="Q5" i="64" s="1"/>
  <c r="O5" i="64"/>
  <c r="M5" i="64"/>
  <c r="H5" i="64"/>
  <c r="C5" i="64"/>
  <c r="AD4" i="64"/>
  <c r="AB4" i="64"/>
  <c r="Y4" i="64"/>
  <c r="X4" i="64"/>
  <c r="Q4" i="64"/>
  <c r="P4" i="64"/>
  <c r="O4" i="64"/>
  <c r="M4" i="64"/>
  <c r="H4" i="64"/>
  <c r="C4" i="64"/>
  <c r="AG3" i="64"/>
  <c r="AF3" i="64"/>
  <c r="X3" i="64"/>
  <c r="W3" i="64"/>
  <c r="V3" i="64"/>
  <c r="U3" i="64"/>
  <c r="T3" i="64"/>
  <c r="O3" i="64"/>
  <c r="G3" i="64"/>
  <c r="H3" i="64" s="1"/>
  <c r="F3" i="64"/>
  <c r="D3" i="64"/>
  <c r="C3" i="64"/>
  <c r="A2" i="64"/>
  <c r="A1" i="64"/>
  <c r="AD32" i="63"/>
  <c r="J32" i="63" s="1"/>
  <c r="AB32" i="63"/>
  <c r="Y32" i="63"/>
  <c r="X32" i="63"/>
  <c r="V32" i="63"/>
  <c r="U32" i="63"/>
  <c r="T32" i="63"/>
  <c r="Q32" i="63"/>
  <c r="P32" i="63"/>
  <c r="O32" i="63"/>
  <c r="M32" i="63"/>
  <c r="H32" i="63"/>
  <c r="C32" i="63"/>
  <c r="AB31" i="63"/>
  <c r="AD31" i="63" s="1"/>
  <c r="J31" i="63" s="1"/>
  <c r="Y31" i="63"/>
  <c r="X31" i="63"/>
  <c r="P31" i="63"/>
  <c r="O31" i="63"/>
  <c r="Q31" i="63" s="1"/>
  <c r="M31" i="63"/>
  <c r="H31" i="63"/>
  <c r="C31" i="63"/>
  <c r="AD30" i="63"/>
  <c r="J30" i="63" s="1"/>
  <c r="AB30" i="63"/>
  <c r="Y30" i="63"/>
  <c r="X30" i="63"/>
  <c r="P30" i="63"/>
  <c r="O30" i="63"/>
  <c r="Q30" i="63" s="1"/>
  <c r="M30" i="63"/>
  <c r="H30" i="63"/>
  <c r="C30" i="63"/>
  <c r="AB29" i="63"/>
  <c r="AD29" i="63" s="1"/>
  <c r="J29" i="63" s="1"/>
  <c r="Y29" i="63"/>
  <c r="X29" i="63"/>
  <c r="P29" i="63"/>
  <c r="Q29" i="63" s="1"/>
  <c r="O29" i="63"/>
  <c r="M29" i="63"/>
  <c r="H29" i="63"/>
  <c r="C29" i="63"/>
  <c r="AD28" i="63"/>
  <c r="J28" i="63" s="1"/>
  <c r="I28" i="63" s="1"/>
  <c r="AB28" i="63"/>
  <c r="Y28" i="63"/>
  <c r="X28" i="63"/>
  <c r="Q28" i="63"/>
  <c r="P28" i="63"/>
  <c r="O28" i="63"/>
  <c r="M28" i="63"/>
  <c r="K28" i="63"/>
  <c r="H28" i="63"/>
  <c r="C28" i="63"/>
  <c r="AB27" i="63"/>
  <c r="AD27" i="63" s="1"/>
  <c r="J27" i="63" s="1"/>
  <c r="Y27" i="63"/>
  <c r="X27" i="63"/>
  <c r="P27" i="63"/>
  <c r="O27" i="63"/>
  <c r="Q27" i="63" s="1"/>
  <c r="M27" i="63"/>
  <c r="H27" i="63"/>
  <c r="C27" i="63"/>
  <c r="AD26" i="63"/>
  <c r="J26" i="63" s="1"/>
  <c r="AB26" i="63"/>
  <c r="Y26" i="63"/>
  <c r="X26" i="63"/>
  <c r="P26" i="63"/>
  <c r="O26" i="63"/>
  <c r="Q26" i="63" s="1"/>
  <c r="M26" i="63"/>
  <c r="H26" i="63"/>
  <c r="C26" i="63"/>
  <c r="AB25" i="63"/>
  <c r="AD25" i="63" s="1"/>
  <c r="J25" i="63" s="1"/>
  <c r="Y25" i="63"/>
  <c r="X25" i="63"/>
  <c r="P25" i="63"/>
  <c r="O25" i="63"/>
  <c r="Q25" i="63" s="1"/>
  <c r="M25" i="63"/>
  <c r="H25" i="63"/>
  <c r="C25" i="63"/>
  <c r="AD24" i="63"/>
  <c r="J24" i="63" s="1"/>
  <c r="AB24" i="63"/>
  <c r="Y24" i="63"/>
  <c r="X24" i="63"/>
  <c r="Q24" i="63"/>
  <c r="P24" i="63"/>
  <c r="O24" i="63"/>
  <c r="M24" i="63"/>
  <c r="H24" i="63"/>
  <c r="C24" i="63"/>
  <c r="AB23" i="63"/>
  <c r="AD23" i="63" s="1"/>
  <c r="J23" i="63" s="1"/>
  <c r="Y23" i="63"/>
  <c r="X23" i="63"/>
  <c r="P23" i="63"/>
  <c r="O23" i="63"/>
  <c r="Q23" i="63" s="1"/>
  <c r="M23" i="63"/>
  <c r="H23" i="63"/>
  <c r="C23" i="63"/>
  <c r="AD22" i="63"/>
  <c r="J22" i="63" s="1"/>
  <c r="K22" i="63" s="1"/>
  <c r="AB22" i="63"/>
  <c r="Y22" i="63"/>
  <c r="X22" i="63"/>
  <c r="P22" i="63"/>
  <c r="O22" i="63"/>
  <c r="Q22" i="63" s="1"/>
  <c r="M22" i="63"/>
  <c r="I22" i="63"/>
  <c r="H22" i="63"/>
  <c r="C22" i="63"/>
  <c r="AB21" i="63"/>
  <c r="AD21" i="63" s="1"/>
  <c r="J21" i="63" s="1"/>
  <c r="Y21" i="63"/>
  <c r="X21" i="63"/>
  <c r="P21" i="63"/>
  <c r="Q21" i="63" s="1"/>
  <c r="O21" i="63"/>
  <c r="M21" i="63"/>
  <c r="H21" i="63"/>
  <c r="C21" i="63"/>
  <c r="AD20" i="63"/>
  <c r="J20" i="63" s="1"/>
  <c r="I20" i="63" s="1"/>
  <c r="AB20" i="63"/>
  <c r="Y20" i="63"/>
  <c r="X20" i="63"/>
  <c r="Q20" i="63"/>
  <c r="P20" i="63"/>
  <c r="O20" i="63"/>
  <c r="M20" i="63"/>
  <c r="K20" i="63"/>
  <c r="H20" i="63"/>
  <c r="C20" i="63"/>
  <c r="AB19" i="63"/>
  <c r="AD19" i="63" s="1"/>
  <c r="J19" i="63" s="1"/>
  <c r="Y19" i="63"/>
  <c r="X19" i="63"/>
  <c r="P19" i="63"/>
  <c r="O19" i="63"/>
  <c r="Q19" i="63" s="1"/>
  <c r="M19" i="63"/>
  <c r="H19" i="63"/>
  <c r="C19" i="63"/>
  <c r="AD18" i="63"/>
  <c r="J18" i="63" s="1"/>
  <c r="AB18" i="63"/>
  <c r="Y18" i="63"/>
  <c r="X18" i="63"/>
  <c r="P18" i="63"/>
  <c r="O18" i="63"/>
  <c r="Q18" i="63" s="1"/>
  <c r="M18" i="63"/>
  <c r="H18" i="63"/>
  <c r="C18" i="63"/>
  <c r="AB17" i="63"/>
  <c r="AD17" i="63" s="1"/>
  <c r="J17" i="63" s="1"/>
  <c r="Y17" i="63"/>
  <c r="X17" i="63"/>
  <c r="P17" i="63"/>
  <c r="O17" i="63"/>
  <c r="Q17" i="63" s="1"/>
  <c r="M17" i="63"/>
  <c r="H17" i="63"/>
  <c r="C17" i="63"/>
  <c r="AD16" i="63"/>
  <c r="J16" i="63" s="1"/>
  <c r="AB16" i="63"/>
  <c r="Y16" i="63"/>
  <c r="X16" i="63"/>
  <c r="Q16" i="63"/>
  <c r="P16" i="63"/>
  <c r="O16" i="63"/>
  <c r="M16" i="63"/>
  <c r="H16" i="63"/>
  <c r="C16" i="63"/>
  <c r="AB15" i="63"/>
  <c r="AD15" i="63" s="1"/>
  <c r="J15" i="63" s="1"/>
  <c r="Y15" i="63"/>
  <c r="X15" i="63"/>
  <c r="P15" i="63"/>
  <c r="O15" i="63"/>
  <c r="Q15" i="63" s="1"/>
  <c r="M15" i="63"/>
  <c r="H15" i="63"/>
  <c r="C15" i="63"/>
  <c r="AD14" i="63"/>
  <c r="J14" i="63" s="1"/>
  <c r="K14" i="63" s="1"/>
  <c r="AB14" i="63"/>
  <c r="Y14" i="63"/>
  <c r="X14" i="63"/>
  <c r="P14" i="63"/>
  <c r="O14" i="63"/>
  <c r="Q14" i="63" s="1"/>
  <c r="M14" i="63"/>
  <c r="I14" i="63"/>
  <c r="H14" i="63"/>
  <c r="C14" i="63"/>
  <c r="AB13" i="63"/>
  <c r="AD13" i="63" s="1"/>
  <c r="J13" i="63" s="1"/>
  <c r="Y13" i="63"/>
  <c r="X13" i="63"/>
  <c r="P13" i="63"/>
  <c r="Q13" i="63" s="1"/>
  <c r="O13" i="63"/>
  <c r="M13" i="63"/>
  <c r="H13" i="63"/>
  <c r="C13" i="63"/>
  <c r="AD12" i="63"/>
  <c r="J12" i="63" s="1"/>
  <c r="I12" i="63" s="1"/>
  <c r="AB12" i="63"/>
  <c r="Y12" i="63"/>
  <c r="X12" i="63"/>
  <c r="Q12" i="63"/>
  <c r="P12" i="63"/>
  <c r="O12" i="63"/>
  <c r="M12" i="63"/>
  <c r="K12" i="63"/>
  <c r="H12" i="63"/>
  <c r="C12" i="63"/>
  <c r="AB11" i="63"/>
  <c r="AD11" i="63" s="1"/>
  <c r="J11" i="63" s="1"/>
  <c r="Y11" i="63"/>
  <c r="X11" i="63"/>
  <c r="P11" i="63"/>
  <c r="O11" i="63"/>
  <c r="Q11" i="63" s="1"/>
  <c r="M11" i="63"/>
  <c r="H11" i="63"/>
  <c r="C11" i="63"/>
  <c r="AD10" i="63"/>
  <c r="J10" i="63" s="1"/>
  <c r="AB10" i="63"/>
  <c r="Y10" i="63"/>
  <c r="X10" i="63"/>
  <c r="P10" i="63"/>
  <c r="O10" i="63"/>
  <c r="Q10" i="63" s="1"/>
  <c r="M10" i="63"/>
  <c r="H10" i="63"/>
  <c r="C10" i="63"/>
  <c r="AB9" i="63"/>
  <c r="AD9" i="63" s="1"/>
  <c r="J9" i="63" s="1"/>
  <c r="Y9" i="63"/>
  <c r="X9" i="63"/>
  <c r="P9" i="63"/>
  <c r="O9" i="63"/>
  <c r="Q9" i="63" s="1"/>
  <c r="M9" i="63"/>
  <c r="H9" i="63"/>
  <c r="C9" i="63"/>
  <c r="AD8" i="63"/>
  <c r="J8" i="63" s="1"/>
  <c r="AB8" i="63"/>
  <c r="Y8" i="63"/>
  <c r="X8" i="63"/>
  <c r="Q8" i="63"/>
  <c r="P8" i="63"/>
  <c r="O8" i="63"/>
  <c r="M8" i="63"/>
  <c r="H8" i="63"/>
  <c r="C8" i="63"/>
  <c r="AB7" i="63"/>
  <c r="AD7" i="63" s="1"/>
  <c r="J7" i="63" s="1"/>
  <c r="Y7" i="63"/>
  <c r="X7" i="63"/>
  <c r="P7" i="63"/>
  <c r="O7" i="63"/>
  <c r="Q7" i="63" s="1"/>
  <c r="M7" i="63"/>
  <c r="H7" i="63"/>
  <c r="C7" i="63"/>
  <c r="AD6" i="63"/>
  <c r="J6" i="63" s="1"/>
  <c r="K6" i="63" s="1"/>
  <c r="AB6" i="63"/>
  <c r="Y6" i="63"/>
  <c r="X6" i="63"/>
  <c r="P6" i="63"/>
  <c r="O6" i="63"/>
  <c r="Q6" i="63" s="1"/>
  <c r="M6" i="63"/>
  <c r="H6" i="63"/>
  <c r="C6" i="63"/>
  <c r="AB5" i="63"/>
  <c r="AD5" i="63" s="1"/>
  <c r="J5" i="63" s="1"/>
  <c r="Y5" i="63"/>
  <c r="X5" i="63"/>
  <c r="P5" i="63"/>
  <c r="Q5" i="63" s="1"/>
  <c r="O5" i="63"/>
  <c r="M5" i="63"/>
  <c r="H5" i="63"/>
  <c r="C5" i="63"/>
  <c r="AD4" i="63"/>
  <c r="AB4" i="63"/>
  <c r="Y4" i="63"/>
  <c r="X4" i="63"/>
  <c r="Q4" i="63"/>
  <c r="P4" i="63"/>
  <c r="O4" i="63"/>
  <c r="M4" i="63"/>
  <c r="H4" i="63"/>
  <c r="C4" i="63"/>
  <c r="AG3" i="63"/>
  <c r="AF3" i="63"/>
  <c r="X3" i="63"/>
  <c r="W3" i="63"/>
  <c r="V3" i="63"/>
  <c r="U3" i="63"/>
  <c r="T3" i="63"/>
  <c r="O3" i="63"/>
  <c r="G3" i="63"/>
  <c r="H3" i="63" s="1"/>
  <c r="F3" i="63"/>
  <c r="D3" i="63"/>
  <c r="C3" i="63"/>
  <c r="A2" i="63"/>
  <c r="A1" i="63"/>
  <c r="AD32" i="62"/>
  <c r="J32" i="62" s="1"/>
  <c r="AB32" i="62"/>
  <c r="Y32" i="62"/>
  <c r="X32" i="62"/>
  <c r="V32" i="62"/>
  <c r="U32" i="62"/>
  <c r="T32" i="62"/>
  <c r="Q32" i="62"/>
  <c r="P32" i="62"/>
  <c r="O32" i="62"/>
  <c r="M32" i="62"/>
  <c r="H32" i="62"/>
  <c r="C32" i="62"/>
  <c r="AB31" i="62"/>
  <c r="AD31" i="62" s="1"/>
  <c r="J31" i="62" s="1"/>
  <c r="Y31" i="62"/>
  <c r="X31" i="62"/>
  <c r="P31" i="62"/>
  <c r="O31" i="62"/>
  <c r="Q31" i="62" s="1"/>
  <c r="M31" i="62"/>
  <c r="H31" i="62"/>
  <c r="C31" i="62"/>
  <c r="AD30" i="62"/>
  <c r="J30" i="62" s="1"/>
  <c r="K30" i="62" s="1"/>
  <c r="AB30" i="62"/>
  <c r="Y30" i="62"/>
  <c r="X30" i="62"/>
  <c r="P30" i="62"/>
  <c r="O30" i="62"/>
  <c r="Q30" i="62" s="1"/>
  <c r="M30" i="62"/>
  <c r="H30" i="62"/>
  <c r="C30" i="62"/>
  <c r="AB29" i="62"/>
  <c r="AD29" i="62" s="1"/>
  <c r="J29" i="62" s="1"/>
  <c r="Y29" i="62"/>
  <c r="X29" i="62"/>
  <c r="P29" i="62"/>
  <c r="Q29" i="62" s="1"/>
  <c r="O29" i="62"/>
  <c r="M29" i="62"/>
  <c r="H29" i="62"/>
  <c r="C29" i="62"/>
  <c r="AD28" i="62"/>
  <c r="J28" i="62" s="1"/>
  <c r="I28" i="62" s="1"/>
  <c r="AB28" i="62"/>
  <c r="Y28" i="62"/>
  <c r="X28" i="62"/>
  <c r="Q28" i="62"/>
  <c r="P28" i="62"/>
  <c r="O28" i="62"/>
  <c r="M28" i="62"/>
  <c r="K28" i="62"/>
  <c r="H28" i="62"/>
  <c r="C28" i="62"/>
  <c r="AB27" i="62"/>
  <c r="AD27" i="62" s="1"/>
  <c r="J27" i="62" s="1"/>
  <c r="Y27" i="62"/>
  <c r="X27" i="62"/>
  <c r="P27" i="62"/>
  <c r="O27" i="62"/>
  <c r="Q27" i="62" s="1"/>
  <c r="M27" i="62"/>
  <c r="H27" i="62"/>
  <c r="C27" i="62"/>
  <c r="AD26" i="62"/>
  <c r="J26" i="62" s="1"/>
  <c r="AB26" i="62"/>
  <c r="Y26" i="62"/>
  <c r="X26" i="62"/>
  <c r="P26" i="62"/>
  <c r="O26" i="62"/>
  <c r="Q26" i="62" s="1"/>
  <c r="M26" i="62"/>
  <c r="H26" i="62"/>
  <c r="C26" i="62"/>
  <c r="AB25" i="62"/>
  <c r="AD25" i="62" s="1"/>
  <c r="Y25" i="62"/>
  <c r="X25" i="62"/>
  <c r="P25" i="62"/>
  <c r="O25" i="62"/>
  <c r="Q25" i="62" s="1"/>
  <c r="M25" i="62"/>
  <c r="J25" i="62"/>
  <c r="H25" i="62"/>
  <c r="C25" i="62"/>
  <c r="AD24" i="62"/>
  <c r="J24" i="62" s="1"/>
  <c r="AB24" i="62"/>
  <c r="Y24" i="62"/>
  <c r="X24" i="62"/>
  <c r="Q24" i="62"/>
  <c r="P24" i="62"/>
  <c r="O24" i="62"/>
  <c r="M24" i="62"/>
  <c r="H24" i="62"/>
  <c r="C24" i="62"/>
  <c r="AB23" i="62"/>
  <c r="AD23" i="62" s="1"/>
  <c r="J23" i="62" s="1"/>
  <c r="Y23" i="62"/>
  <c r="X23" i="62"/>
  <c r="P23" i="62"/>
  <c r="O23" i="62"/>
  <c r="Q23" i="62" s="1"/>
  <c r="M23" i="62"/>
  <c r="H23" i="62"/>
  <c r="C23" i="62"/>
  <c r="AD22" i="62"/>
  <c r="J22" i="62" s="1"/>
  <c r="K22" i="62" s="1"/>
  <c r="AB22" i="62"/>
  <c r="Y22" i="62"/>
  <c r="X22" i="62"/>
  <c r="P22" i="62"/>
  <c r="O22" i="62"/>
  <c r="Q22" i="62" s="1"/>
  <c r="M22" i="62"/>
  <c r="H22" i="62"/>
  <c r="C22" i="62"/>
  <c r="AB21" i="62"/>
  <c r="AD21" i="62" s="1"/>
  <c r="J21" i="62" s="1"/>
  <c r="Y21" i="62"/>
  <c r="X21" i="62"/>
  <c r="P21" i="62"/>
  <c r="Q21" i="62" s="1"/>
  <c r="O21" i="62"/>
  <c r="M21" i="62"/>
  <c r="H21" i="62"/>
  <c r="C21" i="62"/>
  <c r="AD20" i="62"/>
  <c r="J20" i="62" s="1"/>
  <c r="I20" i="62" s="1"/>
  <c r="AB20" i="62"/>
  <c r="Y20" i="62"/>
  <c r="X20" i="62"/>
  <c r="Q20" i="62"/>
  <c r="P20" i="62"/>
  <c r="O20" i="62"/>
  <c r="M20" i="62"/>
  <c r="K20" i="62"/>
  <c r="H20" i="62"/>
  <c r="C20" i="62"/>
  <c r="AB19" i="62"/>
  <c r="AD19" i="62" s="1"/>
  <c r="J19" i="62" s="1"/>
  <c r="Y19" i="62"/>
  <c r="X19" i="62"/>
  <c r="P19" i="62"/>
  <c r="O19" i="62"/>
  <c r="Q19" i="62" s="1"/>
  <c r="M19" i="62"/>
  <c r="H19" i="62"/>
  <c r="C19" i="62"/>
  <c r="AD18" i="62"/>
  <c r="J18" i="62" s="1"/>
  <c r="K18" i="62" s="1"/>
  <c r="AB18" i="62"/>
  <c r="Y18" i="62"/>
  <c r="X18" i="62"/>
  <c r="P18" i="62"/>
  <c r="O18" i="62"/>
  <c r="Q18" i="62" s="1"/>
  <c r="M18" i="62"/>
  <c r="I18" i="62"/>
  <c r="H18" i="62"/>
  <c r="C18" i="62"/>
  <c r="AB17" i="62"/>
  <c r="AD17" i="62" s="1"/>
  <c r="J17" i="62" s="1"/>
  <c r="Y17" i="62"/>
  <c r="X17" i="62"/>
  <c r="P17" i="62"/>
  <c r="O17" i="62"/>
  <c r="M17" i="62"/>
  <c r="H17" i="62"/>
  <c r="C17" i="62"/>
  <c r="AD16" i="62"/>
  <c r="J16" i="62" s="1"/>
  <c r="I16" i="62" s="1"/>
  <c r="AB16" i="62"/>
  <c r="Y16" i="62"/>
  <c r="X16" i="62"/>
  <c r="Q16" i="62"/>
  <c r="P16" i="62"/>
  <c r="O16" i="62"/>
  <c r="M16" i="62"/>
  <c r="K16" i="62"/>
  <c r="H16" i="62"/>
  <c r="C16" i="62"/>
  <c r="AB15" i="62"/>
  <c r="AD15" i="62" s="1"/>
  <c r="J15" i="62" s="1"/>
  <c r="Y15" i="62"/>
  <c r="X15" i="62"/>
  <c r="P15" i="62"/>
  <c r="O15" i="62"/>
  <c r="Q15" i="62" s="1"/>
  <c r="M15" i="62"/>
  <c r="H15" i="62"/>
  <c r="C15" i="62"/>
  <c r="AD14" i="62"/>
  <c r="J14" i="62" s="1"/>
  <c r="K14" i="62" s="1"/>
  <c r="AB14" i="62"/>
  <c r="Y14" i="62"/>
  <c r="X14" i="62"/>
  <c r="P14" i="62"/>
  <c r="O14" i="62"/>
  <c r="Q14" i="62" s="1"/>
  <c r="M14" i="62"/>
  <c r="I14" i="62"/>
  <c r="H14" i="62"/>
  <c r="C14" i="62"/>
  <c r="AB13" i="62"/>
  <c r="AD13" i="62" s="1"/>
  <c r="Y13" i="62"/>
  <c r="X13" i="62"/>
  <c r="P13" i="62"/>
  <c r="Q13" i="62" s="1"/>
  <c r="O13" i="62"/>
  <c r="M13" i="62"/>
  <c r="J13" i="62"/>
  <c r="H13" i="62"/>
  <c r="C13" i="62"/>
  <c r="AD12" i="62"/>
  <c r="J12" i="62" s="1"/>
  <c r="I12" i="62" s="1"/>
  <c r="AB12" i="62"/>
  <c r="Y12" i="62"/>
  <c r="X12" i="62"/>
  <c r="Q12" i="62"/>
  <c r="P12" i="62"/>
  <c r="O12" i="62"/>
  <c r="M12" i="62"/>
  <c r="K12" i="62"/>
  <c r="H12" i="62"/>
  <c r="C12" i="62"/>
  <c r="AB11" i="62"/>
  <c r="AD11" i="62" s="1"/>
  <c r="J11" i="62" s="1"/>
  <c r="Y11" i="62"/>
  <c r="X11" i="62"/>
  <c r="P11" i="62"/>
  <c r="Q11" i="62" s="1"/>
  <c r="O11" i="62"/>
  <c r="M11" i="62"/>
  <c r="H11" i="62"/>
  <c r="C11" i="62"/>
  <c r="AD10" i="62"/>
  <c r="J10" i="62" s="1"/>
  <c r="AB10" i="62"/>
  <c r="Y10" i="62"/>
  <c r="X10" i="62"/>
  <c r="P10" i="62"/>
  <c r="O10" i="62"/>
  <c r="Q10" i="62" s="1"/>
  <c r="M10" i="62"/>
  <c r="H10" i="62"/>
  <c r="C10" i="62"/>
  <c r="AB9" i="62"/>
  <c r="AD9" i="62" s="1"/>
  <c r="Y9" i="62"/>
  <c r="X9" i="62"/>
  <c r="P9" i="62"/>
  <c r="O9" i="62"/>
  <c r="Q9" i="62" s="1"/>
  <c r="M9" i="62"/>
  <c r="J9" i="62"/>
  <c r="H9" i="62"/>
  <c r="C9" i="62"/>
  <c r="AD8" i="62"/>
  <c r="J8" i="62" s="1"/>
  <c r="I8" i="62" s="1"/>
  <c r="AB8" i="62"/>
  <c r="Y8" i="62"/>
  <c r="X8" i="62"/>
  <c r="Q8" i="62"/>
  <c r="P8" i="62"/>
  <c r="O8" i="62"/>
  <c r="M8" i="62"/>
  <c r="K8" i="62"/>
  <c r="H8" i="62"/>
  <c r="C8" i="62"/>
  <c r="AB7" i="62"/>
  <c r="AD7" i="62" s="1"/>
  <c r="J7" i="62" s="1"/>
  <c r="Y7" i="62"/>
  <c r="X7" i="62"/>
  <c r="P7" i="62"/>
  <c r="O7" i="62"/>
  <c r="Q7" i="62" s="1"/>
  <c r="M7" i="62"/>
  <c r="H7" i="62"/>
  <c r="C7" i="62"/>
  <c r="AD6" i="62"/>
  <c r="J6" i="62" s="1"/>
  <c r="K6" i="62" s="1"/>
  <c r="AB6" i="62"/>
  <c r="Y6" i="62"/>
  <c r="X6" i="62"/>
  <c r="P6" i="62"/>
  <c r="O6" i="62"/>
  <c r="Q6" i="62" s="1"/>
  <c r="M6" i="62"/>
  <c r="H6" i="62"/>
  <c r="C6" i="62"/>
  <c r="AB5" i="62"/>
  <c r="AD5" i="62" s="1"/>
  <c r="J5" i="62" s="1"/>
  <c r="Y5" i="62"/>
  <c r="X5" i="62"/>
  <c r="P5" i="62"/>
  <c r="Q5" i="62" s="1"/>
  <c r="O5" i="62"/>
  <c r="M5" i="62"/>
  <c r="H5" i="62"/>
  <c r="C5" i="62"/>
  <c r="AD4" i="62"/>
  <c r="AB4" i="62"/>
  <c r="Y4" i="62"/>
  <c r="X4" i="62"/>
  <c r="Q4" i="62"/>
  <c r="P4" i="62"/>
  <c r="O4" i="62"/>
  <c r="M4" i="62"/>
  <c r="H4" i="62"/>
  <c r="C4" i="62"/>
  <c r="AG3" i="62"/>
  <c r="AF3" i="62"/>
  <c r="W3" i="62"/>
  <c r="V3" i="62"/>
  <c r="U3" i="62"/>
  <c r="T3" i="62"/>
  <c r="O3" i="62"/>
  <c r="G3" i="62"/>
  <c r="H3" i="62" s="1"/>
  <c r="F3" i="62"/>
  <c r="D3" i="62"/>
  <c r="X3" i="62" s="1"/>
  <c r="C3" i="62"/>
  <c r="A2" i="62"/>
  <c r="A1" i="62"/>
  <c r="AD32" i="61"/>
  <c r="J32" i="61" s="1"/>
  <c r="I32" i="61" s="1"/>
  <c r="AB32" i="61"/>
  <c r="Y32" i="61"/>
  <c r="X32" i="61"/>
  <c r="V32" i="61"/>
  <c r="U32" i="61"/>
  <c r="T32" i="61"/>
  <c r="Q32" i="61"/>
  <c r="P32" i="61"/>
  <c r="O32" i="61"/>
  <c r="M32" i="61"/>
  <c r="K32" i="61"/>
  <c r="H32" i="61"/>
  <c r="C32" i="61"/>
  <c r="AB31" i="61"/>
  <c r="AD31" i="61" s="1"/>
  <c r="J31" i="61" s="1"/>
  <c r="Y31" i="61"/>
  <c r="X31" i="61"/>
  <c r="P31" i="61"/>
  <c r="O31" i="61"/>
  <c r="Q31" i="61" s="1"/>
  <c r="M31" i="61"/>
  <c r="H31" i="61"/>
  <c r="C31" i="61"/>
  <c r="AD30" i="61"/>
  <c r="J30" i="61" s="1"/>
  <c r="K30" i="61" s="1"/>
  <c r="AB30" i="61"/>
  <c r="Y30" i="61"/>
  <c r="X30" i="61"/>
  <c r="P30" i="61"/>
  <c r="O30" i="61"/>
  <c r="Q30" i="61" s="1"/>
  <c r="M30" i="61"/>
  <c r="I30" i="61"/>
  <c r="H30" i="61"/>
  <c r="C30" i="61"/>
  <c r="AB29" i="61"/>
  <c r="AD29" i="61" s="1"/>
  <c r="Y29" i="61"/>
  <c r="X29" i="61"/>
  <c r="P29" i="61"/>
  <c r="Q29" i="61" s="1"/>
  <c r="O29" i="61"/>
  <c r="M29" i="61"/>
  <c r="J29" i="61"/>
  <c r="H29" i="61"/>
  <c r="C29" i="61"/>
  <c r="AD28" i="61"/>
  <c r="J28" i="61" s="1"/>
  <c r="I28" i="61" s="1"/>
  <c r="AB28" i="61"/>
  <c r="Y28" i="61"/>
  <c r="X28" i="61"/>
  <c r="Q28" i="61"/>
  <c r="P28" i="61"/>
  <c r="O28" i="61"/>
  <c r="M28" i="61"/>
  <c r="K28" i="61"/>
  <c r="H28" i="61"/>
  <c r="C28" i="61"/>
  <c r="AB27" i="61"/>
  <c r="AD27" i="61" s="1"/>
  <c r="J27" i="61" s="1"/>
  <c r="Y27" i="61"/>
  <c r="X27" i="61"/>
  <c r="P27" i="61"/>
  <c r="Q27" i="61" s="1"/>
  <c r="O27" i="61"/>
  <c r="M27" i="61"/>
  <c r="H27" i="61"/>
  <c r="C27" i="61"/>
  <c r="AD26" i="61"/>
  <c r="J26" i="61" s="1"/>
  <c r="K26" i="61" s="1"/>
  <c r="AB26" i="61"/>
  <c r="Y26" i="61"/>
  <c r="X26" i="61"/>
  <c r="P26" i="61"/>
  <c r="O26" i="61"/>
  <c r="Q26" i="61" s="1"/>
  <c r="M26" i="61"/>
  <c r="I26" i="61"/>
  <c r="H26" i="61"/>
  <c r="C26" i="61"/>
  <c r="AB25" i="61"/>
  <c r="AD25" i="61" s="1"/>
  <c r="Y25" i="61"/>
  <c r="X25" i="61"/>
  <c r="P25" i="61"/>
  <c r="O25" i="61"/>
  <c r="Q25" i="61" s="1"/>
  <c r="M25" i="61"/>
  <c r="J25" i="61"/>
  <c r="H25" i="61"/>
  <c r="C25" i="61"/>
  <c r="AD24" i="61"/>
  <c r="J24" i="61" s="1"/>
  <c r="I24" i="61" s="1"/>
  <c r="AB24" i="61"/>
  <c r="Y24" i="61"/>
  <c r="X24" i="61"/>
  <c r="Q24" i="61"/>
  <c r="P24" i="61"/>
  <c r="O24" i="61"/>
  <c r="M24" i="61"/>
  <c r="K24" i="61"/>
  <c r="H24" i="61"/>
  <c r="C24" i="61"/>
  <c r="AB23" i="61"/>
  <c r="AD23" i="61" s="1"/>
  <c r="J23" i="61" s="1"/>
  <c r="Y23" i="61"/>
  <c r="X23" i="61"/>
  <c r="P23" i="61"/>
  <c r="O23" i="61"/>
  <c r="Q23" i="61" s="1"/>
  <c r="M23" i="61"/>
  <c r="H23" i="61"/>
  <c r="C23" i="61"/>
  <c r="AB22" i="61"/>
  <c r="AD22" i="61" s="1"/>
  <c r="J22" i="61" s="1"/>
  <c r="Y22" i="61"/>
  <c r="X22" i="61"/>
  <c r="P22" i="61"/>
  <c r="O22" i="61"/>
  <c r="Q22" i="61" s="1"/>
  <c r="M22" i="61"/>
  <c r="H22" i="61"/>
  <c r="C22" i="61"/>
  <c r="AB21" i="61"/>
  <c r="AD21" i="61" s="1"/>
  <c r="J21" i="61" s="1"/>
  <c r="Y21" i="61"/>
  <c r="X21" i="61"/>
  <c r="P21" i="61"/>
  <c r="Q21" i="61" s="1"/>
  <c r="O21" i="61"/>
  <c r="M21" i="61"/>
  <c r="H21" i="61"/>
  <c r="C21" i="61"/>
  <c r="AD20" i="61"/>
  <c r="J20" i="61" s="1"/>
  <c r="AB20" i="61"/>
  <c r="Y20" i="61"/>
  <c r="X20" i="61"/>
  <c r="P20" i="61"/>
  <c r="Q20" i="61" s="1"/>
  <c r="O20" i="61"/>
  <c r="M20" i="61"/>
  <c r="K20" i="61"/>
  <c r="I20" i="61"/>
  <c r="H20" i="61"/>
  <c r="C20" i="61"/>
  <c r="AB19" i="61"/>
  <c r="AD19" i="61" s="1"/>
  <c r="J19" i="61" s="1"/>
  <c r="Y19" i="61"/>
  <c r="X19" i="61"/>
  <c r="P19" i="61"/>
  <c r="Q19" i="61" s="1"/>
  <c r="O19" i="61"/>
  <c r="M19" i="61"/>
  <c r="H19" i="61"/>
  <c r="C19" i="61"/>
  <c r="AD18" i="61"/>
  <c r="J18" i="61" s="1"/>
  <c r="AB18" i="61"/>
  <c r="Y18" i="61"/>
  <c r="X18" i="61"/>
  <c r="P18" i="61"/>
  <c r="Q18" i="61" s="1"/>
  <c r="O18" i="61"/>
  <c r="M18" i="61"/>
  <c r="K18" i="61"/>
  <c r="I18" i="61"/>
  <c r="H18" i="61"/>
  <c r="C18" i="61"/>
  <c r="AB17" i="61"/>
  <c r="AD17" i="61" s="1"/>
  <c r="J17" i="61" s="1"/>
  <c r="Y17" i="61"/>
  <c r="X17" i="61"/>
  <c r="P17" i="61"/>
  <c r="O17" i="61"/>
  <c r="Q17" i="61" s="1"/>
  <c r="M17" i="61"/>
  <c r="H17" i="61"/>
  <c r="C17" i="61"/>
  <c r="AB16" i="61"/>
  <c r="AD16" i="61" s="1"/>
  <c r="J16" i="61" s="1"/>
  <c r="Y16" i="61"/>
  <c r="X16" i="61"/>
  <c r="Q16" i="61"/>
  <c r="P16" i="61"/>
  <c r="O16" i="61"/>
  <c r="M16" i="61"/>
  <c r="H16" i="61"/>
  <c r="C16" i="61"/>
  <c r="AB15" i="61"/>
  <c r="AD15" i="61" s="1"/>
  <c r="Y15" i="61"/>
  <c r="X15" i="61"/>
  <c r="P15" i="61"/>
  <c r="O15" i="61"/>
  <c r="Q15" i="61" s="1"/>
  <c r="M15" i="61"/>
  <c r="J15" i="61"/>
  <c r="H15" i="61"/>
  <c r="C15" i="61"/>
  <c r="AB14" i="61"/>
  <c r="AD14" i="61" s="1"/>
  <c r="J14" i="61" s="1"/>
  <c r="Y14" i="61"/>
  <c r="X14" i="61"/>
  <c r="Q14" i="61"/>
  <c r="P14" i="61"/>
  <c r="O14" i="61"/>
  <c r="M14" i="61"/>
  <c r="H14" i="61"/>
  <c r="C14" i="61"/>
  <c r="AB13" i="61"/>
  <c r="AD13" i="61" s="1"/>
  <c r="Y13" i="61"/>
  <c r="X13" i="61"/>
  <c r="P13" i="61"/>
  <c r="Q13" i="61" s="1"/>
  <c r="O13" i="61"/>
  <c r="M13" i="61"/>
  <c r="J13" i="61"/>
  <c r="H13" i="61"/>
  <c r="C13" i="61"/>
  <c r="AD12" i="61"/>
  <c r="J12" i="61" s="1"/>
  <c r="AB12" i="61"/>
  <c r="Y12" i="61"/>
  <c r="X12" i="61"/>
  <c r="Q12" i="61"/>
  <c r="P12" i="61"/>
  <c r="O12" i="61"/>
  <c r="M12" i="61"/>
  <c r="K12" i="61"/>
  <c r="I12" i="61"/>
  <c r="H12" i="61"/>
  <c r="C12" i="61"/>
  <c r="AD11" i="61"/>
  <c r="AB11" i="61"/>
  <c r="Y11" i="61"/>
  <c r="X11" i="61"/>
  <c r="P11" i="61"/>
  <c r="Q11" i="61" s="1"/>
  <c r="O11" i="61"/>
  <c r="M11" i="61"/>
  <c r="K11" i="61"/>
  <c r="J11" i="61"/>
  <c r="I11" i="61" s="1"/>
  <c r="H11" i="61"/>
  <c r="C11" i="61"/>
  <c r="AD10" i="61"/>
  <c r="J10" i="61" s="1"/>
  <c r="AB10" i="61"/>
  <c r="Y10" i="61"/>
  <c r="X10" i="61"/>
  <c r="Q10" i="61"/>
  <c r="P10" i="61"/>
  <c r="O10" i="61"/>
  <c r="M10" i="61"/>
  <c r="K10" i="61"/>
  <c r="I10" i="61"/>
  <c r="H10" i="61"/>
  <c r="C10" i="61"/>
  <c r="AD9" i="61"/>
  <c r="J9" i="61" s="1"/>
  <c r="AB9" i="61"/>
  <c r="Y9" i="61"/>
  <c r="X9" i="61"/>
  <c r="P9" i="61"/>
  <c r="O9" i="61"/>
  <c r="Q9" i="61" s="1"/>
  <c r="M9" i="61"/>
  <c r="H9" i="61"/>
  <c r="C9" i="61"/>
  <c r="AD8" i="61"/>
  <c r="J8" i="61" s="1"/>
  <c r="AB8" i="61"/>
  <c r="Y8" i="61"/>
  <c r="X8" i="61"/>
  <c r="Q8" i="61"/>
  <c r="P8" i="61"/>
  <c r="O8" i="61"/>
  <c r="M8" i="61"/>
  <c r="H8" i="61"/>
  <c r="C8" i="61"/>
  <c r="AB7" i="61"/>
  <c r="AD7" i="61" s="1"/>
  <c r="J7" i="61" s="1"/>
  <c r="Y7" i="61"/>
  <c r="X7" i="61"/>
  <c r="P7" i="61"/>
  <c r="O7" i="61"/>
  <c r="Q7" i="61" s="1"/>
  <c r="M7" i="61"/>
  <c r="H7" i="61"/>
  <c r="C7" i="61"/>
  <c r="AB6" i="61"/>
  <c r="AD6" i="61" s="1"/>
  <c r="J6" i="61" s="1"/>
  <c r="Y6" i="61"/>
  <c r="X6" i="61"/>
  <c r="P6" i="61"/>
  <c r="O6" i="61"/>
  <c r="Q6" i="61" s="1"/>
  <c r="M6" i="61"/>
  <c r="H6" i="61"/>
  <c r="C6" i="61"/>
  <c r="AB5" i="61"/>
  <c r="AD5" i="61" s="1"/>
  <c r="J5" i="61" s="1"/>
  <c r="K5" i="61" s="1"/>
  <c r="Y5" i="61"/>
  <c r="X5" i="61"/>
  <c r="P5" i="61"/>
  <c r="Q5" i="61" s="1"/>
  <c r="O5" i="61"/>
  <c r="M5" i="61"/>
  <c r="H5" i="61"/>
  <c r="C5" i="61"/>
  <c r="AD4" i="61"/>
  <c r="J4" i="61" s="1"/>
  <c r="AB4" i="61"/>
  <c r="Y4" i="61"/>
  <c r="X4" i="61"/>
  <c r="P4" i="61"/>
  <c r="O4" i="61"/>
  <c r="Q4" i="61" s="1"/>
  <c r="M4" i="61"/>
  <c r="K4" i="61"/>
  <c r="I4" i="61"/>
  <c r="H4" i="61"/>
  <c r="C4" i="61"/>
  <c r="AG3" i="61"/>
  <c r="AF3" i="61"/>
  <c r="X3" i="61"/>
  <c r="W3" i="61"/>
  <c r="V3" i="61"/>
  <c r="U3" i="61"/>
  <c r="T3" i="61"/>
  <c r="O3" i="61"/>
  <c r="G3" i="61"/>
  <c r="H3" i="61" s="1"/>
  <c r="F3" i="61"/>
  <c r="D3" i="61"/>
  <c r="C3" i="61"/>
  <c r="A2" i="61"/>
  <c r="A1" i="61"/>
  <c r="AD32" i="60"/>
  <c r="J32" i="60" s="1"/>
  <c r="AB32" i="60"/>
  <c r="Y32" i="60"/>
  <c r="X32" i="60"/>
  <c r="V32" i="60"/>
  <c r="U32" i="60"/>
  <c r="T32" i="60"/>
  <c r="Q32" i="60"/>
  <c r="P32" i="60"/>
  <c r="O32" i="60"/>
  <c r="M32" i="60"/>
  <c r="H32" i="60"/>
  <c r="C32" i="60"/>
  <c r="AB31" i="60"/>
  <c r="AD31" i="60" s="1"/>
  <c r="Y31" i="60"/>
  <c r="X31" i="60"/>
  <c r="P31" i="60"/>
  <c r="O31" i="60"/>
  <c r="Q31" i="60" s="1"/>
  <c r="M31" i="60"/>
  <c r="J31" i="60"/>
  <c r="H31" i="60"/>
  <c r="C31" i="60"/>
  <c r="AD30" i="60"/>
  <c r="J30" i="60" s="1"/>
  <c r="AB30" i="60"/>
  <c r="Y30" i="60"/>
  <c r="X30" i="60"/>
  <c r="Q30" i="60"/>
  <c r="P30" i="60"/>
  <c r="O30" i="60"/>
  <c r="M30" i="60"/>
  <c r="H30" i="60"/>
  <c r="C30" i="60"/>
  <c r="AB29" i="60"/>
  <c r="AD29" i="60" s="1"/>
  <c r="J29" i="60" s="1"/>
  <c r="Y29" i="60"/>
  <c r="X29" i="60"/>
  <c r="Q29" i="60"/>
  <c r="P29" i="60"/>
  <c r="O29" i="60"/>
  <c r="M29" i="60"/>
  <c r="H29" i="60"/>
  <c r="C29" i="60"/>
  <c r="AD28" i="60"/>
  <c r="J28" i="60" s="1"/>
  <c r="I28" i="60" s="1"/>
  <c r="AB28" i="60"/>
  <c r="Y28" i="60"/>
  <c r="X28" i="60"/>
  <c r="P28" i="60"/>
  <c r="Q28" i="60" s="1"/>
  <c r="O28" i="60"/>
  <c r="M28" i="60"/>
  <c r="K28" i="60"/>
  <c r="H28" i="60"/>
  <c r="C28" i="60"/>
  <c r="AD27" i="60"/>
  <c r="J27" i="60" s="1"/>
  <c r="AB27" i="60"/>
  <c r="Y27" i="60"/>
  <c r="X27" i="60"/>
  <c r="P27" i="60"/>
  <c r="Q27" i="60" s="1"/>
  <c r="O27" i="60"/>
  <c r="M27" i="60"/>
  <c r="H27" i="60"/>
  <c r="C27" i="60"/>
  <c r="AD26" i="60"/>
  <c r="J26" i="60" s="1"/>
  <c r="I26" i="60" s="1"/>
  <c r="AB26" i="60"/>
  <c r="Y26" i="60"/>
  <c r="X26" i="60"/>
  <c r="P26" i="60"/>
  <c r="Q26" i="60" s="1"/>
  <c r="O26" i="60"/>
  <c r="M26" i="60"/>
  <c r="K26" i="60"/>
  <c r="H26" i="60"/>
  <c r="C26" i="60"/>
  <c r="AD25" i="60"/>
  <c r="J25" i="60" s="1"/>
  <c r="K25" i="60" s="1"/>
  <c r="AB25" i="60"/>
  <c r="Y25" i="60"/>
  <c r="X25" i="60"/>
  <c r="P25" i="60"/>
  <c r="O25" i="60"/>
  <c r="M25" i="60"/>
  <c r="H25" i="60"/>
  <c r="C25" i="60"/>
  <c r="AD24" i="60"/>
  <c r="J24" i="60" s="1"/>
  <c r="AB24" i="60"/>
  <c r="Y24" i="60"/>
  <c r="X24" i="60"/>
  <c r="P24" i="60"/>
  <c r="Q24" i="60" s="1"/>
  <c r="O24" i="60"/>
  <c r="M24" i="60"/>
  <c r="H24" i="60"/>
  <c r="C24" i="60"/>
  <c r="AD23" i="60"/>
  <c r="J23" i="60" s="1"/>
  <c r="I23" i="60" s="1"/>
  <c r="AB23" i="60"/>
  <c r="Y23" i="60"/>
  <c r="X23" i="60"/>
  <c r="P23" i="60"/>
  <c r="O23" i="60"/>
  <c r="Q23" i="60" s="1"/>
  <c r="M23" i="60"/>
  <c r="K23" i="60"/>
  <c r="H23" i="60"/>
  <c r="C23" i="60"/>
  <c r="AB22" i="60"/>
  <c r="AD22" i="60" s="1"/>
  <c r="J22" i="60" s="1"/>
  <c r="K22" i="60" s="1"/>
  <c r="Y22" i="60"/>
  <c r="X22" i="60"/>
  <c r="Q22" i="60"/>
  <c r="P22" i="60"/>
  <c r="O22" i="60"/>
  <c r="M22" i="60"/>
  <c r="H22" i="60"/>
  <c r="C22" i="60"/>
  <c r="AB21" i="60"/>
  <c r="AD21" i="60" s="1"/>
  <c r="J21" i="60" s="1"/>
  <c r="Y21" i="60"/>
  <c r="X21" i="60"/>
  <c r="P21" i="60"/>
  <c r="O21" i="60"/>
  <c r="M21" i="60"/>
  <c r="H21" i="60"/>
  <c r="C21" i="60"/>
  <c r="AB20" i="60"/>
  <c r="AD20" i="60" s="1"/>
  <c r="J20" i="60" s="1"/>
  <c r="I20" i="60" s="1"/>
  <c r="Y20" i="60"/>
  <c r="X20" i="60"/>
  <c r="P20" i="60"/>
  <c r="O20" i="60"/>
  <c r="Q20" i="60" s="1"/>
  <c r="M20" i="60"/>
  <c r="K20" i="60"/>
  <c r="H20" i="60"/>
  <c r="C20" i="60"/>
  <c r="AB19" i="60"/>
  <c r="AD19" i="60" s="1"/>
  <c r="J19" i="60" s="1"/>
  <c r="Y19" i="60"/>
  <c r="X19" i="60"/>
  <c r="Q19" i="60"/>
  <c r="P19" i="60"/>
  <c r="O19" i="60"/>
  <c r="M19" i="60"/>
  <c r="H19" i="60"/>
  <c r="C19" i="60"/>
  <c r="AD18" i="60"/>
  <c r="J18" i="60" s="1"/>
  <c r="AB18" i="60"/>
  <c r="Y18" i="60"/>
  <c r="X18" i="60"/>
  <c r="P18" i="60"/>
  <c r="O18" i="60"/>
  <c r="Q18" i="60" s="1"/>
  <c r="M18" i="60"/>
  <c r="H18" i="60"/>
  <c r="C18" i="60"/>
  <c r="AB17" i="60"/>
  <c r="AD17" i="60" s="1"/>
  <c r="J17" i="60" s="1"/>
  <c r="Y17" i="60"/>
  <c r="X17" i="60"/>
  <c r="P17" i="60"/>
  <c r="Q17" i="60" s="1"/>
  <c r="O17" i="60"/>
  <c r="M17" i="60"/>
  <c r="H17" i="60"/>
  <c r="C17" i="60"/>
  <c r="AD16" i="60"/>
  <c r="J16" i="60" s="1"/>
  <c r="AB16" i="60"/>
  <c r="Y16" i="60"/>
  <c r="X16" i="60"/>
  <c r="Q16" i="60"/>
  <c r="P16" i="60"/>
  <c r="O16" i="60"/>
  <c r="M16" i="60"/>
  <c r="H16" i="60"/>
  <c r="C16" i="60"/>
  <c r="AD15" i="60"/>
  <c r="J15" i="60" s="1"/>
  <c r="I15" i="60" s="1"/>
  <c r="AB15" i="60"/>
  <c r="Y15" i="60"/>
  <c r="X15" i="60"/>
  <c r="P15" i="60"/>
  <c r="O15" i="60"/>
  <c r="Q15" i="60" s="1"/>
  <c r="M15" i="60"/>
  <c r="H15" i="60"/>
  <c r="C15" i="60"/>
  <c r="AB14" i="60"/>
  <c r="AD14" i="60" s="1"/>
  <c r="J14" i="60" s="1"/>
  <c r="K14" i="60" s="1"/>
  <c r="Y14" i="60"/>
  <c r="X14" i="60"/>
  <c r="Q14" i="60"/>
  <c r="P14" i="60"/>
  <c r="O14" i="60"/>
  <c r="M14" i="60"/>
  <c r="H14" i="60"/>
  <c r="C14" i="60"/>
  <c r="AB13" i="60"/>
  <c r="AD13" i="60" s="1"/>
  <c r="J13" i="60" s="1"/>
  <c r="Y13" i="60"/>
  <c r="X13" i="60"/>
  <c r="P13" i="60"/>
  <c r="O13" i="60"/>
  <c r="Q13" i="60" s="1"/>
  <c r="M13" i="60"/>
  <c r="H13" i="60"/>
  <c r="C13" i="60"/>
  <c r="AB12" i="60"/>
  <c r="AD12" i="60" s="1"/>
  <c r="J12" i="60" s="1"/>
  <c r="Y12" i="60"/>
  <c r="X12" i="60"/>
  <c r="P12" i="60"/>
  <c r="O12" i="60"/>
  <c r="Q12" i="60" s="1"/>
  <c r="M12" i="60"/>
  <c r="H12" i="60"/>
  <c r="C12" i="60"/>
  <c r="AB11" i="60"/>
  <c r="AD11" i="60" s="1"/>
  <c r="J11" i="60" s="1"/>
  <c r="Y11" i="60"/>
  <c r="X11" i="60"/>
  <c r="Q11" i="60"/>
  <c r="P11" i="60"/>
  <c r="O11" i="60"/>
  <c r="M11" i="60"/>
  <c r="H11" i="60"/>
  <c r="C11" i="60"/>
  <c r="AD10" i="60"/>
  <c r="J10" i="60" s="1"/>
  <c r="AB10" i="60"/>
  <c r="Y10" i="60"/>
  <c r="X10" i="60"/>
  <c r="P10" i="60"/>
  <c r="O10" i="60"/>
  <c r="Q10" i="60" s="1"/>
  <c r="M10" i="60"/>
  <c r="H10" i="60"/>
  <c r="C10" i="60"/>
  <c r="AB9" i="60"/>
  <c r="AD9" i="60" s="1"/>
  <c r="Y9" i="60"/>
  <c r="X9" i="60"/>
  <c r="P9" i="60"/>
  <c r="Q9" i="60" s="1"/>
  <c r="O9" i="60"/>
  <c r="M9" i="60"/>
  <c r="J9" i="60"/>
  <c r="K9" i="60" s="1"/>
  <c r="I9" i="60"/>
  <c r="H9" i="60"/>
  <c r="C9" i="60"/>
  <c r="AD8" i="60"/>
  <c r="J8" i="60" s="1"/>
  <c r="AB8" i="60"/>
  <c r="Y8" i="60"/>
  <c r="X8" i="60"/>
  <c r="P8" i="60"/>
  <c r="Q8" i="60" s="1"/>
  <c r="O8" i="60"/>
  <c r="M8" i="60"/>
  <c r="H8" i="60"/>
  <c r="C8" i="60"/>
  <c r="AD7" i="60"/>
  <c r="J7" i="60" s="1"/>
  <c r="I7" i="60" s="1"/>
  <c r="AB7" i="60"/>
  <c r="Y7" i="60"/>
  <c r="X7" i="60"/>
  <c r="P7" i="60"/>
  <c r="O7" i="60"/>
  <c r="Q7" i="60" s="1"/>
  <c r="M7" i="60"/>
  <c r="H7" i="60"/>
  <c r="C7" i="60"/>
  <c r="AB6" i="60"/>
  <c r="AD6" i="60" s="1"/>
  <c r="J6" i="60" s="1"/>
  <c r="K6" i="60" s="1"/>
  <c r="Y6" i="60"/>
  <c r="X6" i="60"/>
  <c r="Q6" i="60"/>
  <c r="P6" i="60"/>
  <c r="O6" i="60"/>
  <c r="M6" i="60"/>
  <c r="I6" i="60"/>
  <c r="H6" i="60"/>
  <c r="C6" i="60"/>
  <c r="AB5" i="60"/>
  <c r="AD5" i="60" s="1"/>
  <c r="J5" i="60" s="1"/>
  <c r="Y5" i="60"/>
  <c r="X5" i="60"/>
  <c r="P5" i="60"/>
  <c r="O5" i="60"/>
  <c r="Q5" i="60" s="1"/>
  <c r="M5" i="60"/>
  <c r="H5" i="60"/>
  <c r="C5" i="60"/>
  <c r="AB4" i="60"/>
  <c r="AD4" i="60" s="1"/>
  <c r="Y4" i="60"/>
  <c r="X4" i="60"/>
  <c r="P4" i="60"/>
  <c r="O4" i="60"/>
  <c r="Q4" i="60" s="1"/>
  <c r="M4" i="60"/>
  <c r="H4" i="60"/>
  <c r="C4" i="60"/>
  <c r="AG3" i="60"/>
  <c r="AF3" i="60"/>
  <c r="X3" i="60"/>
  <c r="W3" i="60"/>
  <c r="V3" i="60"/>
  <c r="U3" i="60"/>
  <c r="T3" i="60"/>
  <c r="O3" i="60"/>
  <c r="H3" i="60"/>
  <c r="G3" i="60"/>
  <c r="F3" i="60"/>
  <c r="D3" i="60"/>
  <c r="C3" i="60"/>
  <c r="A2" i="60"/>
  <c r="A1" i="60"/>
  <c r="AB32" i="59"/>
  <c r="AD32" i="59" s="1"/>
  <c r="J32" i="59" s="1"/>
  <c r="Y32" i="59"/>
  <c r="X32" i="59"/>
  <c r="V32" i="59"/>
  <c r="U32" i="59"/>
  <c r="T32" i="59"/>
  <c r="P32" i="59"/>
  <c r="Q32" i="59" s="1"/>
  <c r="O32" i="59"/>
  <c r="M32" i="59"/>
  <c r="H32" i="59"/>
  <c r="C32" i="59"/>
  <c r="AD31" i="59"/>
  <c r="J31" i="59" s="1"/>
  <c r="I31" i="59" s="1"/>
  <c r="AB31" i="59"/>
  <c r="Y31" i="59"/>
  <c r="X31" i="59"/>
  <c r="P31" i="59"/>
  <c r="O31" i="59"/>
  <c r="Q31" i="59" s="1"/>
  <c r="M31" i="59"/>
  <c r="H31" i="59"/>
  <c r="C31" i="59"/>
  <c r="AB30" i="59"/>
  <c r="AD30" i="59" s="1"/>
  <c r="J30" i="59" s="1"/>
  <c r="K30" i="59" s="1"/>
  <c r="Y30" i="59"/>
  <c r="X30" i="59"/>
  <c r="Q30" i="59"/>
  <c r="P30" i="59"/>
  <c r="O30" i="59"/>
  <c r="M30" i="59"/>
  <c r="H30" i="59"/>
  <c r="C30" i="59"/>
  <c r="AB29" i="59"/>
  <c r="AD29" i="59" s="1"/>
  <c r="J29" i="59" s="1"/>
  <c r="Y29" i="59"/>
  <c r="X29" i="59"/>
  <c r="P29" i="59"/>
  <c r="O29" i="59"/>
  <c r="Q29" i="59" s="1"/>
  <c r="M29" i="59"/>
  <c r="H29" i="59"/>
  <c r="C29" i="59"/>
  <c r="AD28" i="59"/>
  <c r="J28" i="59" s="1"/>
  <c r="I28" i="59" s="1"/>
  <c r="AB28" i="59"/>
  <c r="Y28" i="59"/>
  <c r="X28" i="59"/>
  <c r="Q28" i="59"/>
  <c r="P28" i="59"/>
  <c r="O28" i="59"/>
  <c r="M28" i="59"/>
  <c r="K28" i="59"/>
  <c r="H28" i="59"/>
  <c r="C28" i="59"/>
  <c r="AB27" i="59"/>
  <c r="AD27" i="59" s="1"/>
  <c r="J27" i="59" s="1"/>
  <c r="Y27" i="59"/>
  <c r="X27" i="59"/>
  <c r="Q27" i="59"/>
  <c r="P27" i="59"/>
  <c r="O27" i="59"/>
  <c r="M27" i="59"/>
  <c r="H27" i="59"/>
  <c r="C27" i="59"/>
  <c r="AD26" i="59"/>
  <c r="J26" i="59" s="1"/>
  <c r="AB26" i="59"/>
  <c r="Y26" i="59"/>
  <c r="X26" i="59"/>
  <c r="P26" i="59"/>
  <c r="O26" i="59"/>
  <c r="Q26" i="59" s="1"/>
  <c r="M26" i="59"/>
  <c r="H26" i="59"/>
  <c r="C26" i="59"/>
  <c r="AB25" i="59"/>
  <c r="AD25" i="59" s="1"/>
  <c r="J25" i="59" s="1"/>
  <c r="Y25" i="59"/>
  <c r="X25" i="59"/>
  <c r="P25" i="59"/>
  <c r="Q25" i="59" s="1"/>
  <c r="O25" i="59"/>
  <c r="M25" i="59"/>
  <c r="H25" i="59"/>
  <c r="C25" i="59"/>
  <c r="AD24" i="59"/>
  <c r="J24" i="59" s="1"/>
  <c r="AB24" i="59"/>
  <c r="Y24" i="59"/>
  <c r="X24" i="59"/>
  <c r="Q24" i="59"/>
  <c r="P24" i="59"/>
  <c r="O24" i="59"/>
  <c r="M24" i="59"/>
  <c r="H24" i="59"/>
  <c r="C24" i="59"/>
  <c r="AD23" i="59"/>
  <c r="J23" i="59" s="1"/>
  <c r="I23" i="59" s="1"/>
  <c r="AB23" i="59"/>
  <c r="Y23" i="59"/>
  <c r="X23" i="59"/>
  <c r="P23" i="59"/>
  <c r="O23" i="59"/>
  <c r="Q23" i="59" s="1"/>
  <c r="M23" i="59"/>
  <c r="H23" i="59"/>
  <c r="C23" i="59"/>
  <c r="AB22" i="59"/>
  <c r="AD22" i="59" s="1"/>
  <c r="J22" i="59" s="1"/>
  <c r="K22" i="59" s="1"/>
  <c r="Y22" i="59"/>
  <c r="X22" i="59"/>
  <c r="Q22" i="59"/>
  <c r="P22" i="59"/>
  <c r="O22" i="59"/>
  <c r="M22" i="59"/>
  <c r="H22" i="59"/>
  <c r="C22" i="59"/>
  <c r="AB21" i="59"/>
  <c r="AD21" i="59" s="1"/>
  <c r="J21" i="59" s="1"/>
  <c r="Y21" i="59"/>
  <c r="X21" i="59"/>
  <c r="P21" i="59"/>
  <c r="O21" i="59"/>
  <c r="Q21" i="59" s="1"/>
  <c r="M21" i="59"/>
  <c r="H21" i="59"/>
  <c r="C21" i="59"/>
  <c r="AB20" i="59"/>
  <c r="AD20" i="59" s="1"/>
  <c r="J20" i="59" s="1"/>
  <c r="Y20" i="59"/>
  <c r="X20" i="59"/>
  <c r="Q20" i="59"/>
  <c r="P20" i="59"/>
  <c r="O20" i="59"/>
  <c r="M20" i="59"/>
  <c r="H20" i="59"/>
  <c r="C20" i="59"/>
  <c r="AB19" i="59"/>
  <c r="AD19" i="59" s="1"/>
  <c r="J19" i="59" s="1"/>
  <c r="Y19" i="59"/>
  <c r="X19" i="59"/>
  <c r="Q19" i="59"/>
  <c r="P19" i="59"/>
  <c r="O19" i="59"/>
  <c r="M19" i="59"/>
  <c r="H19" i="59"/>
  <c r="C19" i="59"/>
  <c r="AD18" i="59"/>
  <c r="J18" i="59" s="1"/>
  <c r="AB18" i="59"/>
  <c r="Y18" i="59"/>
  <c r="X18" i="59"/>
  <c r="P18" i="59"/>
  <c r="O18" i="59"/>
  <c r="Q18" i="59" s="1"/>
  <c r="M18" i="59"/>
  <c r="H18" i="59"/>
  <c r="C18" i="59"/>
  <c r="AB17" i="59"/>
  <c r="AD17" i="59" s="1"/>
  <c r="Y17" i="59"/>
  <c r="X17" i="59"/>
  <c r="P17" i="59"/>
  <c r="Q17" i="59" s="1"/>
  <c r="O17" i="59"/>
  <c r="M17" i="59"/>
  <c r="J17" i="59"/>
  <c r="K17" i="59" s="1"/>
  <c r="H17" i="59"/>
  <c r="C17" i="59"/>
  <c r="AD16" i="59"/>
  <c r="J16" i="59" s="1"/>
  <c r="AB16" i="59"/>
  <c r="Y16" i="59"/>
  <c r="X16" i="59"/>
  <c r="Q16" i="59"/>
  <c r="P16" i="59"/>
  <c r="O16" i="59"/>
  <c r="M16" i="59"/>
  <c r="H16" i="59"/>
  <c r="C16" i="59"/>
  <c r="AD15" i="59"/>
  <c r="J15" i="59" s="1"/>
  <c r="AB15" i="59"/>
  <c r="Y15" i="59"/>
  <c r="X15" i="59"/>
  <c r="P15" i="59"/>
  <c r="O15" i="59"/>
  <c r="Q15" i="59" s="1"/>
  <c r="M15" i="59"/>
  <c r="H15" i="59"/>
  <c r="C15" i="59"/>
  <c r="AB14" i="59"/>
  <c r="AD14" i="59" s="1"/>
  <c r="J14" i="59" s="1"/>
  <c r="K14" i="59" s="1"/>
  <c r="Y14" i="59"/>
  <c r="X14" i="59"/>
  <c r="Q14" i="59"/>
  <c r="P14" i="59"/>
  <c r="O14" i="59"/>
  <c r="M14" i="59"/>
  <c r="H14" i="59"/>
  <c r="C14" i="59"/>
  <c r="AB13" i="59"/>
  <c r="AD13" i="59" s="1"/>
  <c r="J13" i="59" s="1"/>
  <c r="Y13" i="59"/>
  <c r="X13" i="59"/>
  <c r="P13" i="59"/>
  <c r="O13" i="59"/>
  <c r="Q13" i="59" s="1"/>
  <c r="M13" i="59"/>
  <c r="H13" i="59"/>
  <c r="C13" i="59"/>
  <c r="AD12" i="59"/>
  <c r="AB12" i="59"/>
  <c r="Y12" i="59"/>
  <c r="X12" i="59"/>
  <c r="P12" i="59"/>
  <c r="O12" i="59"/>
  <c r="Q12" i="59" s="1"/>
  <c r="M12" i="59"/>
  <c r="J12" i="59"/>
  <c r="I12" i="59" s="1"/>
  <c r="H12" i="59"/>
  <c r="C12" i="59"/>
  <c r="AB11" i="59"/>
  <c r="AD11" i="59" s="1"/>
  <c r="J11" i="59" s="1"/>
  <c r="Y11" i="59"/>
  <c r="X11" i="59"/>
  <c r="Q11" i="59"/>
  <c r="P11" i="59"/>
  <c r="O11" i="59"/>
  <c r="M11" i="59"/>
  <c r="H11" i="59"/>
  <c r="C11" i="59"/>
  <c r="AD10" i="59"/>
  <c r="J10" i="59" s="1"/>
  <c r="AB10" i="59"/>
  <c r="Y10" i="59"/>
  <c r="X10" i="59"/>
  <c r="P10" i="59"/>
  <c r="O10" i="59"/>
  <c r="Q10" i="59" s="1"/>
  <c r="M10" i="59"/>
  <c r="H10" i="59"/>
  <c r="C10" i="59"/>
  <c r="AB9" i="59"/>
  <c r="AD9" i="59" s="1"/>
  <c r="Y9" i="59"/>
  <c r="X9" i="59"/>
  <c r="P9" i="59"/>
  <c r="Q9" i="59" s="1"/>
  <c r="O9" i="59"/>
  <c r="M9" i="59"/>
  <c r="J9" i="59"/>
  <c r="K9" i="59" s="1"/>
  <c r="I9" i="59"/>
  <c r="H9" i="59"/>
  <c r="C9" i="59"/>
  <c r="AD8" i="59"/>
  <c r="J8" i="59" s="1"/>
  <c r="AB8" i="59"/>
  <c r="Y8" i="59"/>
  <c r="X8" i="59"/>
  <c r="P8" i="59"/>
  <c r="Q8" i="59" s="1"/>
  <c r="O8" i="59"/>
  <c r="M8" i="59"/>
  <c r="H8" i="59"/>
  <c r="C8" i="59"/>
  <c r="AD7" i="59"/>
  <c r="J7" i="59" s="1"/>
  <c r="I7" i="59" s="1"/>
  <c r="AB7" i="59"/>
  <c r="Y7" i="59"/>
  <c r="X7" i="59"/>
  <c r="P7" i="59"/>
  <c r="O7" i="59"/>
  <c r="Q7" i="59" s="1"/>
  <c r="M7" i="59"/>
  <c r="K7" i="59"/>
  <c r="H7" i="59"/>
  <c r="C7" i="59"/>
  <c r="AB6" i="59"/>
  <c r="AD6" i="59" s="1"/>
  <c r="J6" i="59" s="1"/>
  <c r="K6" i="59" s="1"/>
  <c r="Y6" i="59"/>
  <c r="X6" i="59"/>
  <c r="Q6" i="59"/>
  <c r="P6" i="59"/>
  <c r="O6" i="59"/>
  <c r="M6" i="59"/>
  <c r="H6" i="59"/>
  <c r="C6" i="59"/>
  <c r="AB5" i="59"/>
  <c r="AD5" i="59" s="1"/>
  <c r="J5" i="59" s="1"/>
  <c r="Y5" i="59"/>
  <c r="X5" i="59"/>
  <c r="P5" i="59"/>
  <c r="O5" i="59"/>
  <c r="M5" i="59"/>
  <c r="H5" i="59"/>
  <c r="C5" i="59"/>
  <c r="AB4" i="59"/>
  <c r="AD4" i="59" s="1"/>
  <c r="Y4" i="59"/>
  <c r="X4" i="59"/>
  <c r="P4" i="59"/>
  <c r="O4" i="59"/>
  <c r="Q4" i="59" s="1"/>
  <c r="M4" i="59"/>
  <c r="H4" i="59"/>
  <c r="C4" i="59"/>
  <c r="AG3" i="59"/>
  <c r="AF3" i="59"/>
  <c r="W3" i="59"/>
  <c r="X3" i="59" s="1"/>
  <c r="V3" i="59"/>
  <c r="U3" i="59"/>
  <c r="T3" i="59"/>
  <c r="O3" i="59"/>
  <c r="H3" i="59"/>
  <c r="G3" i="59"/>
  <c r="F3" i="59"/>
  <c r="D3" i="59"/>
  <c r="C3" i="59"/>
  <c r="A2" i="59"/>
  <c r="A1" i="59"/>
  <c r="AD32" i="58"/>
  <c r="J32" i="58" s="1"/>
  <c r="AB32" i="58"/>
  <c r="Y32" i="58"/>
  <c r="X32" i="58"/>
  <c r="V32" i="58"/>
  <c r="U32" i="58"/>
  <c r="T32" i="58"/>
  <c r="Q32" i="58"/>
  <c r="P32" i="58"/>
  <c r="O32" i="58"/>
  <c r="M32" i="58"/>
  <c r="H32" i="58"/>
  <c r="C32" i="58"/>
  <c r="AD31" i="58"/>
  <c r="J31" i="58" s="1"/>
  <c r="I31" i="58" s="1"/>
  <c r="AB31" i="58"/>
  <c r="Y31" i="58"/>
  <c r="X31" i="58"/>
  <c r="P31" i="58"/>
  <c r="O31" i="58"/>
  <c r="Q31" i="58" s="1"/>
  <c r="M31" i="58"/>
  <c r="H31" i="58"/>
  <c r="C31" i="58"/>
  <c r="AB30" i="58"/>
  <c r="AD30" i="58" s="1"/>
  <c r="J30" i="58" s="1"/>
  <c r="K30" i="58" s="1"/>
  <c r="Y30" i="58"/>
  <c r="X30" i="58"/>
  <c r="Q30" i="58"/>
  <c r="P30" i="58"/>
  <c r="O30" i="58"/>
  <c r="M30" i="58"/>
  <c r="H30" i="58"/>
  <c r="C30" i="58"/>
  <c r="AB29" i="58"/>
  <c r="AD29" i="58" s="1"/>
  <c r="J29" i="58" s="1"/>
  <c r="Y29" i="58"/>
  <c r="X29" i="58"/>
  <c r="P29" i="58"/>
  <c r="O29" i="58"/>
  <c r="Q29" i="58" s="1"/>
  <c r="M29" i="58"/>
  <c r="H29" i="58"/>
  <c r="C29" i="58"/>
  <c r="AB28" i="58"/>
  <c r="AD28" i="58" s="1"/>
  <c r="J28" i="58" s="1"/>
  <c r="Y28" i="58"/>
  <c r="X28" i="58"/>
  <c r="Q28" i="58"/>
  <c r="P28" i="58"/>
  <c r="O28" i="58"/>
  <c r="M28" i="58"/>
  <c r="H28" i="58"/>
  <c r="C28" i="58"/>
  <c r="AB27" i="58"/>
  <c r="AD27" i="58" s="1"/>
  <c r="J27" i="58" s="1"/>
  <c r="Y27" i="58"/>
  <c r="X27" i="58"/>
  <c r="Q27" i="58"/>
  <c r="P27" i="58"/>
  <c r="O27" i="58"/>
  <c r="M27" i="58"/>
  <c r="H27" i="58"/>
  <c r="C27" i="58"/>
  <c r="AD26" i="58"/>
  <c r="J26" i="58" s="1"/>
  <c r="AB26" i="58"/>
  <c r="Y26" i="58"/>
  <c r="X26" i="58"/>
  <c r="P26" i="58"/>
  <c r="O26" i="58"/>
  <c r="Q26" i="58" s="1"/>
  <c r="M26" i="58"/>
  <c r="H26" i="58"/>
  <c r="C26" i="58"/>
  <c r="AB25" i="58"/>
  <c r="AD25" i="58" s="1"/>
  <c r="Y25" i="58"/>
  <c r="X25" i="58"/>
  <c r="P25" i="58"/>
  <c r="Q25" i="58" s="1"/>
  <c r="O25" i="58"/>
  <c r="M25" i="58"/>
  <c r="J25" i="58"/>
  <c r="K25" i="58" s="1"/>
  <c r="H25" i="58"/>
  <c r="C25" i="58"/>
  <c r="AD24" i="58"/>
  <c r="J24" i="58" s="1"/>
  <c r="AB24" i="58"/>
  <c r="Y24" i="58"/>
  <c r="X24" i="58"/>
  <c r="Q24" i="58"/>
  <c r="P24" i="58"/>
  <c r="O24" i="58"/>
  <c r="M24" i="58"/>
  <c r="H24" i="58"/>
  <c r="C24" i="58"/>
  <c r="AD23" i="58"/>
  <c r="J23" i="58" s="1"/>
  <c r="AB23" i="58"/>
  <c r="Y23" i="58"/>
  <c r="X23" i="58"/>
  <c r="P23" i="58"/>
  <c r="O23" i="58"/>
  <c r="Q23" i="58" s="1"/>
  <c r="M23" i="58"/>
  <c r="H23" i="58"/>
  <c r="C23" i="58"/>
  <c r="AB22" i="58"/>
  <c r="AD22" i="58" s="1"/>
  <c r="J22" i="58" s="1"/>
  <c r="K22" i="58" s="1"/>
  <c r="Y22" i="58"/>
  <c r="X22" i="58"/>
  <c r="Q22" i="58"/>
  <c r="P22" i="58"/>
  <c r="O22" i="58"/>
  <c r="M22" i="58"/>
  <c r="H22" i="58"/>
  <c r="C22" i="58"/>
  <c r="AB21" i="58"/>
  <c r="AD21" i="58" s="1"/>
  <c r="J21" i="58" s="1"/>
  <c r="Y21" i="58"/>
  <c r="X21" i="58"/>
  <c r="P21" i="58"/>
  <c r="O21" i="58"/>
  <c r="Q21" i="58" s="1"/>
  <c r="M21" i="58"/>
  <c r="H21" i="58"/>
  <c r="C21" i="58"/>
  <c r="AD20" i="58"/>
  <c r="J20" i="58" s="1"/>
  <c r="AB20" i="58"/>
  <c r="Y20" i="58"/>
  <c r="X20" i="58"/>
  <c r="Q20" i="58"/>
  <c r="P20" i="58"/>
  <c r="O20" i="58"/>
  <c r="M20" i="58"/>
  <c r="H20" i="58"/>
  <c r="C20" i="58"/>
  <c r="AB19" i="58"/>
  <c r="AD19" i="58" s="1"/>
  <c r="J19" i="58" s="1"/>
  <c r="Y19" i="58"/>
  <c r="X19" i="58"/>
  <c r="Q19" i="58"/>
  <c r="P19" i="58"/>
  <c r="O19" i="58"/>
  <c r="M19" i="58"/>
  <c r="H19" i="58"/>
  <c r="C19" i="58"/>
  <c r="AD18" i="58"/>
  <c r="J18" i="58" s="1"/>
  <c r="AB18" i="58"/>
  <c r="Y18" i="58"/>
  <c r="X18" i="58"/>
  <c r="P18" i="58"/>
  <c r="O18" i="58"/>
  <c r="Q18" i="58" s="1"/>
  <c r="M18" i="58"/>
  <c r="H18" i="58"/>
  <c r="C18" i="58"/>
  <c r="AB17" i="58"/>
  <c r="AD17" i="58" s="1"/>
  <c r="Y17" i="58"/>
  <c r="X17" i="58"/>
  <c r="P17" i="58"/>
  <c r="Q17" i="58" s="1"/>
  <c r="O17" i="58"/>
  <c r="M17" i="58"/>
  <c r="J17" i="58"/>
  <c r="H17" i="58"/>
  <c r="C17" i="58"/>
  <c r="AD16" i="58"/>
  <c r="J16" i="58" s="1"/>
  <c r="AB16" i="58"/>
  <c r="Y16" i="58"/>
  <c r="X16" i="58"/>
  <c r="Q16" i="58"/>
  <c r="P16" i="58"/>
  <c r="O16" i="58"/>
  <c r="M16" i="58"/>
  <c r="H16" i="58"/>
  <c r="C16" i="58"/>
  <c r="AD15" i="58"/>
  <c r="J15" i="58" s="1"/>
  <c r="I15" i="58" s="1"/>
  <c r="AB15" i="58"/>
  <c r="Y15" i="58"/>
  <c r="X15" i="58"/>
  <c r="P15" i="58"/>
  <c r="O15" i="58"/>
  <c r="Q15" i="58" s="1"/>
  <c r="M15" i="58"/>
  <c r="H15" i="58"/>
  <c r="C15" i="58"/>
  <c r="AB14" i="58"/>
  <c r="AD14" i="58" s="1"/>
  <c r="J14" i="58" s="1"/>
  <c r="Y14" i="58"/>
  <c r="X14" i="58"/>
  <c r="Q14" i="58"/>
  <c r="P14" i="58"/>
  <c r="O14" i="58"/>
  <c r="M14" i="58"/>
  <c r="H14" i="58"/>
  <c r="C14" i="58"/>
  <c r="AB13" i="58"/>
  <c r="AD13" i="58" s="1"/>
  <c r="J13" i="58" s="1"/>
  <c r="Y13" i="58"/>
  <c r="X13" i="58"/>
  <c r="P13" i="58"/>
  <c r="O13" i="58"/>
  <c r="Q13" i="58" s="1"/>
  <c r="M13" i="58"/>
  <c r="H13" i="58"/>
  <c r="C13" i="58"/>
  <c r="AD12" i="58"/>
  <c r="J12" i="58" s="1"/>
  <c r="AB12" i="58"/>
  <c r="Y12" i="58"/>
  <c r="X12" i="58"/>
  <c r="Q12" i="58"/>
  <c r="P12" i="58"/>
  <c r="O12" i="58"/>
  <c r="M12" i="58"/>
  <c r="H12" i="58"/>
  <c r="C12" i="58"/>
  <c r="AB11" i="58"/>
  <c r="AD11" i="58" s="1"/>
  <c r="J11" i="58" s="1"/>
  <c r="Y11" i="58"/>
  <c r="X11" i="58"/>
  <c r="Q11" i="58"/>
  <c r="P11" i="58"/>
  <c r="O11" i="58"/>
  <c r="M11" i="58"/>
  <c r="H11" i="58"/>
  <c r="C11" i="58"/>
  <c r="AD10" i="58"/>
  <c r="J10" i="58" s="1"/>
  <c r="AB10" i="58"/>
  <c r="Y10" i="58"/>
  <c r="X10" i="58"/>
  <c r="P10" i="58"/>
  <c r="O10" i="58"/>
  <c r="Q10" i="58" s="1"/>
  <c r="M10" i="58"/>
  <c r="H10" i="58"/>
  <c r="C10" i="58"/>
  <c r="AB9" i="58"/>
  <c r="AD9" i="58" s="1"/>
  <c r="J9" i="58" s="1"/>
  <c r="K9" i="58" s="1"/>
  <c r="Y9" i="58"/>
  <c r="X9" i="58"/>
  <c r="P9" i="58"/>
  <c r="Q9" i="58" s="1"/>
  <c r="O9" i="58"/>
  <c r="M9" i="58"/>
  <c r="H9" i="58"/>
  <c r="C9" i="58"/>
  <c r="AD8" i="58"/>
  <c r="J8" i="58" s="1"/>
  <c r="AB8" i="58"/>
  <c r="Y8" i="58"/>
  <c r="X8" i="58"/>
  <c r="P8" i="58"/>
  <c r="Q8" i="58" s="1"/>
  <c r="O8" i="58"/>
  <c r="M8" i="58"/>
  <c r="H8" i="58"/>
  <c r="C8" i="58"/>
  <c r="AD7" i="58"/>
  <c r="J7" i="58" s="1"/>
  <c r="I7" i="58" s="1"/>
  <c r="AB7" i="58"/>
  <c r="Y7" i="58"/>
  <c r="X7" i="58"/>
  <c r="P7" i="58"/>
  <c r="O7" i="58"/>
  <c r="Q7" i="58" s="1"/>
  <c r="M7" i="58"/>
  <c r="H7" i="58"/>
  <c r="C7" i="58"/>
  <c r="AB6" i="58"/>
  <c r="AD6" i="58" s="1"/>
  <c r="J6" i="58" s="1"/>
  <c r="K6" i="58" s="1"/>
  <c r="Y6" i="58"/>
  <c r="X6" i="58"/>
  <c r="Q6" i="58"/>
  <c r="P6" i="58"/>
  <c r="O6" i="58"/>
  <c r="M6" i="58"/>
  <c r="H6" i="58"/>
  <c r="C6" i="58"/>
  <c r="AB5" i="58"/>
  <c r="AD5" i="58" s="1"/>
  <c r="J5" i="58" s="1"/>
  <c r="Y5" i="58"/>
  <c r="X5" i="58"/>
  <c r="P5" i="58"/>
  <c r="O5" i="58"/>
  <c r="Q5" i="58" s="1"/>
  <c r="M5" i="58"/>
  <c r="H5" i="58"/>
  <c r="C5" i="58"/>
  <c r="AD4" i="58"/>
  <c r="AB4" i="58"/>
  <c r="Y4" i="58"/>
  <c r="X4" i="58"/>
  <c r="Q4" i="58"/>
  <c r="P4" i="58"/>
  <c r="O4" i="58"/>
  <c r="M4" i="58"/>
  <c r="H4" i="58"/>
  <c r="C4" i="58"/>
  <c r="AG3" i="58"/>
  <c r="AF3" i="58"/>
  <c r="W3" i="58"/>
  <c r="X3" i="58" s="1"/>
  <c r="V3" i="58"/>
  <c r="U3" i="58"/>
  <c r="T3" i="58"/>
  <c r="O3" i="58"/>
  <c r="H3" i="58"/>
  <c r="G3" i="58"/>
  <c r="F3" i="58"/>
  <c r="D3" i="58"/>
  <c r="C3" i="58"/>
  <c r="A2" i="58"/>
  <c r="A1" i="58"/>
  <c r="AD32" i="57"/>
  <c r="J32" i="57" s="1"/>
  <c r="AB32" i="57"/>
  <c r="Y32" i="57"/>
  <c r="X32" i="57"/>
  <c r="V32" i="57"/>
  <c r="U32" i="57"/>
  <c r="T32" i="57"/>
  <c r="Q32" i="57"/>
  <c r="P32" i="57"/>
  <c r="O32" i="57"/>
  <c r="M32" i="57"/>
  <c r="H32" i="57"/>
  <c r="C32" i="57"/>
  <c r="AD31" i="57"/>
  <c r="J31" i="57" s="1"/>
  <c r="I31" i="57" s="1"/>
  <c r="AB31" i="57"/>
  <c r="Y31" i="57"/>
  <c r="X31" i="57"/>
  <c r="P31" i="57"/>
  <c r="O31" i="57"/>
  <c r="Q31" i="57" s="1"/>
  <c r="M31" i="57"/>
  <c r="H31" i="57"/>
  <c r="C31" i="57"/>
  <c r="AB30" i="57"/>
  <c r="AD30" i="57" s="1"/>
  <c r="J30" i="57" s="1"/>
  <c r="K30" i="57" s="1"/>
  <c r="Y30" i="57"/>
  <c r="X30" i="57"/>
  <c r="Q30" i="57"/>
  <c r="P30" i="57"/>
  <c r="O30" i="57"/>
  <c r="M30" i="57"/>
  <c r="H30" i="57"/>
  <c r="C30" i="57"/>
  <c r="AB29" i="57"/>
  <c r="AD29" i="57" s="1"/>
  <c r="J29" i="57" s="1"/>
  <c r="Y29" i="57"/>
  <c r="X29" i="57"/>
  <c r="P29" i="57"/>
  <c r="O29" i="57"/>
  <c r="Q29" i="57" s="1"/>
  <c r="M29" i="57"/>
  <c r="H29" i="57"/>
  <c r="C29" i="57"/>
  <c r="AB28" i="57"/>
  <c r="AD28" i="57" s="1"/>
  <c r="J28" i="57" s="1"/>
  <c r="Y28" i="57"/>
  <c r="X28" i="57"/>
  <c r="Q28" i="57"/>
  <c r="P28" i="57"/>
  <c r="O28" i="57"/>
  <c r="M28" i="57"/>
  <c r="H28" i="57"/>
  <c r="C28" i="57"/>
  <c r="AB27" i="57"/>
  <c r="AD27" i="57" s="1"/>
  <c r="J27" i="57" s="1"/>
  <c r="Y27" i="57"/>
  <c r="X27" i="57"/>
  <c r="Q27" i="57"/>
  <c r="P27" i="57"/>
  <c r="O27" i="57"/>
  <c r="M27" i="57"/>
  <c r="H27" i="57"/>
  <c r="C27" i="57"/>
  <c r="AD26" i="57"/>
  <c r="J26" i="57" s="1"/>
  <c r="I26" i="57" s="1"/>
  <c r="AB26" i="57"/>
  <c r="Y26" i="57"/>
  <c r="X26" i="57"/>
  <c r="P26" i="57"/>
  <c r="O26" i="57"/>
  <c r="Q26" i="57" s="1"/>
  <c r="M26" i="57"/>
  <c r="K26" i="57"/>
  <c r="H26" i="57"/>
  <c r="C26" i="57"/>
  <c r="AB25" i="57"/>
  <c r="AD25" i="57" s="1"/>
  <c r="J25" i="57" s="1"/>
  <c r="Y25" i="57"/>
  <c r="X25" i="57"/>
  <c r="P25" i="57"/>
  <c r="Q25" i="57" s="1"/>
  <c r="O25" i="57"/>
  <c r="M25" i="57"/>
  <c r="H25" i="57"/>
  <c r="C25" i="57"/>
  <c r="AD24" i="57"/>
  <c r="J24" i="57" s="1"/>
  <c r="AB24" i="57"/>
  <c r="Y24" i="57"/>
  <c r="X24" i="57"/>
  <c r="P24" i="57"/>
  <c r="O24" i="57"/>
  <c r="Q24" i="57" s="1"/>
  <c r="M24" i="57"/>
  <c r="H24" i="57"/>
  <c r="C24" i="57"/>
  <c r="AB23" i="57"/>
  <c r="AD23" i="57" s="1"/>
  <c r="J23" i="57" s="1"/>
  <c r="I23" i="57" s="1"/>
  <c r="Y23" i="57"/>
  <c r="X23" i="57"/>
  <c r="P23" i="57"/>
  <c r="O23" i="57"/>
  <c r="Q23" i="57" s="1"/>
  <c r="M23" i="57"/>
  <c r="K23" i="57"/>
  <c r="H23" i="57"/>
  <c r="C23" i="57"/>
  <c r="AB22" i="57"/>
  <c r="AD22" i="57" s="1"/>
  <c r="J22" i="57" s="1"/>
  <c r="K22" i="57" s="1"/>
  <c r="Y22" i="57"/>
  <c r="X22" i="57"/>
  <c r="Q22" i="57"/>
  <c r="P22" i="57"/>
  <c r="O22" i="57"/>
  <c r="M22" i="57"/>
  <c r="H22" i="57"/>
  <c r="C22" i="57"/>
  <c r="AB21" i="57"/>
  <c r="AD21" i="57" s="1"/>
  <c r="J21" i="57" s="1"/>
  <c r="Y21" i="57"/>
  <c r="X21" i="57"/>
  <c r="P21" i="57"/>
  <c r="Q21" i="57" s="1"/>
  <c r="O21" i="57"/>
  <c r="M21" i="57"/>
  <c r="H21" i="57"/>
  <c r="C21" i="57"/>
  <c r="AB20" i="57"/>
  <c r="AD20" i="57" s="1"/>
  <c r="J20" i="57" s="1"/>
  <c r="Y20" i="57"/>
  <c r="X20" i="57"/>
  <c r="Q20" i="57"/>
  <c r="P20" i="57"/>
  <c r="O20" i="57"/>
  <c r="M20" i="57"/>
  <c r="H20" i="57"/>
  <c r="C20" i="57"/>
  <c r="AB19" i="57"/>
  <c r="AD19" i="57" s="1"/>
  <c r="J19" i="57" s="1"/>
  <c r="K19" i="57" s="1"/>
  <c r="Y19" i="57"/>
  <c r="X19" i="57"/>
  <c r="P19" i="57"/>
  <c r="Q19" i="57" s="1"/>
  <c r="O19" i="57"/>
  <c r="M19" i="57"/>
  <c r="H19" i="57"/>
  <c r="C19" i="57"/>
  <c r="AD18" i="57"/>
  <c r="J18" i="57" s="1"/>
  <c r="I18" i="57" s="1"/>
  <c r="AB18" i="57"/>
  <c r="Y18" i="57"/>
  <c r="X18" i="57"/>
  <c r="P18" i="57"/>
  <c r="O18" i="57"/>
  <c r="M18" i="57"/>
  <c r="H18" i="57"/>
  <c r="C18" i="57"/>
  <c r="AD17" i="57"/>
  <c r="AB17" i="57"/>
  <c r="Y17" i="57"/>
  <c r="X17" i="57"/>
  <c r="P17" i="57"/>
  <c r="Q17" i="57" s="1"/>
  <c r="O17" i="57"/>
  <c r="M17" i="57"/>
  <c r="J17" i="57"/>
  <c r="I17" i="57" s="1"/>
  <c r="H17" i="57"/>
  <c r="C17" i="57"/>
  <c r="AD16" i="57"/>
  <c r="J16" i="57" s="1"/>
  <c r="AB16" i="57"/>
  <c r="Y16" i="57"/>
  <c r="X16" i="57"/>
  <c r="Q16" i="57"/>
  <c r="P16" i="57"/>
  <c r="O16" i="57"/>
  <c r="M16" i="57"/>
  <c r="H16" i="57"/>
  <c r="C16" i="57"/>
  <c r="AB15" i="57"/>
  <c r="AD15" i="57" s="1"/>
  <c r="J15" i="57" s="1"/>
  <c r="Y15" i="57"/>
  <c r="X15" i="57"/>
  <c r="P15" i="57"/>
  <c r="O15" i="57"/>
  <c r="Q15" i="57" s="1"/>
  <c r="M15" i="57"/>
  <c r="H15" i="57"/>
  <c r="C15" i="57"/>
  <c r="AB14" i="57"/>
  <c r="AD14" i="57" s="1"/>
  <c r="Y14" i="57"/>
  <c r="X14" i="57"/>
  <c r="Q14" i="57"/>
  <c r="P14" i="57"/>
  <c r="O14" i="57"/>
  <c r="M14" i="57"/>
  <c r="J14" i="57"/>
  <c r="H14" i="57"/>
  <c r="C14" i="57"/>
  <c r="AB13" i="57"/>
  <c r="AD13" i="57" s="1"/>
  <c r="J13" i="57" s="1"/>
  <c r="Y13" i="57"/>
  <c r="X13" i="57"/>
  <c r="P13" i="57"/>
  <c r="Q13" i="57" s="1"/>
  <c r="O13" i="57"/>
  <c r="M13" i="57"/>
  <c r="H13" i="57"/>
  <c r="C13" i="57"/>
  <c r="AB12" i="57"/>
  <c r="AD12" i="57" s="1"/>
  <c r="J12" i="57" s="1"/>
  <c r="K12" i="57" s="1"/>
  <c r="Y12" i="57"/>
  <c r="X12" i="57"/>
  <c r="Q12" i="57"/>
  <c r="P12" i="57"/>
  <c r="O12" i="57"/>
  <c r="M12" i="57"/>
  <c r="H12" i="57"/>
  <c r="C12" i="57"/>
  <c r="AB11" i="57"/>
  <c r="AD11" i="57" s="1"/>
  <c r="J11" i="57" s="1"/>
  <c r="K11" i="57" s="1"/>
  <c r="Y11" i="57"/>
  <c r="X11" i="57"/>
  <c r="P11" i="57"/>
  <c r="Q11" i="57" s="1"/>
  <c r="O11" i="57"/>
  <c r="M11" i="57"/>
  <c r="H11" i="57"/>
  <c r="C11" i="57"/>
  <c r="AD10" i="57"/>
  <c r="J10" i="57" s="1"/>
  <c r="K10" i="57" s="1"/>
  <c r="AB10" i="57"/>
  <c r="Y10" i="57"/>
  <c r="X10" i="57"/>
  <c r="P10" i="57"/>
  <c r="O10" i="57"/>
  <c r="M10" i="57"/>
  <c r="I10" i="57"/>
  <c r="H10" i="57"/>
  <c r="C10" i="57"/>
  <c r="AB9" i="57"/>
  <c r="AD9" i="57" s="1"/>
  <c r="J9" i="57" s="1"/>
  <c r="Y9" i="57"/>
  <c r="X9" i="57"/>
  <c r="P9" i="57"/>
  <c r="Q9" i="57" s="1"/>
  <c r="O9" i="57"/>
  <c r="M9" i="57"/>
  <c r="H9" i="57"/>
  <c r="C9" i="57"/>
  <c r="AD8" i="57"/>
  <c r="J8" i="57" s="1"/>
  <c r="I8" i="57" s="1"/>
  <c r="AB8" i="57"/>
  <c r="Y8" i="57"/>
  <c r="X8" i="57"/>
  <c r="P8" i="57"/>
  <c r="Q8" i="57" s="1"/>
  <c r="O8" i="57"/>
  <c r="M8" i="57"/>
  <c r="K8" i="57"/>
  <c r="H8" i="57"/>
  <c r="C8" i="57"/>
  <c r="AB7" i="57"/>
  <c r="AD7" i="57" s="1"/>
  <c r="J7" i="57" s="1"/>
  <c r="Y7" i="57"/>
  <c r="X7" i="57"/>
  <c r="P7" i="57"/>
  <c r="O7" i="57"/>
  <c r="Q7" i="57" s="1"/>
  <c r="M7" i="57"/>
  <c r="H7" i="57"/>
  <c r="C7" i="57"/>
  <c r="AB6" i="57"/>
  <c r="AD6" i="57" s="1"/>
  <c r="Y6" i="57"/>
  <c r="X6" i="57"/>
  <c r="Q6" i="57"/>
  <c r="P6" i="57"/>
  <c r="O6" i="57"/>
  <c r="M6" i="57"/>
  <c r="J6" i="57"/>
  <c r="H6" i="57"/>
  <c r="C6" i="57"/>
  <c r="AB5" i="57"/>
  <c r="AD5" i="57" s="1"/>
  <c r="J5" i="57" s="1"/>
  <c r="Y5" i="57"/>
  <c r="X5" i="57"/>
  <c r="P5" i="57"/>
  <c r="Q5" i="57" s="1"/>
  <c r="O5" i="57"/>
  <c r="M5" i="57"/>
  <c r="H5" i="57"/>
  <c r="C5" i="57"/>
  <c r="AB4" i="57"/>
  <c r="AD4" i="57" s="1"/>
  <c r="Y4" i="57"/>
  <c r="X4" i="57"/>
  <c r="P4" i="57"/>
  <c r="O4" i="57"/>
  <c r="Q4" i="57" s="1"/>
  <c r="M4" i="57"/>
  <c r="H4" i="57"/>
  <c r="C4" i="57"/>
  <c r="AG3" i="57"/>
  <c r="AF3" i="57"/>
  <c r="W3" i="57"/>
  <c r="X3" i="57" s="1"/>
  <c r="V3" i="57"/>
  <c r="U3" i="57"/>
  <c r="T3" i="57"/>
  <c r="O3" i="57"/>
  <c r="H3" i="57"/>
  <c r="G3" i="57"/>
  <c r="F3" i="57"/>
  <c r="D3" i="57"/>
  <c r="C3" i="57"/>
  <c r="A2" i="57"/>
  <c r="A1" i="57"/>
  <c r="AB32" i="56"/>
  <c r="AD32" i="56" s="1"/>
  <c r="J32" i="56" s="1"/>
  <c r="Y32" i="56"/>
  <c r="X32" i="56"/>
  <c r="V32" i="56"/>
  <c r="U32" i="56"/>
  <c r="T32" i="56"/>
  <c r="P32" i="56"/>
  <c r="O32" i="56"/>
  <c r="Q32" i="56" s="1"/>
  <c r="M32" i="56"/>
  <c r="H32" i="56"/>
  <c r="C32" i="56"/>
  <c r="AB31" i="56"/>
  <c r="AD31" i="56" s="1"/>
  <c r="J31" i="56" s="1"/>
  <c r="Y31" i="56"/>
  <c r="X31" i="56"/>
  <c r="P31" i="56"/>
  <c r="O31" i="56"/>
  <c r="M31" i="56"/>
  <c r="H31" i="56"/>
  <c r="C31" i="56"/>
  <c r="AB30" i="56"/>
  <c r="AD30" i="56" s="1"/>
  <c r="J30" i="56" s="1"/>
  <c r="Y30" i="56"/>
  <c r="X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P29" i="56"/>
  <c r="Q29" i="56" s="1"/>
  <c r="O29" i="56"/>
  <c r="M29" i="56"/>
  <c r="H29" i="56"/>
  <c r="C29" i="56"/>
  <c r="AD28" i="56"/>
  <c r="J28" i="56" s="1"/>
  <c r="I28" i="56" s="1"/>
  <c r="AB28" i="56"/>
  <c r="Y28" i="56"/>
  <c r="X28" i="56"/>
  <c r="Q28" i="56"/>
  <c r="P28" i="56"/>
  <c r="O28" i="56"/>
  <c r="M28" i="56"/>
  <c r="K28" i="56"/>
  <c r="H28" i="56"/>
  <c r="C28" i="56"/>
  <c r="AB27" i="56"/>
  <c r="AD27" i="56" s="1"/>
  <c r="Y27" i="56"/>
  <c r="X27" i="56"/>
  <c r="Q27" i="56"/>
  <c r="P27" i="56"/>
  <c r="O27" i="56"/>
  <c r="M27" i="56"/>
  <c r="J27" i="56"/>
  <c r="K27" i="56" s="1"/>
  <c r="H27" i="56"/>
  <c r="C27" i="56"/>
  <c r="AD26" i="56"/>
  <c r="J26" i="56" s="1"/>
  <c r="I26" i="56" s="1"/>
  <c r="AB26" i="56"/>
  <c r="Y26" i="56"/>
  <c r="X26" i="56"/>
  <c r="Q26" i="56"/>
  <c r="P26" i="56"/>
  <c r="O26" i="56"/>
  <c r="M26" i="56"/>
  <c r="K26" i="56"/>
  <c r="H26" i="56"/>
  <c r="C26" i="56"/>
  <c r="AD25" i="56"/>
  <c r="AB25" i="56"/>
  <c r="Y25" i="56"/>
  <c r="X25" i="56"/>
  <c r="P25" i="56"/>
  <c r="Q25" i="56" s="1"/>
  <c r="O25" i="56"/>
  <c r="M25" i="56"/>
  <c r="J25" i="56"/>
  <c r="K25" i="56" s="1"/>
  <c r="H25" i="56"/>
  <c r="C25" i="56"/>
  <c r="AD24" i="56"/>
  <c r="J24" i="56" s="1"/>
  <c r="I24" i="56" s="1"/>
  <c r="AB24" i="56"/>
  <c r="Y24" i="56"/>
  <c r="X24" i="56"/>
  <c r="Q24" i="56"/>
  <c r="P24" i="56"/>
  <c r="O24" i="56"/>
  <c r="M24" i="56"/>
  <c r="K24" i="56"/>
  <c r="H24" i="56"/>
  <c r="C24" i="56"/>
  <c r="AD23" i="56"/>
  <c r="AB23" i="56"/>
  <c r="Y23" i="56"/>
  <c r="X23" i="56"/>
  <c r="P23" i="56"/>
  <c r="O23" i="56"/>
  <c r="M23" i="56"/>
  <c r="J23" i="56"/>
  <c r="K23" i="56" s="1"/>
  <c r="H23" i="56"/>
  <c r="C23" i="56"/>
  <c r="AD22" i="56"/>
  <c r="J22" i="56" s="1"/>
  <c r="I22" i="56" s="1"/>
  <c r="AB22" i="56"/>
  <c r="Y22" i="56"/>
  <c r="X22" i="56"/>
  <c r="Q22" i="56"/>
  <c r="P22" i="56"/>
  <c r="O22" i="56"/>
  <c r="M22" i="56"/>
  <c r="K22" i="56"/>
  <c r="H22" i="56"/>
  <c r="C22" i="56"/>
  <c r="AB21" i="56"/>
  <c r="AD21" i="56" s="1"/>
  <c r="J21" i="56" s="1"/>
  <c r="Y21" i="56"/>
  <c r="X21" i="56"/>
  <c r="P21" i="56"/>
  <c r="Q21" i="56" s="1"/>
  <c r="O21" i="56"/>
  <c r="M21" i="56"/>
  <c r="H21" i="56"/>
  <c r="C21" i="56"/>
  <c r="AB20" i="56"/>
  <c r="AD20" i="56" s="1"/>
  <c r="J20" i="56" s="1"/>
  <c r="Y20" i="56"/>
  <c r="X20" i="56"/>
  <c r="P20" i="56"/>
  <c r="O20" i="56"/>
  <c r="Q20" i="56" s="1"/>
  <c r="M20" i="56"/>
  <c r="H20" i="56"/>
  <c r="C20" i="56"/>
  <c r="AB19" i="56"/>
  <c r="AD19" i="56" s="1"/>
  <c r="J19" i="56" s="1"/>
  <c r="Y19" i="56"/>
  <c r="X19" i="56"/>
  <c r="P19" i="56"/>
  <c r="Q19" i="56" s="1"/>
  <c r="O19" i="56"/>
  <c r="M19" i="56"/>
  <c r="H19" i="56"/>
  <c r="C19" i="56"/>
  <c r="AB18" i="56"/>
  <c r="AD18" i="56" s="1"/>
  <c r="J18" i="56" s="1"/>
  <c r="Y18" i="56"/>
  <c r="X18" i="56"/>
  <c r="P18" i="56"/>
  <c r="O18" i="56"/>
  <c r="Q18" i="56" s="1"/>
  <c r="M18" i="56"/>
  <c r="H18" i="56"/>
  <c r="C18" i="56"/>
  <c r="AB17" i="56"/>
  <c r="AD17" i="56" s="1"/>
  <c r="J17" i="56" s="1"/>
  <c r="Y17" i="56"/>
  <c r="X17" i="56"/>
  <c r="P17" i="56"/>
  <c r="O17" i="56"/>
  <c r="Q17" i="56" s="1"/>
  <c r="M17" i="56"/>
  <c r="H17" i="56"/>
  <c r="C17" i="56"/>
  <c r="AB16" i="56"/>
  <c r="AD16" i="56" s="1"/>
  <c r="J16" i="56" s="1"/>
  <c r="Y16" i="56"/>
  <c r="X16" i="56"/>
  <c r="Q16" i="56"/>
  <c r="P16" i="56"/>
  <c r="O16" i="56"/>
  <c r="M16" i="56"/>
  <c r="H16" i="56"/>
  <c r="C16" i="56"/>
  <c r="AD15" i="56"/>
  <c r="J15" i="56" s="1"/>
  <c r="I15" i="56" s="1"/>
  <c r="AB15" i="56"/>
  <c r="Y15" i="56"/>
  <c r="X15" i="56"/>
  <c r="Q15" i="56"/>
  <c r="P15" i="56"/>
  <c r="O15" i="56"/>
  <c r="M15" i="56"/>
  <c r="K15" i="56"/>
  <c r="H15" i="56"/>
  <c r="C15" i="56"/>
  <c r="AB14" i="56"/>
  <c r="AD14" i="56" s="1"/>
  <c r="J14" i="56" s="1"/>
  <c r="K14" i="56" s="1"/>
  <c r="Y14" i="56"/>
  <c r="X14" i="56"/>
  <c r="P14" i="56"/>
  <c r="Q14" i="56" s="1"/>
  <c r="O14" i="56"/>
  <c r="M14" i="56"/>
  <c r="H14" i="56"/>
  <c r="C14" i="56"/>
  <c r="AD13" i="56"/>
  <c r="J13" i="56" s="1"/>
  <c r="AB13" i="56"/>
  <c r="Y13" i="56"/>
  <c r="X13" i="56"/>
  <c r="P13" i="56"/>
  <c r="O13" i="56"/>
  <c r="M13" i="56"/>
  <c r="H13" i="56"/>
  <c r="C13" i="56"/>
  <c r="AB12" i="56"/>
  <c r="AD12" i="56" s="1"/>
  <c r="J12" i="56" s="1"/>
  <c r="Y12" i="56"/>
  <c r="X12" i="56"/>
  <c r="P12" i="56"/>
  <c r="O12" i="56"/>
  <c r="Q12" i="56" s="1"/>
  <c r="M12" i="56"/>
  <c r="H12" i="56"/>
  <c r="C12" i="56"/>
  <c r="AD11" i="56"/>
  <c r="J11" i="56" s="1"/>
  <c r="AB11" i="56"/>
  <c r="Y11" i="56"/>
  <c r="X11" i="56"/>
  <c r="Q11" i="56"/>
  <c r="P11" i="56"/>
  <c r="O11" i="56"/>
  <c r="M11" i="56"/>
  <c r="H11" i="56"/>
  <c r="C11" i="56"/>
  <c r="AB10" i="56"/>
  <c r="AD10" i="56" s="1"/>
  <c r="J10" i="56" s="1"/>
  <c r="Y10" i="56"/>
  <c r="X10" i="56"/>
  <c r="P10" i="56"/>
  <c r="O10" i="56"/>
  <c r="Q10" i="56" s="1"/>
  <c r="M10" i="56"/>
  <c r="H10" i="56"/>
  <c r="C10" i="56"/>
  <c r="AB9" i="56"/>
  <c r="AD9" i="56" s="1"/>
  <c r="Y9" i="56"/>
  <c r="X9" i="56"/>
  <c r="P9" i="56"/>
  <c r="O9" i="56"/>
  <c r="Q9" i="56" s="1"/>
  <c r="M9" i="56"/>
  <c r="J9" i="56"/>
  <c r="H9" i="56"/>
  <c r="C9" i="56"/>
  <c r="AB8" i="56"/>
  <c r="AD8" i="56" s="1"/>
  <c r="J8" i="56" s="1"/>
  <c r="Y8" i="56"/>
  <c r="X8" i="56"/>
  <c r="P8" i="56"/>
  <c r="Q8" i="56" s="1"/>
  <c r="O8" i="56"/>
  <c r="M8" i="56"/>
  <c r="H8" i="56"/>
  <c r="C8" i="56"/>
  <c r="AD7" i="56"/>
  <c r="J7" i="56" s="1"/>
  <c r="I7" i="56" s="1"/>
  <c r="AB7" i="56"/>
  <c r="Y7" i="56"/>
  <c r="X7" i="56"/>
  <c r="Q7" i="56"/>
  <c r="P7" i="56"/>
  <c r="O7" i="56"/>
  <c r="M7" i="56"/>
  <c r="K7" i="56"/>
  <c r="H7" i="56"/>
  <c r="C7" i="56"/>
  <c r="AB6" i="56"/>
  <c r="AD6" i="56" s="1"/>
  <c r="J6" i="56" s="1"/>
  <c r="Y6" i="56"/>
  <c r="X6" i="56"/>
  <c r="P6" i="56"/>
  <c r="Q6" i="56" s="1"/>
  <c r="O6" i="56"/>
  <c r="M6" i="56"/>
  <c r="H6" i="56"/>
  <c r="C6" i="56"/>
  <c r="AD5" i="56"/>
  <c r="J5" i="56" s="1"/>
  <c r="AB5" i="56"/>
  <c r="Y5" i="56"/>
  <c r="X5" i="56"/>
  <c r="P5" i="56"/>
  <c r="O5" i="56"/>
  <c r="Q5" i="56" s="1"/>
  <c r="M5" i="56"/>
  <c r="H5" i="56"/>
  <c r="C5" i="56"/>
  <c r="AD4" i="56"/>
  <c r="AB4" i="56"/>
  <c r="Y4" i="56"/>
  <c r="X4" i="56"/>
  <c r="P4" i="56"/>
  <c r="O4" i="56"/>
  <c r="Q4" i="56" s="1"/>
  <c r="M4" i="56"/>
  <c r="J4" i="56"/>
  <c r="H4" i="56"/>
  <c r="C4" i="56"/>
  <c r="AG3" i="56"/>
  <c r="AF3" i="56"/>
  <c r="W3" i="56"/>
  <c r="X3" i="56" s="1"/>
  <c r="V3" i="56"/>
  <c r="U3" i="56"/>
  <c r="T3" i="56"/>
  <c r="O3" i="56"/>
  <c r="H3" i="56"/>
  <c r="G3" i="56"/>
  <c r="F3" i="56"/>
  <c r="D3" i="56"/>
  <c r="C3" i="56"/>
  <c r="A2" i="56"/>
  <c r="A1" i="56"/>
  <c r="AB32" i="55"/>
  <c r="AD32" i="55" s="1"/>
  <c r="J32" i="55" s="1"/>
  <c r="Y32" i="55"/>
  <c r="X32" i="55"/>
  <c r="V32" i="55"/>
  <c r="U32" i="55"/>
  <c r="T32" i="55"/>
  <c r="P32" i="55"/>
  <c r="Q32" i="55" s="1"/>
  <c r="O32" i="55"/>
  <c r="M32" i="55"/>
  <c r="H32" i="55"/>
  <c r="C32" i="55"/>
  <c r="AD31" i="55"/>
  <c r="J31" i="55" s="1"/>
  <c r="I31" i="55" s="1"/>
  <c r="AB31" i="55"/>
  <c r="Y31" i="55"/>
  <c r="X31" i="55"/>
  <c r="Q31" i="55"/>
  <c r="P31" i="55"/>
  <c r="O31" i="55"/>
  <c r="M31" i="55"/>
  <c r="K31" i="55"/>
  <c r="H31" i="55"/>
  <c r="C31" i="55"/>
  <c r="AB30" i="55"/>
  <c r="AD30" i="55" s="1"/>
  <c r="J30" i="55" s="1"/>
  <c r="K30" i="55" s="1"/>
  <c r="Y30" i="55"/>
  <c r="X30" i="55"/>
  <c r="P30" i="55"/>
  <c r="Q30" i="55" s="1"/>
  <c r="O30" i="55"/>
  <c r="M30" i="55"/>
  <c r="H30" i="55"/>
  <c r="C30" i="55"/>
  <c r="AD29" i="55"/>
  <c r="J29" i="55" s="1"/>
  <c r="AB29" i="55"/>
  <c r="Y29" i="55"/>
  <c r="X29" i="55"/>
  <c r="P29" i="55"/>
  <c r="O29" i="55"/>
  <c r="Q29" i="55" s="1"/>
  <c r="M29" i="55"/>
  <c r="H29" i="55"/>
  <c r="C29" i="55"/>
  <c r="AD28" i="55"/>
  <c r="J28" i="55" s="1"/>
  <c r="AB28" i="55"/>
  <c r="Y28" i="55"/>
  <c r="X28" i="55"/>
  <c r="P28" i="55"/>
  <c r="Q28" i="55" s="1"/>
  <c r="O28" i="55"/>
  <c r="M28" i="55"/>
  <c r="H28" i="55"/>
  <c r="C28" i="55"/>
  <c r="AD27" i="55"/>
  <c r="J27" i="55" s="1"/>
  <c r="AB27" i="55"/>
  <c r="Y27" i="55"/>
  <c r="X27" i="55"/>
  <c r="Q27" i="55"/>
  <c r="P27" i="55"/>
  <c r="O27" i="55"/>
  <c r="M27" i="55"/>
  <c r="H27" i="55"/>
  <c r="C27" i="55"/>
  <c r="AB26" i="55"/>
  <c r="AD26" i="55" s="1"/>
  <c r="J26" i="55" s="1"/>
  <c r="Y26" i="55"/>
  <c r="X26" i="55"/>
  <c r="P26" i="55"/>
  <c r="O26" i="55"/>
  <c r="Q26" i="55" s="1"/>
  <c r="M26" i="55"/>
  <c r="H26" i="55"/>
  <c r="C26" i="55"/>
  <c r="AB25" i="55"/>
  <c r="AD25" i="55" s="1"/>
  <c r="J25" i="55" s="1"/>
  <c r="Y25" i="55"/>
  <c r="X25" i="55"/>
  <c r="P25" i="55"/>
  <c r="O25" i="55"/>
  <c r="Q25" i="55" s="1"/>
  <c r="M25" i="55"/>
  <c r="H25" i="55"/>
  <c r="C25" i="55"/>
  <c r="AB24" i="55"/>
  <c r="AD24" i="55" s="1"/>
  <c r="J24" i="55" s="1"/>
  <c r="Y24" i="55"/>
  <c r="X24" i="55"/>
  <c r="Q24" i="55"/>
  <c r="P24" i="55"/>
  <c r="O24" i="55"/>
  <c r="M24" i="55"/>
  <c r="H24" i="55"/>
  <c r="C24" i="55"/>
  <c r="AD23" i="55"/>
  <c r="J23" i="55" s="1"/>
  <c r="I23" i="55" s="1"/>
  <c r="AB23" i="55"/>
  <c r="Y23" i="55"/>
  <c r="X23" i="55"/>
  <c r="Q23" i="55"/>
  <c r="P23" i="55"/>
  <c r="O23" i="55"/>
  <c r="M23" i="55"/>
  <c r="K23" i="55"/>
  <c r="H23" i="55"/>
  <c r="C23" i="55"/>
  <c r="AB22" i="55"/>
  <c r="AD22" i="55" s="1"/>
  <c r="J22" i="55" s="1"/>
  <c r="K22" i="55" s="1"/>
  <c r="Y22" i="55"/>
  <c r="X22" i="55"/>
  <c r="P22" i="55"/>
  <c r="Q22" i="55" s="1"/>
  <c r="O22" i="55"/>
  <c r="M22" i="55"/>
  <c r="H22" i="55"/>
  <c r="C22" i="55"/>
  <c r="AD21" i="55"/>
  <c r="J21" i="55" s="1"/>
  <c r="AB21" i="55"/>
  <c r="Y21" i="55"/>
  <c r="X21" i="55"/>
  <c r="P21" i="55"/>
  <c r="O21" i="55"/>
  <c r="M21" i="55"/>
  <c r="H21" i="55"/>
  <c r="C21" i="55"/>
  <c r="AB20" i="55"/>
  <c r="AD20" i="55" s="1"/>
  <c r="J20" i="55" s="1"/>
  <c r="Y20" i="55"/>
  <c r="X20" i="55"/>
  <c r="P20" i="55"/>
  <c r="Q20" i="55" s="1"/>
  <c r="O20" i="55"/>
  <c r="M20" i="55"/>
  <c r="H20" i="55"/>
  <c r="C20" i="55"/>
  <c r="AD19" i="55"/>
  <c r="J19" i="55" s="1"/>
  <c r="AB19" i="55"/>
  <c r="Y19" i="55"/>
  <c r="X19" i="55"/>
  <c r="Q19" i="55"/>
  <c r="P19" i="55"/>
  <c r="O19" i="55"/>
  <c r="M19" i="55"/>
  <c r="H19" i="55"/>
  <c r="C19" i="55"/>
  <c r="AB18" i="55"/>
  <c r="AD18" i="55" s="1"/>
  <c r="J18" i="55" s="1"/>
  <c r="Y18" i="55"/>
  <c r="X18" i="55"/>
  <c r="P18" i="55"/>
  <c r="O18" i="55"/>
  <c r="Q18" i="55" s="1"/>
  <c r="M18" i="55"/>
  <c r="H18" i="55"/>
  <c r="C18" i="55"/>
  <c r="AB17" i="55"/>
  <c r="AD17" i="55" s="1"/>
  <c r="Y17" i="55"/>
  <c r="X17" i="55"/>
  <c r="P17" i="55"/>
  <c r="O17" i="55"/>
  <c r="Q17" i="55" s="1"/>
  <c r="M17" i="55"/>
  <c r="J17" i="55"/>
  <c r="H17" i="55"/>
  <c r="C17" i="55"/>
  <c r="AB16" i="55"/>
  <c r="AD16" i="55" s="1"/>
  <c r="J16" i="55" s="1"/>
  <c r="Y16" i="55"/>
  <c r="X16" i="55"/>
  <c r="P16" i="55"/>
  <c r="Q16" i="55" s="1"/>
  <c r="O16" i="55"/>
  <c r="M16" i="55"/>
  <c r="H16" i="55"/>
  <c r="C16" i="55"/>
  <c r="AD15" i="55"/>
  <c r="J15" i="55" s="1"/>
  <c r="I15" i="55" s="1"/>
  <c r="AB15" i="55"/>
  <c r="Y15" i="55"/>
  <c r="X15" i="55"/>
  <c r="Q15" i="55"/>
  <c r="P15" i="55"/>
  <c r="O15" i="55"/>
  <c r="M15" i="55"/>
  <c r="K15" i="55"/>
  <c r="H15" i="55"/>
  <c r="C15" i="55"/>
  <c r="AB14" i="55"/>
  <c r="AD14" i="55" s="1"/>
  <c r="J14" i="55" s="1"/>
  <c r="Y14" i="55"/>
  <c r="X14" i="55"/>
  <c r="P14" i="55"/>
  <c r="Q14" i="55" s="1"/>
  <c r="O14" i="55"/>
  <c r="M14" i="55"/>
  <c r="H14" i="55"/>
  <c r="C14" i="55"/>
  <c r="AD13" i="55"/>
  <c r="J13" i="55" s="1"/>
  <c r="AB13" i="55"/>
  <c r="Y13" i="55"/>
  <c r="X13" i="55"/>
  <c r="P13" i="55"/>
  <c r="O13" i="55"/>
  <c r="Q13" i="55" s="1"/>
  <c r="M13" i="55"/>
  <c r="H13" i="55"/>
  <c r="C13" i="55"/>
  <c r="AD12" i="55"/>
  <c r="AB12" i="55"/>
  <c r="Y12" i="55"/>
  <c r="X12" i="55"/>
  <c r="P12" i="55"/>
  <c r="Q12" i="55" s="1"/>
  <c r="O12" i="55"/>
  <c r="M12" i="55"/>
  <c r="J12" i="55"/>
  <c r="I12" i="55" s="1"/>
  <c r="H12" i="55"/>
  <c r="C12" i="55"/>
  <c r="AD11" i="55"/>
  <c r="J11" i="55" s="1"/>
  <c r="AB11" i="55"/>
  <c r="Y11" i="55"/>
  <c r="X11" i="55"/>
  <c r="Q11" i="55"/>
  <c r="P11" i="55"/>
  <c r="O11" i="55"/>
  <c r="M11" i="55"/>
  <c r="H11" i="55"/>
  <c r="C11" i="55"/>
  <c r="AB10" i="55"/>
  <c r="AD10" i="55" s="1"/>
  <c r="J10" i="55" s="1"/>
  <c r="Y10" i="55"/>
  <c r="X10" i="55"/>
  <c r="P10" i="55"/>
  <c r="O10" i="55"/>
  <c r="Q10" i="55" s="1"/>
  <c r="M10" i="55"/>
  <c r="H10" i="55"/>
  <c r="C10" i="55"/>
  <c r="AB9" i="55"/>
  <c r="AD9" i="55" s="1"/>
  <c r="J9" i="55" s="1"/>
  <c r="Y9" i="55"/>
  <c r="X9" i="55"/>
  <c r="P9" i="55"/>
  <c r="O9" i="55"/>
  <c r="Q9" i="55" s="1"/>
  <c r="M9" i="55"/>
  <c r="H9" i="55"/>
  <c r="C9" i="55"/>
  <c r="AB8" i="55"/>
  <c r="AD8" i="55" s="1"/>
  <c r="J8" i="55" s="1"/>
  <c r="Y8" i="55"/>
  <c r="X8" i="55"/>
  <c r="P8" i="55"/>
  <c r="Q8" i="55" s="1"/>
  <c r="O8" i="55"/>
  <c r="M8" i="55"/>
  <c r="H8" i="55"/>
  <c r="C8" i="55"/>
  <c r="AD7" i="55"/>
  <c r="J7" i="55" s="1"/>
  <c r="I7" i="55" s="1"/>
  <c r="AB7" i="55"/>
  <c r="Y7" i="55"/>
  <c r="X7" i="55"/>
  <c r="Q7" i="55"/>
  <c r="P7" i="55"/>
  <c r="O7" i="55"/>
  <c r="M7" i="55"/>
  <c r="K7" i="55"/>
  <c r="H7" i="55"/>
  <c r="C7" i="55"/>
  <c r="AB6" i="55"/>
  <c r="AD6" i="55" s="1"/>
  <c r="J6" i="55" s="1"/>
  <c r="K6" i="55" s="1"/>
  <c r="Y6" i="55"/>
  <c r="X6" i="55"/>
  <c r="P6" i="55"/>
  <c r="Q6" i="55" s="1"/>
  <c r="O6" i="55"/>
  <c r="M6" i="55"/>
  <c r="H6" i="55"/>
  <c r="C6" i="55"/>
  <c r="AD5" i="55"/>
  <c r="J5" i="55" s="1"/>
  <c r="AB5" i="55"/>
  <c r="Y5" i="55"/>
  <c r="X5" i="55"/>
  <c r="P5" i="55"/>
  <c r="O5" i="55"/>
  <c r="M5" i="55"/>
  <c r="H5" i="55"/>
  <c r="C5" i="55"/>
  <c r="AB4" i="55"/>
  <c r="AD4" i="55" s="1"/>
  <c r="Y4" i="55"/>
  <c r="X4" i="55"/>
  <c r="P4" i="55"/>
  <c r="O4" i="55"/>
  <c r="Q4" i="55" s="1"/>
  <c r="M4" i="55"/>
  <c r="H4" i="55"/>
  <c r="C4" i="55"/>
  <c r="AG3" i="55"/>
  <c r="AF3" i="55"/>
  <c r="W3" i="55"/>
  <c r="X3" i="55" s="1"/>
  <c r="V3" i="55"/>
  <c r="U3" i="55"/>
  <c r="T3" i="55"/>
  <c r="O3" i="55"/>
  <c r="H3" i="55"/>
  <c r="G3" i="55"/>
  <c r="F3" i="55"/>
  <c r="D3" i="55"/>
  <c r="C3" i="55"/>
  <c r="A2" i="55"/>
  <c r="A1" i="55"/>
  <c r="AD32" i="54"/>
  <c r="AB32" i="54"/>
  <c r="Y32" i="54"/>
  <c r="X32" i="54"/>
  <c r="V32" i="54"/>
  <c r="U32" i="54"/>
  <c r="T32" i="54"/>
  <c r="Q32" i="54"/>
  <c r="P32" i="54"/>
  <c r="O32" i="54"/>
  <c r="M32" i="54"/>
  <c r="J32" i="54"/>
  <c r="H32" i="54"/>
  <c r="C32" i="54"/>
  <c r="AD31" i="54"/>
  <c r="J31" i="54" s="1"/>
  <c r="I31" i="54" s="1"/>
  <c r="AB31" i="54"/>
  <c r="Y31" i="54"/>
  <c r="X31" i="54"/>
  <c r="Q31" i="54"/>
  <c r="P31" i="54"/>
  <c r="O31" i="54"/>
  <c r="M31" i="54"/>
  <c r="K31" i="54"/>
  <c r="H31" i="54"/>
  <c r="C31" i="54"/>
  <c r="AB30" i="54"/>
  <c r="AD30" i="54" s="1"/>
  <c r="J30" i="54" s="1"/>
  <c r="K30" i="54" s="1"/>
  <c r="Y30" i="54"/>
  <c r="X30" i="54"/>
  <c r="P30" i="54"/>
  <c r="Q30" i="54" s="1"/>
  <c r="O30" i="54"/>
  <c r="M30" i="54"/>
  <c r="I30" i="54"/>
  <c r="H30" i="54"/>
  <c r="C30" i="54"/>
  <c r="AD29" i="54"/>
  <c r="J29" i="54" s="1"/>
  <c r="K29" i="54" s="1"/>
  <c r="AB29" i="54"/>
  <c r="Y29" i="54"/>
  <c r="X29" i="54"/>
  <c r="P29" i="54"/>
  <c r="O29" i="54"/>
  <c r="Q29" i="54" s="1"/>
  <c r="M29" i="54"/>
  <c r="H29" i="54"/>
  <c r="C29" i="54"/>
  <c r="AB28" i="54"/>
  <c r="AD28" i="54" s="1"/>
  <c r="J28" i="54" s="1"/>
  <c r="Y28" i="54"/>
  <c r="X28" i="54"/>
  <c r="P28" i="54"/>
  <c r="Q28" i="54" s="1"/>
  <c r="O28" i="54"/>
  <c r="M28" i="54"/>
  <c r="H28" i="54"/>
  <c r="C28" i="54"/>
  <c r="AD27" i="54"/>
  <c r="J27" i="54" s="1"/>
  <c r="I27" i="54" s="1"/>
  <c r="AB27" i="54"/>
  <c r="Y27" i="54"/>
  <c r="X27" i="54"/>
  <c r="Q27" i="54"/>
  <c r="P27" i="54"/>
  <c r="O27" i="54"/>
  <c r="M27" i="54"/>
  <c r="K27" i="54"/>
  <c r="H27" i="54"/>
  <c r="C27" i="54"/>
  <c r="AB26" i="54"/>
  <c r="AD26" i="54" s="1"/>
  <c r="J26" i="54" s="1"/>
  <c r="Y26" i="54"/>
  <c r="X26" i="54"/>
  <c r="P26" i="54"/>
  <c r="O26" i="54"/>
  <c r="Q26" i="54" s="1"/>
  <c r="M26" i="54"/>
  <c r="H26" i="54"/>
  <c r="C26" i="54"/>
  <c r="AB25" i="54"/>
  <c r="AD25" i="54" s="1"/>
  <c r="J25" i="54" s="1"/>
  <c r="Y25" i="54"/>
  <c r="X25" i="54"/>
  <c r="P25" i="54"/>
  <c r="O25" i="54"/>
  <c r="Q25" i="54" s="1"/>
  <c r="M25" i="54"/>
  <c r="H25" i="54"/>
  <c r="C25" i="54"/>
  <c r="AB24" i="54"/>
  <c r="AD24" i="54" s="1"/>
  <c r="J24" i="54" s="1"/>
  <c r="Y24" i="54"/>
  <c r="X24" i="54"/>
  <c r="Q24" i="54"/>
  <c r="P24" i="54"/>
  <c r="O24" i="54"/>
  <c r="M24" i="54"/>
  <c r="H24" i="54"/>
  <c r="C24" i="54"/>
  <c r="AD23" i="54"/>
  <c r="J23" i="54" s="1"/>
  <c r="I23" i="54" s="1"/>
  <c r="AB23" i="54"/>
  <c r="Y23" i="54"/>
  <c r="X23" i="54"/>
  <c r="Q23" i="54"/>
  <c r="P23" i="54"/>
  <c r="O23" i="54"/>
  <c r="M23" i="54"/>
  <c r="K23" i="54"/>
  <c r="H23" i="54"/>
  <c r="C23" i="54"/>
  <c r="AB22" i="54"/>
  <c r="AD22" i="54" s="1"/>
  <c r="J22" i="54" s="1"/>
  <c r="K22" i="54" s="1"/>
  <c r="Y22" i="54"/>
  <c r="X22" i="54"/>
  <c r="P22" i="54"/>
  <c r="Q22" i="54" s="1"/>
  <c r="O22" i="54"/>
  <c r="M22" i="54"/>
  <c r="I22" i="54"/>
  <c r="H22" i="54"/>
  <c r="C22" i="54"/>
  <c r="AD21" i="54"/>
  <c r="J21" i="54" s="1"/>
  <c r="K21" i="54" s="1"/>
  <c r="AB21" i="54"/>
  <c r="Y21" i="54"/>
  <c r="X21" i="54"/>
  <c r="P21" i="54"/>
  <c r="O21" i="54"/>
  <c r="Q21" i="54" s="1"/>
  <c r="M21" i="54"/>
  <c r="H21" i="54"/>
  <c r="C21" i="54"/>
  <c r="AB20" i="54"/>
  <c r="AD20" i="54" s="1"/>
  <c r="J20" i="54" s="1"/>
  <c r="Y20" i="54"/>
  <c r="X20" i="54"/>
  <c r="P20" i="54"/>
  <c r="Q20" i="54" s="1"/>
  <c r="O20" i="54"/>
  <c r="M20" i="54"/>
  <c r="H20" i="54"/>
  <c r="C20" i="54"/>
  <c r="AD19" i="54"/>
  <c r="J19" i="54" s="1"/>
  <c r="I19" i="54" s="1"/>
  <c r="AB19" i="54"/>
  <c r="Y19" i="54"/>
  <c r="X19" i="54"/>
  <c r="Q19" i="54"/>
  <c r="P19" i="54"/>
  <c r="O19" i="54"/>
  <c r="M19" i="54"/>
  <c r="K19" i="54"/>
  <c r="H19" i="54"/>
  <c r="C19" i="54"/>
  <c r="AB18" i="54"/>
  <c r="AD18" i="54" s="1"/>
  <c r="J18" i="54" s="1"/>
  <c r="Y18" i="54"/>
  <c r="X18" i="54"/>
  <c r="P18" i="54"/>
  <c r="O18" i="54"/>
  <c r="Q18" i="54" s="1"/>
  <c r="M18" i="54"/>
  <c r="H18" i="54"/>
  <c r="C18" i="54"/>
  <c r="AB17" i="54"/>
  <c r="AD17" i="54" s="1"/>
  <c r="J17" i="54" s="1"/>
  <c r="Y17" i="54"/>
  <c r="X17" i="54"/>
  <c r="P17" i="54"/>
  <c r="O17" i="54"/>
  <c r="Q17" i="54" s="1"/>
  <c r="M17" i="54"/>
  <c r="H17" i="54"/>
  <c r="C17" i="54"/>
  <c r="AB16" i="54"/>
  <c r="AD16" i="54" s="1"/>
  <c r="J16" i="54" s="1"/>
  <c r="Y16" i="54"/>
  <c r="X16" i="54"/>
  <c r="Q16" i="54"/>
  <c r="P16" i="54"/>
  <c r="O16" i="54"/>
  <c r="M16" i="54"/>
  <c r="H16" i="54"/>
  <c r="C16" i="54"/>
  <c r="AD15" i="54"/>
  <c r="J15" i="54" s="1"/>
  <c r="I15" i="54" s="1"/>
  <c r="AB15" i="54"/>
  <c r="Y15" i="54"/>
  <c r="X15" i="54"/>
  <c r="Q15" i="54"/>
  <c r="P15" i="54"/>
  <c r="O15" i="54"/>
  <c r="M15" i="54"/>
  <c r="K15" i="54"/>
  <c r="H15" i="54"/>
  <c r="C15" i="54"/>
  <c r="AB14" i="54"/>
  <c r="AD14" i="54" s="1"/>
  <c r="J14" i="54" s="1"/>
  <c r="K14" i="54" s="1"/>
  <c r="Y14" i="54"/>
  <c r="X14" i="54"/>
  <c r="P14" i="54"/>
  <c r="Q14" i="54" s="1"/>
  <c r="O14" i="54"/>
  <c r="M14" i="54"/>
  <c r="I14" i="54"/>
  <c r="H14" i="54"/>
  <c r="C14" i="54"/>
  <c r="AD13" i="54"/>
  <c r="J13" i="54" s="1"/>
  <c r="K13" i="54" s="1"/>
  <c r="AB13" i="54"/>
  <c r="Y13" i="54"/>
  <c r="X13" i="54"/>
  <c r="P13" i="54"/>
  <c r="O13" i="54"/>
  <c r="Q13" i="54" s="1"/>
  <c r="M13" i="54"/>
  <c r="H13" i="54"/>
  <c r="C13" i="54"/>
  <c r="AB12" i="54"/>
  <c r="AD12" i="54" s="1"/>
  <c r="J12" i="54" s="1"/>
  <c r="Y12" i="54"/>
  <c r="X12" i="54"/>
  <c r="P12" i="54"/>
  <c r="Q12" i="54" s="1"/>
  <c r="O12" i="54"/>
  <c r="M12" i="54"/>
  <c r="H12" i="54"/>
  <c r="C12" i="54"/>
  <c r="AD11" i="54"/>
  <c r="J11" i="54" s="1"/>
  <c r="I11" i="54" s="1"/>
  <c r="AB11" i="54"/>
  <c r="Y11" i="54"/>
  <c r="X11" i="54"/>
  <c r="Q11" i="54"/>
  <c r="P11" i="54"/>
  <c r="O11" i="54"/>
  <c r="M11" i="54"/>
  <c r="K11" i="54"/>
  <c r="H11" i="54"/>
  <c r="C11" i="54"/>
  <c r="AB10" i="54"/>
  <c r="AD10" i="54" s="1"/>
  <c r="J10" i="54" s="1"/>
  <c r="Y10" i="54"/>
  <c r="X10" i="54"/>
  <c r="P10" i="54"/>
  <c r="O10" i="54"/>
  <c r="Q10" i="54" s="1"/>
  <c r="M10" i="54"/>
  <c r="H10" i="54"/>
  <c r="C10" i="54"/>
  <c r="AB9" i="54"/>
  <c r="AD9" i="54" s="1"/>
  <c r="J9" i="54" s="1"/>
  <c r="Y9" i="54"/>
  <c r="X9" i="54"/>
  <c r="Q9" i="54"/>
  <c r="P9" i="54"/>
  <c r="O9" i="54"/>
  <c r="M9" i="54"/>
  <c r="H9" i="54"/>
  <c r="C9" i="54"/>
  <c r="AB8" i="54"/>
  <c r="AD8" i="54" s="1"/>
  <c r="Y8" i="54"/>
  <c r="X8" i="54"/>
  <c r="P8" i="54"/>
  <c r="Q8" i="54" s="1"/>
  <c r="O8" i="54"/>
  <c r="M8" i="54"/>
  <c r="J8" i="54"/>
  <c r="H8" i="54"/>
  <c r="C8" i="54"/>
  <c r="AD7" i="54"/>
  <c r="J7" i="54" s="1"/>
  <c r="AB7" i="54"/>
  <c r="Y7" i="54"/>
  <c r="X7" i="54"/>
  <c r="Q7" i="54"/>
  <c r="P7" i="54"/>
  <c r="O7" i="54"/>
  <c r="M7" i="54"/>
  <c r="K7" i="54"/>
  <c r="I7" i="54"/>
  <c r="H7" i="54"/>
  <c r="C7" i="54"/>
  <c r="AB6" i="54"/>
  <c r="AD6" i="54" s="1"/>
  <c r="J6" i="54" s="1"/>
  <c r="Y6" i="54"/>
  <c r="X6" i="54"/>
  <c r="P6" i="54"/>
  <c r="Q6" i="54" s="1"/>
  <c r="O6" i="54"/>
  <c r="M6" i="54"/>
  <c r="H6" i="54"/>
  <c r="C6" i="54"/>
  <c r="AD5" i="54"/>
  <c r="J5" i="54" s="1"/>
  <c r="AB5" i="54"/>
  <c r="Y5" i="54"/>
  <c r="X5" i="54"/>
  <c r="P5" i="54"/>
  <c r="O5" i="54"/>
  <c r="Q5" i="54" s="1"/>
  <c r="M5" i="54"/>
  <c r="K5" i="54"/>
  <c r="I5" i="54"/>
  <c r="H5" i="54"/>
  <c r="C5" i="54"/>
  <c r="AB4" i="54"/>
  <c r="AD4" i="54" s="1"/>
  <c r="Y4" i="54"/>
  <c r="X4" i="54"/>
  <c r="P4" i="54"/>
  <c r="Q4" i="54" s="1"/>
  <c r="O4" i="54"/>
  <c r="M4" i="54"/>
  <c r="H4" i="54"/>
  <c r="C4" i="54"/>
  <c r="AG3" i="54"/>
  <c r="AF3" i="54"/>
  <c r="W3" i="54"/>
  <c r="X3" i="54" s="1"/>
  <c r="V3" i="54"/>
  <c r="U3" i="54"/>
  <c r="T3" i="54"/>
  <c r="O3" i="54"/>
  <c r="G3" i="54"/>
  <c r="F3" i="54"/>
  <c r="H3" i="54" s="1"/>
  <c r="D3" i="54"/>
  <c r="C3" i="54"/>
  <c r="A2" i="54"/>
  <c r="A1" i="54"/>
  <c r="AD32" i="53"/>
  <c r="AB32" i="53"/>
  <c r="Y32" i="53"/>
  <c r="X32" i="53"/>
  <c r="V32" i="53"/>
  <c r="U32" i="53"/>
  <c r="T32" i="53"/>
  <c r="Q32" i="53"/>
  <c r="P32" i="53"/>
  <c r="O32" i="53"/>
  <c r="M32" i="53"/>
  <c r="J32" i="53"/>
  <c r="H32" i="53"/>
  <c r="C32" i="53"/>
  <c r="AB31" i="53"/>
  <c r="AD31" i="53" s="1"/>
  <c r="J31" i="53" s="1"/>
  <c r="Y31" i="53"/>
  <c r="X31" i="53"/>
  <c r="P31" i="53"/>
  <c r="O31" i="53"/>
  <c r="Q31" i="53" s="1"/>
  <c r="M31" i="53"/>
  <c r="H31" i="53"/>
  <c r="C31" i="53"/>
  <c r="AB30" i="53"/>
  <c r="AD30" i="53" s="1"/>
  <c r="J30" i="53" s="1"/>
  <c r="Y30" i="53"/>
  <c r="X30" i="53"/>
  <c r="P30" i="53"/>
  <c r="Q30" i="53" s="1"/>
  <c r="O30" i="53"/>
  <c r="M30" i="53"/>
  <c r="H30" i="53"/>
  <c r="C30" i="53"/>
  <c r="AD29" i="53"/>
  <c r="J29" i="53" s="1"/>
  <c r="AB29" i="53"/>
  <c r="Y29" i="53"/>
  <c r="X29" i="53"/>
  <c r="P29" i="53"/>
  <c r="O29" i="53"/>
  <c r="Q29" i="53" s="1"/>
  <c r="M29" i="53"/>
  <c r="K29" i="53"/>
  <c r="I29" i="53"/>
  <c r="H29" i="53"/>
  <c r="C29" i="53"/>
  <c r="AB28" i="53"/>
  <c r="AD28" i="53" s="1"/>
  <c r="J28" i="53" s="1"/>
  <c r="Y28" i="53"/>
  <c r="X28" i="53"/>
  <c r="P28" i="53"/>
  <c r="Q28" i="53" s="1"/>
  <c r="O28" i="53"/>
  <c r="M28" i="53"/>
  <c r="H28" i="53"/>
  <c r="C28" i="53"/>
  <c r="AD27" i="53"/>
  <c r="J27" i="53" s="1"/>
  <c r="AB27" i="53"/>
  <c r="Y27" i="53"/>
  <c r="X27" i="53"/>
  <c r="P27" i="53"/>
  <c r="O27" i="53"/>
  <c r="Q27" i="53" s="1"/>
  <c r="M27" i="53"/>
  <c r="K27" i="53"/>
  <c r="I27" i="53"/>
  <c r="H27" i="53"/>
  <c r="C27" i="53"/>
  <c r="AB26" i="53"/>
  <c r="AD26" i="53" s="1"/>
  <c r="J26" i="53" s="1"/>
  <c r="Y26" i="53"/>
  <c r="X26" i="53"/>
  <c r="P26" i="53"/>
  <c r="O26" i="53"/>
  <c r="Q26" i="53" s="1"/>
  <c r="M26" i="53"/>
  <c r="H26" i="53"/>
  <c r="C26" i="53"/>
  <c r="AD25" i="53"/>
  <c r="J25" i="53" s="1"/>
  <c r="I25" i="53" s="1"/>
  <c r="AB25" i="53"/>
  <c r="Y25" i="53"/>
  <c r="X25" i="53"/>
  <c r="P25" i="53"/>
  <c r="O25" i="53"/>
  <c r="Q25" i="53" s="1"/>
  <c r="M25" i="53"/>
  <c r="H25" i="53"/>
  <c r="C25" i="53"/>
  <c r="AB24" i="53"/>
  <c r="AD24" i="53" s="1"/>
  <c r="J24" i="53" s="1"/>
  <c r="Y24" i="53"/>
  <c r="X24" i="53"/>
  <c r="Q24" i="53"/>
  <c r="P24" i="53"/>
  <c r="O24" i="53"/>
  <c r="M24" i="53"/>
  <c r="H24" i="53"/>
  <c r="C24" i="53"/>
  <c r="AB23" i="53"/>
  <c r="AD23" i="53" s="1"/>
  <c r="Y23" i="53"/>
  <c r="X23" i="53"/>
  <c r="P23" i="53"/>
  <c r="O23" i="53"/>
  <c r="Q23" i="53" s="1"/>
  <c r="M23" i="53"/>
  <c r="J23" i="53"/>
  <c r="H23" i="53"/>
  <c r="C23" i="53"/>
  <c r="AB22" i="53"/>
  <c r="AD22" i="53" s="1"/>
  <c r="J22" i="53" s="1"/>
  <c r="Y22" i="53"/>
  <c r="X22" i="53"/>
  <c r="P22" i="53"/>
  <c r="Q22" i="53" s="1"/>
  <c r="O22" i="53"/>
  <c r="M22" i="53"/>
  <c r="H22" i="53"/>
  <c r="C22" i="53"/>
  <c r="AD21" i="53"/>
  <c r="J21" i="53" s="1"/>
  <c r="AB21" i="53"/>
  <c r="Y21" i="53"/>
  <c r="X21" i="53"/>
  <c r="P21" i="53"/>
  <c r="O21" i="53"/>
  <c r="Q21" i="53" s="1"/>
  <c r="M21" i="53"/>
  <c r="K21" i="53"/>
  <c r="I21" i="53"/>
  <c r="H21" i="53"/>
  <c r="C21" i="53"/>
  <c r="AB20" i="53"/>
  <c r="AD20" i="53" s="1"/>
  <c r="J20" i="53" s="1"/>
  <c r="Y20" i="53"/>
  <c r="X20" i="53"/>
  <c r="P20" i="53"/>
  <c r="Q20" i="53" s="1"/>
  <c r="O20" i="53"/>
  <c r="M20" i="53"/>
  <c r="H20" i="53"/>
  <c r="C20" i="53"/>
  <c r="AD19" i="53"/>
  <c r="J19" i="53" s="1"/>
  <c r="AB19" i="53"/>
  <c r="Y19" i="53"/>
  <c r="X19" i="53"/>
  <c r="P19" i="53"/>
  <c r="O19" i="53"/>
  <c r="Q19" i="53" s="1"/>
  <c r="M19" i="53"/>
  <c r="K19" i="53"/>
  <c r="I19" i="53"/>
  <c r="H19" i="53"/>
  <c r="C19" i="53"/>
  <c r="AB18" i="53"/>
  <c r="AD18" i="53" s="1"/>
  <c r="J18" i="53" s="1"/>
  <c r="Y18" i="53"/>
  <c r="X18" i="53"/>
  <c r="P18" i="53"/>
  <c r="O18" i="53"/>
  <c r="Q18" i="53" s="1"/>
  <c r="M18" i="53"/>
  <c r="H18" i="53"/>
  <c r="C18" i="53"/>
  <c r="AB17" i="53"/>
  <c r="AD17" i="53" s="1"/>
  <c r="J17" i="53" s="1"/>
  <c r="K17" i="53" s="1"/>
  <c r="Y17" i="53"/>
  <c r="X17" i="53"/>
  <c r="Q17" i="53"/>
  <c r="P17" i="53"/>
  <c r="O17" i="53"/>
  <c r="M17" i="53"/>
  <c r="I17" i="53"/>
  <c r="H17" i="53"/>
  <c r="C17" i="53"/>
  <c r="AB16" i="53"/>
  <c r="AD16" i="53" s="1"/>
  <c r="Y16" i="53"/>
  <c r="X16" i="53"/>
  <c r="P16" i="53"/>
  <c r="O16" i="53"/>
  <c r="Q16" i="53" s="1"/>
  <c r="M16" i="53"/>
  <c r="J16" i="53"/>
  <c r="H16" i="53"/>
  <c r="C16" i="53"/>
  <c r="AB15" i="53"/>
  <c r="AD15" i="53" s="1"/>
  <c r="J15" i="53" s="1"/>
  <c r="Y15" i="53"/>
  <c r="X15" i="53"/>
  <c r="Q15" i="53"/>
  <c r="P15" i="53"/>
  <c r="O15" i="53"/>
  <c r="M15" i="53"/>
  <c r="H15" i="53"/>
  <c r="C15" i="53"/>
  <c r="AB14" i="53"/>
  <c r="AD14" i="53" s="1"/>
  <c r="J14" i="53" s="1"/>
  <c r="Y14" i="53"/>
  <c r="X14" i="53"/>
  <c r="P14" i="53"/>
  <c r="Q14" i="53" s="1"/>
  <c r="O14" i="53"/>
  <c r="M14" i="53"/>
  <c r="H14" i="53"/>
  <c r="C14" i="53"/>
  <c r="AD13" i="53"/>
  <c r="J13" i="53" s="1"/>
  <c r="AB13" i="53"/>
  <c r="Y13" i="53"/>
  <c r="X13" i="53"/>
  <c r="P13" i="53"/>
  <c r="Q13" i="53" s="1"/>
  <c r="O13" i="53"/>
  <c r="M13" i="53"/>
  <c r="K13" i="53"/>
  <c r="I13" i="53"/>
  <c r="H13" i="53"/>
  <c r="C13" i="53"/>
  <c r="AB12" i="53"/>
  <c r="AD12" i="53" s="1"/>
  <c r="J12" i="53" s="1"/>
  <c r="Y12" i="53"/>
  <c r="X12" i="53"/>
  <c r="P12" i="53"/>
  <c r="O12" i="53"/>
  <c r="Q12" i="53" s="1"/>
  <c r="M12" i="53"/>
  <c r="H12" i="53"/>
  <c r="C12" i="53"/>
  <c r="AD11" i="53"/>
  <c r="J11" i="53" s="1"/>
  <c r="AB11" i="53"/>
  <c r="Y11" i="53"/>
  <c r="X11" i="53"/>
  <c r="P11" i="53"/>
  <c r="Q11" i="53" s="1"/>
  <c r="O11" i="53"/>
  <c r="M11" i="53"/>
  <c r="K11" i="53"/>
  <c r="I11" i="53"/>
  <c r="H11" i="53"/>
  <c r="C11" i="53"/>
  <c r="AB10" i="53"/>
  <c r="AD10" i="53" s="1"/>
  <c r="J10" i="53" s="1"/>
  <c r="I10" i="53" s="1"/>
  <c r="Y10" i="53"/>
  <c r="X10" i="53"/>
  <c r="P10" i="53"/>
  <c r="O10" i="53"/>
  <c r="Q10" i="53" s="1"/>
  <c r="M10" i="53"/>
  <c r="H10" i="53"/>
  <c r="C10" i="53"/>
  <c r="AB9" i="53"/>
  <c r="AD9" i="53" s="1"/>
  <c r="J9" i="53" s="1"/>
  <c r="Y9" i="53"/>
  <c r="X9" i="53"/>
  <c r="Q9" i="53"/>
  <c r="P9" i="53"/>
  <c r="O9" i="53"/>
  <c r="M9" i="53"/>
  <c r="H9" i="53"/>
  <c r="C9" i="53"/>
  <c r="AB8" i="53"/>
  <c r="AD8" i="53" s="1"/>
  <c r="Y8" i="53"/>
  <c r="X8" i="53"/>
  <c r="P8" i="53"/>
  <c r="O8" i="53"/>
  <c r="Q8" i="53" s="1"/>
  <c r="M8" i="53"/>
  <c r="J8" i="53"/>
  <c r="H8" i="53"/>
  <c r="C8" i="53"/>
  <c r="AB7" i="53"/>
  <c r="AD7" i="53" s="1"/>
  <c r="J7" i="53" s="1"/>
  <c r="Y7" i="53"/>
  <c r="X7" i="53"/>
  <c r="Q7" i="53"/>
  <c r="P7" i="53"/>
  <c r="O7" i="53"/>
  <c r="M7" i="53"/>
  <c r="H7" i="53"/>
  <c r="C7" i="53"/>
  <c r="AB6" i="53"/>
  <c r="AD6" i="53" s="1"/>
  <c r="J6" i="53" s="1"/>
  <c r="Y6" i="53"/>
  <c r="X6" i="53"/>
  <c r="P6" i="53"/>
  <c r="Q6" i="53" s="1"/>
  <c r="O6" i="53"/>
  <c r="M6" i="53"/>
  <c r="H6" i="53"/>
  <c r="C6" i="53"/>
  <c r="AD5" i="53"/>
  <c r="J5" i="53" s="1"/>
  <c r="AB5" i="53"/>
  <c r="Y5" i="53"/>
  <c r="X5" i="53"/>
  <c r="P5" i="53"/>
  <c r="Q5" i="53" s="1"/>
  <c r="O5" i="53"/>
  <c r="M5" i="53"/>
  <c r="K5" i="53"/>
  <c r="I5" i="53"/>
  <c r="H5" i="53"/>
  <c r="C5" i="53"/>
  <c r="AB4" i="53"/>
  <c r="AD4" i="53" s="1"/>
  <c r="Y4" i="53"/>
  <c r="X4" i="53"/>
  <c r="P4" i="53"/>
  <c r="Q4" i="53" s="1"/>
  <c r="O4" i="53"/>
  <c r="M4" i="53"/>
  <c r="H4" i="53"/>
  <c r="C4" i="53"/>
  <c r="AG3" i="53"/>
  <c r="AF3" i="53"/>
  <c r="W3" i="53"/>
  <c r="X3" i="53" s="1"/>
  <c r="V3" i="53"/>
  <c r="U3" i="53"/>
  <c r="T3" i="53"/>
  <c r="O3" i="53"/>
  <c r="G3" i="53"/>
  <c r="F3" i="53"/>
  <c r="D3" i="53"/>
  <c r="C3" i="53"/>
  <c r="A2" i="53"/>
  <c r="A1" i="53"/>
  <c r="AB32" i="52"/>
  <c r="AD32" i="52" s="1"/>
  <c r="J32" i="52" s="1"/>
  <c r="Y32" i="52"/>
  <c r="X32" i="52"/>
  <c r="V32" i="52"/>
  <c r="U32" i="52"/>
  <c r="T32" i="52"/>
  <c r="P32" i="52"/>
  <c r="O32" i="52"/>
  <c r="Q32" i="52" s="1"/>
  <c r="M32" i="52"/>
  <c r="H32" i="52"/>
  <c r="C32" i="52"/>
  <c r="AB31" i="52"/>
  <c r="AD31" i="52" s="1"/>
  <c r="J31" i="52" s="1"/>
  <c r="Y31" i="52"/>
  <c r="X31" i="52"/>
  <c r="Q31" i="52"/>
  <c r="P31" i="52"/>
  <c r="O31" i="52"/>
  <c r="M31" i="52"/>
  <c r="H31" i="52"/>
  <c r="C31" i="52"/>
  <c r="AB30" i="52"/>
  <c r="AD30" i="52" s="1"/>
  <c r="Y30" i="52"/>
  <c r="X30" i="52"/>
  <c r="P30" i="52"/>
  <c r="Q30" i="52" s="1"/>
  <c r="O30" i="52"/>
  <c r="M30" i="52"/>
  <c r="J30" i="52"/>
  <c r="H30" i="52"/>
  <c r="C30" i="52"/>
  <c r="AD29" i="52"/>
  <c r="J29" i="52" s="1"/>
  <c r="AB29" i="52"/>
  <c r="Y29" i="52"/>
  <c r="X29" i="52"/>
  <c r="Q29" i="52"/>
  <c r="P29" i="52"/>
  <c r="O29" i="52"/>
  <c r="M29" i="52"/>
  <c r="K29" i="52"/>
  <c r="I29" i="52"/>
  <c r="H29" i="52"/>
  <c r="C29" i="52"/>
  <c r="AD28" i="52"/>
  <c r="J28" i="52" s="1"/>
  <c r="AB28" i="52"/>
  <c r="Y28" i="52"/>
  <c r="X28" i="52"/>
  <c r="P28" i="52"/>
  <c r="Q28" i="52" s="1"/>
  <c r="O28" i="52"/>
  <c r="M28" i="52"/>
  <c r="H28" i="52"/>
  <c r="C28" i="52"/>
  <c r="AD27" i="52"/>
  <c r="J27" i="52" s="1"/>
  <c r="AB27" i="52"/>
  <c r="Y27" i="52"/>
  <c r="X27" i="52"/>
  <c r="Q27" i="52"/>
  <c r="P27" i="52"/>
  <c r="O27" i="52"/>
  <c r="M27" i="52"/>
  <c r="K27" i="52"/>
  <c r="I27" i="52"/>
  <c r="H27" i="52"/>
  <c r="C27" i="52"/>
  <c r="AD26" i="52"/>
  <c r="J26" i="52" s="1"/>
  <c r="AB26" i="52"/>
  <c r="Y26" i="52"/>
  <c r="X26" i="52"/>
  <c r="P26" i="52"/>
  <c r="O26" i="52"/>
  <c r="Q26" i="52" s="1"/>
  <c r="M26" i="52"/>
  <c r="H26" i="52"/>
  <c r="C26" i="52"/>
  <c r="AB25" i="52"/>
  <c r="AD25" i="52" s="1"/>
  <c r="J25" i="52" s="1"/>
  <c r="Y25" i="52"/>
  <c r="X25" i="52"/>
  <c r="Q25" i="52"/>
  <c r="P25" i="52"/>
  <c r="O25" i="52"/>
  <c r="M25" i="52"/>
  <c r="H25" i="52"/>
  <c r="C25" i="52"/>
  <c r="AB24" i="52"/>
  <c r="AD24" i="52" s="1"/>
  <c r="J24" i="52" s="1"/>
  <c r="Y24" i="52"/>
  <c r="X24" i="52"/>
  <c r="P24" i="52"/>
  <c r="O24" i="52"/>
  <c r="Q24" i="52" s="1"/>
  <c r="M24" i="52"/>
  <c r="H24" i="52"/>
  <c r="C24" i="52"/>
  <c r="AD23" i="52"/>
  <c r="J23" i="52" s="1"/>
  <c r="AB23" i="52"/>
  <c r="Y23" i="52"/>
  <c r="X23" i="52"/>
  <c r="P23" i="52"/>
  <c r="O23" i="52"/>
  <c r="Q23" i="52" s="1"/>
  <c r="M23" i="52"/>
  <c r="H23" i="52"/>
  <c r="C23" i="52"/>
  <c r="AB22" i="52"/>
  <c r="AD22" i="52" s="1"/>
  <c r="J22" i="52" s="1"/>
  <c r="Y22" i="52"/>
  <c r="X22" i="52"/>
  <c r="Q22" i="52"/>
  <c r="P22" i="52"/>
  <c r="O22" i="52"/>
  <c r="M22" i="52"/>
  <c r="H22" i="52"/>
  <c r="C22" i="52"/>
  <c r="AD21" i="52"/>
  <c r="J21" i="52" s="1"/>
  <c r="I21" i="52" s="1"/>
  <c r="AB21" i="52"/>
  <c r="Y21" i="52"/>
  <c r="X21" i="52"/>
  <c r="P21" i="52"/>
  <c r="O21" i="52"/>
  <c r="Q21" i="52" s="1"/>
  <c r="M21" i="52"/>
  <c r="K21" i="52"/>
  <c r="H21" i="52"/>
  <c r="C21" i="52"/>
  <c r="AB20" i="52"/>
  <c r="AD20" i="52" s="1"/>
  <c r="J20" i="52" s="1"/>
  <c r="Y20" i="52"/>
  <c r="X20" i="52"/>
  <c r="P20" i="52"/>
  <c r="Q20" i="52" s="1"/>
  <c r="O20" i="52"/>
  <c r="M20" i="52"/>
  <c r="H20" i="52"/>
  <c r="C20" i="52"/>
  <c r="AD19" i="52"/>
  <c r="J19" i="52" s="1"/>
  <c r="I19" i="52" s="1"/>
  <c r="AB19" i="52"/>
  <c r="Y19" i="52"/>
  <c r="X19" i="52"/>
  <c r="P19" i="52"/>
  <c r="O19" i="52"/>
  <c r="Q19" i="52" s="1"/>
  <c r="M19" i="52"/>
  <c r="K19" i="52"/>
  <c r="H19" i="52"/>
  <c r="C19" i="52"/>
  <c r="AB18" i="52"/>
  <c r="AD18" i="52" s="1"/>
  <c r="J18" i="52" s="1"/>
  <c r="Y18" i="52"/>
  <c r="X18" i="52"/>
  <c r="P18" i="52"/>
  <c r="O18" i="52"/>
  <c r="M18" i="52"/>
  <c r="H18" i="52"/>
  <c r="C18" i="52"/>
  <c r="AB17" i="52"/>
  <c r="AD17" i="52" s="1"/>
  <c r="J17" i="52" s="1"/>
  <c r="Y17" i="52"/>
  <c r="X17" i="52"/>
  <c r="P17" i="52"/>
  <c r="O17" i="52"/>
  <c r="Q17" i="52" s="1"/>
  <c r="M17" i="52"/>
  <c r="H17" i="52"/>
  <c r="C17" i="52"/>
  <c r="AB16" i="52"/>
  <c r="AD16" i="52" s="1"/>
  <c r="J16" i="52" s="1"/>
  <c r="K16" i="52" s="1"/>
  <c r="Y16" i="52"/>
  <c r="X16" i="52"/>
  <c r="Q16" i="52"/>
  <c r="P16" i="52"/>
  <c r="O16" i="52"/>
  <c r="M16" i="52"/>
  <c r="H16" i="52"/>
  <c r="C16" i="52"/>
  <c r="AB15" i="52"/>
  <c r="AD15" i="52" s="1"/>
  <c r="J15" i="52" s="1"/>
  <c r="Y15" i="52"/>
  <c r="X15" i="52"/>
  <c r="P15" i="52"/>
  <c r="Q15" i="52" s="1"/>
  <c r="O15" i="52"/>
  <c r="M15" i="52"/>
  <c r="H15" i="52"/>
  <c r="C15" i="52"/>
  <c r="AD14" i="52"/>
  <c r="J14" i="52" s="1"/>
  <c r="I14" i="52" s="1"/>
  <c r="AB14" i="52"/>
  <c r="Y14" i="52"/>
  <c r="X14" i="52"/>
  <c r="P14" i="52"/>
  <c r="O14" i="52"/>
  <c r="Q14" i="52" s="1"/>
  <c r="M14" i="52"/>
  <c r="H14" i="52"/>
  <c r="C14" i="52"/>
  <c r="AB13" i="52"/>
  <c r="AD13" i="52" s="1"/>
  <c r="J13" i="52" s="1"/>
  <c r="Y13" i="52"/>
  <c r="X13" i="52"/>
  <c r="P13" i="52"/>
  <c r="Q13" i="52" s="1"/>
  <c r="O13" i="52"/>
  <c r="M13" i="52"/>
  <c r="H13" i="52"/>
  <c r="C13" i="52"/>
  <c r="AD12" i="52"/>
  <c r="J12" i="52" s="1"/>
  <c r="AB12" i="52"/>
  <c r="Y12" i="52"/>
  <c r="X12" i="52"/>
  <c r="P12" i="52"/>
  <c r="O12" i="52"/>
  <c r="Q12" i="52" s="1"/>
  <c r="M12" i="52"/>
  <c r="H12" i="52"/>
  <c r="C12" i="52"/>
  <c r="AB11" i="52"/>
  <c r="AD11" i="52" s="1"/>
  <c r="J11" i="52" s="1"/>
  <c r="Y11" i="52"/>
  <c r="X11" i="52"/>
  <c r="P11" i="52"/>
  <c r="O11" i="52"/>
  <c r="Q11" i="52" s="1"/>
  <c r="M11" i="52"/>
  <c r="H11" i="52"/>
  <c r="C11" i="52"/>
  <c r="AB10" i="52"/>
  <c r="AD10" i="52" s="1"/>
  <c r="J10" i="52" s="1"/>
  <c r="Y10" i="52"/>
  <c r="X10" i="52"/>
  <c r="Q10" i="52"/>
  <c r="P10" i="52"/>
  <c r="O10" i="52"/>
  <c r="M10" i="52"/>
  <c r="H10" i="52"/>
  <c r="C10" i="52"/>
  <c r="AB9" i="52"/>
  <c r="AD9" i="52" s="1"/>
  <c r="J9" i="52" s="1"/>
  <c r="Y9" i="52"/>
  <c r="X9" i="52"/>
  <c r="P9" i="52"/>
  <c r="O9" i="52"/>
  <c r="Q9" i="52" s="1"/>
  <c r="M9" i="52"/>
  <c r="H9" i="52"/>
  <c r="C9" i="52"/>
  <c r="AB8" i="52"/>
  <c r="AD8" i="52" s="1"/>
  <c r="J8" i="52" s="1"/>
  <c r="K8" i="52" s="1"/>
  <c r="Y8" i="52"/>
  <c r="X8" i="52"/>
  <c r="Q8" i="52"/>
  <c r="P8" i="52"/>
  <c r="O8" i="52"/>
  <c r="M8" i="52"/>
  <c r="H8" i="52"/>
  <c r="C8" i="52"/>
  <c r="AB7" i="52"/>
  <c r="AD7" i="52" s="1"/>
  <c r="J7" i="52" s="1"/>
  <c r="Y7" i="52"/>
  <c r="X7" i="52"/>
  <c r="P7" i="52"/>
  <c r="Q7" i="52" s="1"/>
  <c r="O7" i="52"/>
  <c r="M7" i="52"/>
  <c r="H7" i="52"/>
  <c r="C7" i="52"/>
  <c r="AD6" i="52"/>
  <c r="J6" i="52" s="1"/>
  <c r="I6" i="52" s="1"/>
  <c r="AB6" i="52"/>
  <c r="Y6" i="52"/>
  <c r="X6" i="52"/>
  <c r="P6" i="52"/>
  <c r="O6" i="52"/>
  <c r="Q6" i="52" s="1"/>
  <c r="M6" i="52"/>
  <c r="H6" i="52"/>
  <c r="C6" i="52"/>
  <c r="AB5" i="52"/>
  <c r="AD5" i="52" s="1"/>
  <c r="J5" i="52" s="1"/>
  <c r="Y5" i="52"/>
  <c r="X5" i="52"/>
  <c r="P5" i="52"/>
  <c r="Q5" i="52" s="1"/>
  <c r="O5" i="52"/>
  <c r="M5" i="52"/>
  <c r="H5" i="52"/>
  <c r="C5" i="52"/>
  <c r="AD4" i="52"/>
  <c r="AB4" i="52"/>
  <c r="Y4" i="52"/>
  <c r="X4" i="52"/>
  <c r="P4" i="52"/>
  <c r="O4" i="52"/>
  <c r="Q4" i="52" s="1"/>
  <c r="M4" i="52"/>
  <c r="H4" i="52"/>
  <c r="C4" i="52"/>
  <c r="AG3" i="52"/>
  <c r="AF3" i="52"/>
  <c r="W3" i="52"/>
  <c r="V3" i="52"/>
  <c r="U3" i="52"/>
  <c r="T3" i="52"/>
  <c r="O3" i="52"/>
  <c r="G3" i="52"/>
  <c r="H3" i="52" s="1"/>
  <c r="F3" i="52"/>
  <c r="D3" i="52"/>
  <c r="X3" i="52" s="1"/>
  <c r="C3" i="52"/>
  <c r="A2" i="52"/>
  <c r="A1" i="52"/>
  <c r="AD32" i="51"/>
  <c r="AB32" i="51"/>
  <c r="Y32" i="51"/>
  <c r="X32" i="51"/>
  <c r="V32" i="51"/>
  <c r="U32" i="51"/>
  <c r="T32" i="51"/>
  <c r="Q32" i="51"/>
  <c r="P32" i="51"/>
  <c r="O32" i="51"/>
  <c r="M32" i="51"/>
  <c r="J32" i="51"/>
  <c r="K32" i="51" s="1"/>
  <c r="I32" i="51"/>
  <c r="H32" i="51"/>
  <c r="C32" i="51"/>
  <c r="AB31" i="51"/>
  <c r="AD31" i="51" s="1"/>
  <c r="J31" i="51" s="1"/>
  <c r="Y31" i="51"/>
  <c r="X31" i="51"/>
  <c r="P31" i="51"/>
  <c r="Q31" i="51" s="1"/>
  <c r="O31" i="51"/>
  <c r="M31" i="51"/>
  <c r="H31" i="51"/>
  <c r="C31" i="51"/>
  <c r="AD30" i="51"/>
  <c r="J30" i="51" s="1"/>
  <c r="I30" i="51" s="1"/>
  <c r="AB30" i="51"/>
  <c r="Y30" i="51"/>
  <c r="X30" i="51"/>
  <c r="P30" i="51"/>
  <c r="O30" i="51"/>
  <c r="Q30" i="51" s="1"/>
  <c r="M30" i="51"/>
  <c r="H30" i="51"/>
  <c r="C30" i="51"/>
  <c r="AB29" i="51"/>
  <c r="AD29" i="51" s="1"/>
  <c r="J29" i="51" s="1"/>
  <c r="Y29" i="51"/>
  <c r="X29" i="51"/>
  <c r="P29" i="51"/>
  <c r="O29" i="51"/>
  <c r="Q29" i="51" s="1"/>
  <c r="M29" i="51"/>
  <c r="H29" i="51"/>
  <c r="C29" i="51"/>
  <c r="AD28" i="51"/>
  <c r="J28" i="51" s="1"/>
  <c r="AB28" i="51"/>
  <c r="Y28" i="51"/>
  <c r="X28" i="51"/>
  <c r="P28" i="51"/>
  <c r="O28" i="51"/>
  <c r="Q28" i="51" s="1"/>
  <c r="M28" i="51"/>
  <c r="H28" i="51"/>
  <c r="C28" i="51"/>
  <c r="AB27" i="51"/>
  <c r="AD27" i="51" s="1"/>
  <c r="J27" i="51" s="1"/>
  <c r="Y27" i="51"/>
  <c r="X27" i="51"/>
  <c r="P27" i="51"/>
  <c r="O27" i="51"/>
  <c r="Q27" i="51" s="1"/>
  <c r="M27" i="51"/>
  <c r="H27" i="51"/>
  <c r="C27" i="51"/>
  <c r="AB26" i="51"/>
  <c r="AD26" i="51" s="1"/>
  <c r="J26" i="51" s="1"/>
  <c r="Y26" i="51"/>
  <c r="X26" i="51"/>
  <c r="Q26" i="51"/>
  <c r="P26" i="51"/>
  <c r="O26" i="51"/>
  <c r="M26" i="51"/>
  <c r="H26" i="51"/>
  <c r="C26" i="51"/>
  <c r="AB25" i="51"/>
  <c r="AD25" i="51" s="1"/>
  <c r="J25" i="51" s="1"/>
  <c r="Y25" i="51"/>
  <c r="X25" i="51"/>
  <c r="P25" i="51"/>
  <c r="O25" i="51"/>
  <c r="Q25" i="51" s="1"/>
  <c r="M25" i="51"/>
  <c r="H25" i="51"/>
  <c r="C25" i="51"/>
  <c r="AB24" i="51"/>
  <c r="AD24" i="51" s="1"/>
  <c r="J24" i="51" s="1"/>
  <c r="K24" i="51" s="1"/>
  <c r="Y24" i="51"/>
  <c r="X24" i="51"/>
  <c r="Q24" i="51"/>
  <c r="P24" i="51"/>
  <c r="O24" i="51"/>
  <c r="M24" i="51"/>
  <c r="I24" i="51"/>
  <c r="H24" i="51"/>
  <c r="C24" i="51"/>
  <c r="AB23" i="51"/>
  <c r="AD23" i="51" s="1"/>
  <c r="J23" i="51" s="1"/>
  <c r="Y23" i="51"/>
  <c r="X23" i="51"/>
  <c r="P23" i="51"/>
  <c r="Q23" i="51" s="1"/>
  <c r="O23" i="51"/>
  <c r="M23" i="51"/>
  <c r="H23" i="51"/>
  <c r="C23" i="51"/>
  <c r="AD22" i="51"/>
  <c r="J22" i="51" s="1"/>
  <c r="I22" i="51" s="1"/>
  <c r="AB22" i="51"/>
  <c r="Y22" i="51"/>
  <c r="X22" i="51"/>
  <c r="P22" i="51"/>
  <c r="O22" i="51"/>
  <c r="Q22" i="51" s="1"/>
  <c r="M22" i="51"/>
  <c r="H22" i="51"/>
  <c r="C22" i="51"/>
  <c r="AB21" i="51"/>
  <c r="AD21" i="51" s="1"/>
  <c r="J21" i="51" s="1"/>
  <c r="Y21" i="51"/>
  <c r="X21" i="51"/>
  <c r="P21" i="51"/>
  <c r="Q21" i="51" s="1"/>
  <c r="O21" i="51"/>
  <c r="M21" i="51"/>
  <c r="H21" i="51"/>
  <c r="C21" i="51"/>
  <c r="AD20" i="51"/>
  <c r="J20" i="51" s="1"/>
  <c r="AB20" i="51"/>
  <c r="Y20" i="51"/>
  <c r="X20" i="51"/>
  <c r="P20" i="51"/>
  <c r="O20" i="51"/>
  <c r="Q20" i="51" s="1"/>
  <c r="M20" i="51"/>
  <c r="H20" i="51"/>
  <c r="C20" i="51"/>
  <c r="AB19" i="51"/>
  <c r="AD19" i="51" s="1"/>
  <c r="Y19" i="51"/>
  <c r="X19" i="51"/>
  <c r="P19" i="51"/>
  <c r="O19" i="51"/>
  <c r="Q19" i="51" s="1"/>
  <c r="M19" i="51"/>
  <c r="J19" i="51"/>
  <c r="H19" i="51"/>
  <c r="C19" i="51"/>
  <c r="AB18" i="51"/>
  <c r="AD18" i="51" s="1"/>
  <c r="J18" i="51" s="1"/>
  <c r="Y18" i="51"/>
  <c r="X18" i="51"/>
  <c r="Q18" i="51"/>
  <c r="P18" i="51"/>
  <c r="O18" i="51"/>
  <c r="M18" i="51"/>
  <c r="H18" i="51"/>
  <c r="C18" i="51"/>
  <c r="AB17" i="51"/>
  <c r="AD17" i="51" s="1"/>
  <c r="J17" i="51" s="1"/>
  <c r="Y17" i="51"/>
  <c r="X17" i="51"/>
  <c r="P17" i="51"/>
  <c r="O17" i="51"/>
  <c r="Q17" i="51" s="1"/>
  <c r="M17" i="51"/>
  <c r="H17" i="51"/>
  <c r="C17" i="51"/>
  <c r="AB16" i="51"/>
  <c r="AD16" i="51" s="1"/>
  <c r="J16" i="51" s="1"/>
  <c r="K16" i="51" s="1"/>
  <c r="Y16" i="51"/>
  <c r="X16" i="51"/>
  <c r="Q16" i="51"/>
  <c r="P16" i="51"/>
  <c r="O16" i="51"/>
  <c r="M16" i="51"/>
  <c r="I16" i="51"/>
  <c r="H16" i="51"/>
  <c r="C16" i="51"/>
  <c r="AB15" i="51"/>
  <c r="AD15" i="51" s="1"/>
  <c r="J15" i="51" s="1"/>
  <c r="Y15" i="51"/>
  <c r="X15" i="51"/>
  <c r="P15" i="51"/>
  <c r="Q15" i="51" s="1"/>
  <c r="O15" i="51"/>
  <c r="M15" i="51"/>
  <c r="H15" i="51"/>
  <c r="C15" i="51"/>
  <c r="AD14" i="51"/>
  <c r="J14" i="51" s="1"/>
  <c r="I14" i="51" s="1"/>
  <c r="AB14" i="51"/>
  <c r="Y14" i="51"/>
  <c r="X14" i="51"/>
  <c r="P14" i="51"/>
  <c r="O14" i="51"/>
  <c r="Q14" i="51" s="1"/>
  <c r="M14" i="51"/>
  <c r="H14" i="51"/>
  <c r="C14" i="51"/>
  <c r="AB13" i="51"/>
  <c r="AD13" i="51" s="1"/>
  <c r="J13" i="51" s="1"/>
  <c r="Y13" i="51"/>
  <c r="X13" i="51"/>
  <c r="P13" i="51"/>
  <c r="O13" i="51"/>
  <c r="Q13" i="51" s="1"/>
  <c r="M13" i="51"/>
  <c r="H13" i="51"/>
  <c r="C13" i="51"/>
  <c r="AD12" i="51"/>
  <c r="J12" i="51" s="1"/>
  <c r="AB12" i="51"/>
  <c r="Y12" i="51"/>
  <c r="X12" i="51"/>
  <c r="P12" i="51"/>
  <c r="O12" i="51"/>
  <c r="Q12" i="51" s="1"/>
  <c r="M12" i="51"/>
  <c r="H12" i="51"/>
  <c r="C12" i="51"/>
  <c r="AB11" i="51"/>
  <c r="AD11" i="51" s="1"/>
  <c r="J11" i="51" s="1"/>
  <c r="Y11" i="51"/>
  <c r="X11" i="51"/>
  <c r="P11" i="51"/>
  <c r="O11" i="51"/>
  <c r="Q11" i="51" s="1"/>
  <c r="M11" i="51"/>
  <c r="H11" i="51"/>
  <c r="C11" i="51"/>
  <c r="AB10" i="51"/>
  <c r="AD10" i="51" s="1"/>
  <c r="J10" i="51" s="1"/>
  <c r="Y10" i="51"/>
  <c r="X10" i="51"/>
  <c r="Q10" i="51"/>
  <c r="P10" i="51"/>
  <c r="O10" i="51"/>
  <c r="M10" i="51"/>
  <c r="H10" i="51"/>
  <c r="C10" i="51"/>
  <c r="AB9" i="51"/>
  <c r="AD9" i="51" s="1"/>
  <c r="J9" i="51" s="1"/>
  <c r="Y9" i="51"/>
  <c r="X9" i="51"/>
  <c r="P9" i="51"/>
  <c r="O9" i="51"/>
  <c r="Q9" i="51" s="1"/>
  <c r="M9" i="51"/>
  <c r="H9" i="51"/>
  <c r="C9" i="51"/>
  <c r="AB8" i="51"/>
  <c r="AD8" i="51" s="1"/>
  <c r="J8" i="51" s="1"/>
  <c r="Y8" i="51"/>
  <c r="X8" i="51"/>
  <c r="Q8" i="51"/>
  <c r="P8" i="51"/>
  <c r="O8" i="51"/>
  <c r="M8" i="51"/>
  <c r="H8" i="51"/>
  <c r="C8" i="51"/>
  <c r="AB7" i="51"/>
  <c r="AD7" i="51" s="1"/>
  <c r="J7" i="51" s="1"/>
  <c r="Y7" i="51"/>
  <c r="X7" i="51"/>
  <c r="P7" i="51"/>
  <c r="Q7" i="51" s="1"/>
  <c r="O7" i="51"/>
  <c r="M7" i="51"/>
  <c r="H7" i="51"/>
  <c r="C7" i="51"/>
  <c r="AD6" i="51"/>
  <c r="J6" i="51" s="1"/>
  <c r="I6" i="51" s="1"/>
  <c r="AB6" i="51"/>
  <c r="Y6" i="51"/>
  <c r="X6" i="51"/>
  <c r="P6" i="51"/>
  <c r="O6" i="51"/>
  <c r="Q6" i="51" s="1"/>
  <c r="M6" i="51"/>
  <c r="K6" i="51"/>
  <c r="H6" i="51"/>
  <c r="C6" i="51"/>
  <c r="AB5" i="51"/>
  <c r="AD5" i="51" s="1"/>
  <c r="J5" i="51" s="1"/>
  <c r="Y5" i="51"/>
  <c r="X5" i="51"/>
  <c r="P5" i="51"/>
  <c r="O5" i="51"/>
  <c r="Q5" i="51" s="1"/>
  <c r="M5" i="51"/>
  <c r="H5" i="51"/>
  <c r="C5" i="51"/>
  <c r="AD4" i="51"/>
  <c r="AB4" i="51"/>
  <c r="Y4" i="51"/>
  <c r="X4" i="51"/>
  <c r="P4" i="51"/>
  <c r="O4" i="51"/>
  <c r="Q4" i="51" s="1"/>
  <c r="M4" i="51"/>
  <c r="H4" i="51"/>
  <c r="C4" i="51"/>
  <c r="AG3" i="51"/>
  <c r="AF3" i="51"/>
  <c r="W3" i="51"/>
  <c r="V3" i="51"/>
  <c r="U3" i="51"/>
  <c r="T3" i="51"/>
  <c r="O3" i="51"/>
  <c r="G3" i="51"/>
  <c r="H3" i="51" s="1"/>
  <c r="F3" i="51"/>
  <c r="D3" i="51"/>
  <c r="X3" i="51" s="1"/>
  <c r="C3" i="51"/>
  <c r="A2" i="51"/>
  <c r="A1" i="51"/>
  <c r="AD32" i="50"/>
  <c r="AB32" i="50"/>
  <c r="Y32" i="50"/>
  <c r="X32" i="50"/>
  <c r="V32" i="50"/>
  <c r="U32" i="50"/>
  <c r="T32" i="50"/>
  <c r="P32" i="50"/>
  <c r="O32" i="50"/>
  <c r="Q32" i="50" s="1"/>
  <c r="M32" i="50"/>
  <c r="J32" i="50"/>
  <c r="K32" i="50" s="1"/>
  <c r="I32" i="50"/>
  <c r="H32" i="50"/>
  <c r="C32" i="50"/>
  <c r="AB31" i="50"/>
  <c r="AD31" i="50" s="1"/>
  <c r="J31" i="50" s="1"/>
  <c r="Y31" i="50"/>
  <c r="X31" i="50"/>
  <c r="P31" i="50"/>
  <c r="Q31" i="50" s="1"/>
  <c r="O31" i="50"/>
  <c r="M31" i="50"/>
  <c r="H31" i="50"/>
  <c r="C31" i="50"/>
  <c r="AD30" i="50"/>
  <c r="J30" i="50" s="1"/>
  <c r="I30" i="50" s="1"/>
  <c r="AB30" i="50"/>
  <c r="Y30" i="50"/>
  <c r="X30" i="50"/>
  <c r="P30" i="50"/>
  <c r="O30" i="50"/>
  <c r="Q30" i="50" s="1"/>
  <c r="M30" i="50"/>
  <c r="K30" i="50"/>
  <c r="H30" i="50"/>
  <c r="C30" i="50"/>
  <c r="AB29" i="50"/>
  <c r="AD29" i="50" s="1"/>
  <c r="J29" i="50" s="1"/>
  <c r="Y29" i="50"/>
  <c r="X29" i="50"/>
  <c r="P29" i="50"/>
  <c r="O29" i="50"/>
  <c r="Q29" i="50" s="1"/>
  <c r="M29" i="50"/>
  <c r="H29" i="50"/>
  <c r="C29" i="50"/>
  <c r="AD28" i="50"/>
  <c r="J28" i="50" s="1"/>
  <c r="AB28" i="50"/>
  <c r="Y28" i="50"/>
  <c r="X28" i="50"/>
  <c r="P28" i="50"/>
  <c r="O28" i="50"/>
  <c r="Q28" i="50" s="1"/>
  <c r="M28" i="50"/>
  <c r="H28" i="50"/>
  <c r="C28" i="50"/>
  <c r="AB27" i="50"/>
  <c r="AD27" i="50" s="1"/>
  <c r="J27" i="50" s="1"/>
  <c r="Y27" i="50"/>
  <c r="X27" i="50"/>
  <c r="P27" i="50"/>
  <c r="O27" i="50"/>
  <c r="Q27" i="50" s="1"/>
  <c r="M27" i="50"/>
  <c r="H27" i="50"/>
  <c r="C27" i="50"/>
  <c r="AB26" i="50"/>
  <c r="AD26" i="50" s="1"/>
  <c r="J26" i="50" s="1"/>
  <c r="Y26" i="50"/>
  <c r="X26" i="50"/>
  <c r="Q26" i="50"/>
  <c r="P26" i="50"/>
  <c r="O26" i="50"/>
  <c r="M26" i="50"/>
  <c r="H26" i="50"/>
  <c r="C26" i="50"/>
  <c r="AB25" i="50"/>
  <c r="AD25" i="50" s="1"/>
  <c r="J25" i="50" s="1"/>
  <c r="Y25" i="50"/>
  <c r="X25" i="50"/>
  <c r="P25" i="50"/>
  <c r="O25" i="50"/>
  <c r="Q25" i="50" s="1"/>
  <c r="M25" i="50"/>
  <c r="H25" i="50"/>
  <c r="C25" i="50"/>
  <c r="AD24" i="50"/>
  <c r="J24" i="50" s="1"/>
  <c r="K24" i="50" s="1"/>
  <c r="AB24" i="50"/>
  <c r="Y24" i="50"/>
  <c r="X24" i="50"/>
  <c r="P24" i="50"/>
  <c r="O24" i="50"/>
  <c r="Q24" i="50" s="1"/>
  <c r="M24" i="50"/>
  <c r="I24" i="50"/>
  <c r="H24" i="50"/>
  <c r="C24" i="50"/>
  <c r="AB23" i="50"/>
  <c r="AD23" i="50" s="1"/>
  <c r="J23" i="50" s="1"/>
  <c r="Y23" i="50"/>
  <c r="X23" i="50"/>
  <c r="P23" i="50"/>
  <c r="Q23" i="50" s="1"/>
  <c r="O23" i="50"/>
  <c r="M23" i="50"/>
  <c r="H23" i="50"/>
  <c r="C23" i="50"/>
  <c r="AD22" i="50"/>
  <c r="J22" i="50" s="1"/>
  <c r="I22" i="50" s="1"/>
  <c r="AB22" i="50"/>
  <c r="Y22" i="50"/>
  <c r="X22" i="50"/>
  <c r="P22" i="50"/>
  <c r="O22" i="50"/>
  <c r="Q22" i="50" s="1"/>
  <c r="M22" i="50"/>
  <c r="K22" i="50"/>
  <c r="H22" i="50"/>
  <c r="C22" i="50"/>
  <c r="AB21" i="50"/>
  <c r="AD21" i="50" s="1"/>
  <c r="J21" i="50" s="1"/>
  <c r="Y21" i="50"/>
  <c r="X21" i="50"/>
  <c r="P21" i="50"/>
  <c r="Q21" i="50" s="1"/>
  <c r="O21" i="50"/>
  <c r="M21" i="50"/>
  <c r="H21" i="50"/>
  <c r="C21" i="50"/>
  <c r="AD20" i="50"/>
  <c r="J20" i="50" s="1"/>
  <c r="AB20" i="50"/>
  <c r="Y20" i="50"/>
  <c r="X20" i="50"/>
  <c r="P20" i="50"/>
  <c r="O20" i="50"/>
  <c r="Q20" i="50" s="1"/>
  <c r="M20" i="50"/>
  <c r="H20" i="50"/>
  <c r="C20" i="50"/>
  <c r="AB19" i="50"/>
  <c r="AD19" i="50" s="1"/>
  <c r="J19" i="50" s="1"/>
  <c r="Y19" i="50"/>
  <c r="X19" i="50"/>
  <c r="P19" i="50"/>
  <c r="O19" i="50"/>
  <c r="Q19" i="50" s="1"/>
  <c r="M19" i="50"/>
  <c r="H19" i="50"/>
  <c r="C19" i="50"/>
  <c r="AD18" i="50"/>
  <c r="J18" i="50" s="1"/>
  <c r="AB18" i="50"/>
  <c r="Y18" i="50"/>
  <c r="X18" i="50"/>
  <c r="Q18" i="50"/>
  <c r="P18" i="50"/>
  <c r="O18" i="50"/>
  <c r="M18" i="50"/>
  <c r="H18" i="50"/>
  <c r="C18" i="50"/>
  <c r="AB17" i="50"/>
  <c r="AD17" i="50" s="1"/>
  <c r="J17" i="50" s="1"/>
  <c r="Y17" i="50"/>
  <c r="X17" i="50"/>
  <c r="P17" i="50"/>
  <c r="O17" i="50"/>
  <c r="Q17" i="50" s="1"/>
  <c r="M17" i="50"/>
  <c r="H17" i="50"/>
  <c r="C17" i="50"/>
  <c r="AB16" i="50"/>
  <c r="AD16" i="50" s="1"/>
  <c r="J16" i="50" s="1"/>
  <c r="K16" i="50" s="1"/>
  <c r="Y16" i="50"/>
  <c r="X16" i="50"/>
  <c r="P16" i="50"/>
  <c r="O16" i="50"/>
  <c r="Q16" i="50" s="1"/>
  <c r="M16" i="50"/>
  <c r="I16" i="50"/>
  <c r="H16" i="50"/>
  <c r="C16" i="50"/>
  <c r="AB15" i="50"/>
  <c r="AD15" i="50" s="1"/>
  <c r="J15" i="50" s="1"/>
  <c r="Y15" i="50"/>
  <c r="X15" i="50"/>
  <c r="P15" i="50"/>
  <c r="Q15" i="50" s="1"/>
  <c r="O15" i="50"/>
  <c r="M15" i="50"/>
  <c r="H15" i="50"/>
  <c r="C15" i="50"/>
  <c r="AD14" i="50"/>
  <c r="J14" i="50" s="1"/>
  <c r="AB14" i="50"/>
  <c r="Y14" i="50"/>
  <c r="X14" i="50"/>
  <c r="P14" i="50"/>
  <c r="O14" i="50"/>
  <c r="Q14" i="50" s="1"/>
  <c r="M14" i="50"/>
  <c r="H14" i="50"/>
  <c r="C14" i="50"/>
  <c r="AB13" i="50"/>
  <c r="AD13" i="50" s="1"/>
  <c r="J13" i="50" s="1"/>
  <c r="Y13" i="50"/>
  <c r="X13" i="50"/>
  <c r="P13" i="50"/>
  <c r="Q13" i="50" s="1"/>
  <c r="O13" i="50"/>
  <c r="M13" i="50"/>
  <c r="H13" i="50"/>
  <c r="C13" i="50"/>
  <c r="AD12" i="50"/>
  <c r="J12" i="50" s="1"/>
  <c r="AB12" i="50"/>
  <c r="Y12" i="50"/>
  <c r="X12" i="50"/>
  <c r="P12" i="50"/>
  <c r="O12" i="50"/>
  <c r="Q12" i="50" s="1"/>
  <c r="M12" i="50"/>
  <c r="H12" i="50"/>
  <c r="C12" i="50"/>
  <c r="AB11" i="50"/>
  <c r="AD11" i="50" s="1"/>
  <c r="Y11" i="50"/>
  <c r="X11" i="50"/>
  <c r="P11" i="50"/>
  <c r="O11" i="50"/>
  <c r="Q11" i="50" s="1"/>
  <c r="M11" i="50"/>
  <c r="J11" i="50"/>
  <c r="H11" i="50"/>
  <c r="C11" i="50"/>
  <c r="AD10" i="50"/>
  <c r="J10" i="50" s="1"/>
  <c r="AB10" i="50"/>
  <c r="Y10" i="50"/>
  <c r="X10" i="50"/>
  <c r="Q10" i="50"/>
  <c r="P10" i="50"/>
  <c r="O10" i="50"/>
  <c r="M10" i="50"/>
  <c r="H10" i="50"/>
  <c r="C10" i="50"/>
  <c r="AB9" i="50"/>
  <c r="AD9" i="50" s="1"/>
  <c r="J9" i="50" s="1"/>
  <c r="Y9" i="50"/>
  <c r="X9" i="50"/>
  <c r="P9" i="50"/>
  <c r="O9" i="50"/>
  <c r="Q9" i="50" s="1"/>
  <c r="M9" i="50"/>
  <c r="H9" i="50"/>
  <c r="C9" i="50"/>
  <c r="AB8" i="50"/>
  <c r="AD8" i="50" s="1"/>
  <c r="J8" i="50" s="1"/>
  <c r="K8" i="50" s="1"/>
  <c r="Y8" i="50"/>
  <c r="X8" i="50"/>
  <c r="P8" i="50"/>
  <c r="O8" i="50"/>
  <c r="Q8" i="50" s="1"/>
  <c r="M8" i="50"/>
  <c r="H8" i="50"/>
  <c r="C8" i="50"/>
  <c r="AB7" i="50"/>
  <c r="AD7" i="50" s="1"/>
  <c r="J7" i="50" s="1"/>
  <c r="Y7" i="50"/>
  <c r="X7" i="50"/>
  <c r="P7" i="50"/>
  <c r="Q7" i="50" s="1"/>
  <c r="O7" i="50"/>
  <c r="M7" i="50"/>
  <c r="H7" i="50"/>
  <c r="C7" i="50"/>
  <c r="AD6" i="50"/>
  <c r="J6" i="50" s="1"/>
  <c r="I6" i="50" s="1"/>
  <c r="AB6" i="50"/>
  <c r="Y6" i="50"/>
  <c r="X6" i="50"/>
  <c r="P6" i="50"/>
  <c r="O6" i="50"/>
  <c r="Q6" i="50" s="1"/>
  <c r="M6" i="50"/>
  <c r="H6" i="50"/>
  <c r="C6" i="50"/>
  <c r="AB5" i="50"/>
  <c r="AD5" i="50" s="1"/>
  <c r="J5" i="50" s="1"/>
  <c r="Y5" i="50"/>
  <c r="X5" i="50"/>
  <c r="P5" i="50"/>
  <c r="O5" i="50"/>
  <c r="Q5" i="50" s="1"/>
  <c r="M5" i="50"/>
  <c r="H5" i="50"/>
  <c r="C5" i="50"/>
  <c r="AD4" i="50"/>
  <c r="AB4" i="50"/>
  <c r="Y4" i="50"/>
  <c r="X4" i="50"/>
  <c r="P4" i="50"/>
  <c r="O4" i="50"/>
  <c r="Q4" i="50" s="1"/>
  <c r="M4" i="50"/>
  <c r="H4" i="50"/>
  <c r="C4" i="50"/>
  <c r="AG3" i="50"/>
  <c r="AF3" i="50"/>
  <c r="W3" i="50"/>
  <c r="V3" i="50"/>
  <c r="U3" i="50"/>
  <c r="T3" i="50"/>
  <c r="O3" i="50"/>
  <c r="G3" i="50"/>
  <c r="H3" i="50" s="1"/>
  <c r="F3" i="50"/>
  <c r="D3" i="50"/>
  <c r="X3" i="50" s="1"/>
  <c r="C3" i="50"/>
  <c r="A2" i="50"/>
  <c r="A1" i="50"/>
  <c r="AD32" i="49"/>
  <c r="AB32" i="49"/>
  <c r="Y32" i="49"/>
  <c r="X32" i="49"/>
  <c r="V32" i="49"/>
  <c r="U32" i="49"/>
  <c r="T32" i="49"/>
  <c r="P32" i="49"/>
  <c r="O32" i="49"/>
  <c r="Q32" i="49" s="1"/>
  <c r="M32" i="49"/>
  <c r="J32" i="49"/>
  <c r="K32" i="49" s="1"/>
  <c r="I32" i="49"/>
  <c r="H32" i="49"/>
  <c r="C32" i="49"/>
  <c r="AB31" i="49"/>
  <c r="AD31" i="49" s="1"/>
  <c r="J31" i="49" s="1"/>
  <c r="Y31" i="49"/>
  <c r="X31" i="49"/>
  <c r="P31" i="49"/>
  <c r="Q31" i="49" s="1"/>
  <c r="O31" i="49"/>
  <c r="M31" i="49"/>
  <c r="H31" i="49"/>
  <c r="C31" i="49"/>
  <c r="AD30" i="49"/>
  <c r="J30" i="49" s="1"/>
  <c r="I30" i="49" s="1"/>
  <c r="AB30" i="49"/>
  <c r="Y30" i="49"/>
  <c r="X30" i="49"/>
  <c r="P30" i="49"/>
  <c r="O30" i="49"/>
  <c r="Q30" i="49" s="1"/>
  <c r="M30" i="49"/>
  <c r="H30" i="49"/>
  <c r="C30" i="49"/>
  <c r="AB29" i="49"/>
  <c r="AD29" i="49" s="1"/>
  <c r="J29" i="49" s="1"/>
  <c r="Y29" i="49"/>
  <c r="X29" i="49"/>
  <c r="P29" i="49"/>
  <c r="O29" i="49"/>
  <c r="Q29" i="49" s="1"/>
  <c r="M29" i="49"/>
  <c r="H29" i="49"/>
  <c r="C29" i="49"/>
  <c r="AD28" i="49"/>
  <c r="J28" i="49" s="1"/>
  <c r="AB28" i="49"/>
  <c r="Y28" i="49"/>
  <c r="X28" i="49"/>
  <c r="P28" i="49"/>
  <c r="O28" i="49"/>
  <c r="Q28" i="49" s="1"/>
  <c r="M28" i="49"/>
  <c r="H28" i="49"/>
  <c r="C28" i="49"/>
  <c r="AB27" i="49"/>
  <c r="AD27" i="49" s="1"/>
  <c r="Y27" i="49"/>
  <c r="X27" i="49"/>
  <c r="P27" i="49"/>
  <c r="O27" i="49"/>
  <c r="Q27" i="49" s="1"/>
  <c r="M27" i="49"/>
  <c r="J27" i="49"/>
  <c r="H27" i="49"/>
  <c r="C27" i="49"/>
  <c r="AD26" i="49"/>
  <c r="J26" i="49" s="1"/>
  <c r="AB26" i="49"/>
  <c r="Y26" i="49"/>
  <c r="X26" i="49"/>
  <c r="Q26" i="49"/>
  <c r="P26" i="49"/>
  <c r="O26" i="49"/>
  <c r="M26" i="49"/>
  <c r="H26" i="49"/>
  <c r="C26" i="49"/>
  <c r="AB25" i="49"/>
  <c r="AD25" i="49" s="1"/>
  <c r="J25" i="49" s="1"/>
  <c r="Y25" i="49"/>
  <c r="X25" i="49"/>
  <c r="P25" i="49"/>
  <c r="O25" i="49"/>
  <c r="Q25" i="49" s="1"/>
  <c r="M25" i="49"/>
  <c r="H25" i="49"/>
  <c r="C25" i="49"/>
  <c r="AB24" i="49"/>
  <c r="AD24" i="49" s="1"/>
  <c r="J24" i="49" s="1"/>
  <c r="K24" i="49" s="1"/>
  <c r="Y24" i="49"/>
  <c r="X24" i="49"/>
  <c r="P24" i="49"/>
  <c r="O24" i="49"/>
  <c r="Q24" i="49" s="1"/>
  <c r="M24" i="49"/>
  <c r="H24" i="49"/>
  <c r="C24" i="49"/>
  <c r="AB23" i="49"/>
  <c r="AD23" i="49" s="1"/>
  <c r="J23" i="49" s="1"/>
  <c r="Y23" i="49"/>
  <c r="X23" i="49"/>
  <c r="P23" i="49"/>
  <c r="Q23" i="49" s="1"/>
  <c r="O23" i="49"/>
  <c r="M23" i="49"/>
  <c r="H23" i="49"/>
  <c r="C23" i="49"/>
  <c r="AD22" i="49"/>
  <c r="J22" i="49" s="1"/>
  <c r="I22" i="49" s="1"/>
  <c r="AB22" i="49"/>
  <c r="Y22" i="49"/>
  <c r="X22" i="49"/>
  <c r="P22" i="49"/>
  <c r="O22" i="49"/>
  <c r="Q22" i="49" s="1"/>
  <c r="M22" i="49"/>
  <c r="H22" i="49"/>
  <c r="C22" i="49"/>
  <c r="AB21" i="49"/>
  <c r="AD21" i="49" s="1"/>
  <c r="J21" i="49" s="1"/>
  <c r="Y21" i="49"/>
  <c r="X21" i="49"/>
  <c r="P21" i="49"/>
  <c r="Q21" i="49" s="1"/>
  <c r="O21" i="49"/>
  <c r="M21" i="49"/>
  <c r="H21" i="49"/>
  <c r="C21" i="49"/>
  <c r="AD20" i="49"/>
  <c r="J20" i="49" s="1"/>
  <c r="AB20" i="49"/>
  <c r="Y20" i="49"/>
  <c r="X20" i="49"/>
  <c r="P20" i="49"/>
  <c r="O20" i="49"/>
  <c r="Q20" i="49" s="1"/>
  <c r="M20" i="49"/>
  <c r="H20" i="49"/>
  <c r="C20" i="49"/>
  <c r="AB19" i="49"/>
  <c r="AD19" i="49" s="1"/>
  <c r="J19" i="49" s="1"/>
  <c r="Y19" i="49"/>
  <c r="X19" i="49"/>
  <c r="P19" i="49"/>
  <c r="O19" i="49"/>
  <c r="Q19" i="49" s="1"/>
  <c r="M19" i="49"/>
  <c r="H19" i="49"/>
  <c r="C19" i="49"/>
  <c r="AD18" i="49"/>
  <c r="J18" i="49" s="1"/>
  <c r="AB18" i="49"/>
  <c r="Y18" i="49"/>
  <c r="X18" i="49"/>
  <c r="Q18" i="49"/>
  <c r="P18" i="49"/>
  <c r="O18" i="49"/>
  <c r="M18" i="49"/>
  <c r="H18" i="49"/>
  <c r="C18" i="49"/>
  <c r="AB17" i="49"/>
  <c r="AD17" i="49" s="1"/>
  <c r="J17" i="49" s="1"/>
  <c r="Y17" i="49"/>
  <c r="X17" i="49"/>
  <c r="P17" i="49"/>
  <c r="O17" i="49"/>
  <c r="Q17" i="49" s="1"/>
  <c r="M17" i="49"/>
  <c r="H17" i="49"/>
  <c r="C17" i="49"/>
  <c r="AB16" i="49"/>
  <c r="AD16" i="49" s="1"/>
  <c r="J16" i="49" s="1"/>
  <c r="K16" i="49" s="1"/>
  <c r="Y16" i="49"/>
  <c r="X16" i="49"/>
  <c r="P16" i="49"/>
  <c r="O16" i="49"/>
  <c r="Q16" i="49" s="1"/>
  <c r="M16" i="49"/>
  <c r="H16" i="49"/>
  <c r="C16" i="49"/>
  <c r="AB15" i="49"/>
  <c r="AD15" i="49" s="1"/>
  <c r="J15" i="49" s="1"/>
  <c r="Y15" i="49"/>
  <c r="X15" i="49"/>
  <c r="P15" i="49"/>
  <c r="Q15" i="49" s="1"/>
  <c r="O15" i="49"/>
  <c r="M15" i="49"/>
  <c r="H15" i="49"/>
  <c r="C15" i="49"/>
  <c r="AD14" i="49"/>
  <c r="J14" i="49" s="1"/>
  <c r="I14" i="49" s="1"/>
  <c r="AB14" i="49"/>
  <c r="Y14" i="49"/>
  <c r="X14" i="49"/>
  <c r="P14" i="49"/>
  <c r="O14" i="49"/>
  <c r="Q14" i="49" s="1"/>
  <c r="M14" i="49"/>
  <c r="H14" i="49"/>
  <c r="C14" i="49"/>
  <c r="AB13" i="49"/>
  <c r="AD13" i="49" s="1"/>
  <c r="J13" i="49" s="1"/>
  <c r="Y13" i="49"/>
  <c r="X13" i="49"/>
  <c r="P13" i="49"/>
  <c r="O13" i="49"/>
  <c r="Q13" i="49" s="1"/>
  <c r="M13" i="49"/>
  <c r="H13" i="49"/>
  <c r="C13" i="49"/>
  <c r="AD12" i="49"/>
  <c r="J12" i="49" s="1"/>
  <c r="AB12" i="49"/>
  <c r="Y12" i="49"/>
  <c r="X12" i="49"/>
  <c r="P12" i="49"/>
  <c r="O12" i="49"/>
  <c r="Q12" i="49" s="1"/>
  <c r="M12" i="49"/>
  <c r="H12" i="49"/>
  <c r="C12" i="49"/>
  <c r="AB11" i="49"/>
  <c r="AD11" i="49" s="1"/>
  <c r="J11" i="49" s="1"/>
  <c r="Y11" i="49"/>
  <c r="X11" i="49"/>
  <c r="P11" i="49"/>
  <c r="O11" i="49"/>
  <c r="Q11" i="49" s="1"/>
  <c r="M11" i="49"/>
  <c r="H11" i="49"/>
  <c r="C11" i="49"/>
  <c r="AD10" i="49"/>
  <c r="J10" i="49" s="1"/>
  <c r="AB10" i="49"/>
  <c r="Y10" i="49"/>
  <c r="X10" i="49"/>
  <c r="Q10" i="49"/>
  <c r="P10" i="49"/>
  <c r="O10" i="49"/>
  <c r="M10" i="49"/>
  <c r="H10" i="49"/>
  <c r="C10" i="49"/>
  <c r="AB9" i="49"/>
  <c r="AD9" i="49" s="1"/>
  <c r="J9" i="49" s="1"/>
  <c r="Y9" i="49"/>
  <c r="X9" i="49"/>
  <c r="P9" i="49"/>
  <c r="O9" i="49"/>
  <c r="Q9" i="49" s="1"/>
  <c r="M9" i="49"/>
  <c r="H9" i="49"/>
  <c r="C9" i="49"/>
  <c r="AB8" i="49"/>
  <c r="AD8" i="49" s="1"/>
  <c r="J8" i="49" s="1"/>
  <c r="K8" i="49" s="1"/>
  <c r="Y8" i="49"/>
  <c r="X8" i="49"/>
  <c r="P8" i="49"/>
  <c r="O8" i="49"/>
  <c r="Q8" i="49" s="1"/>
  <c r="M8" i="49"/>
  <c r="I8" i="49"/>
  <c r="H8" i="49"/>
  <c r="C8" i="49"/>
  <c r="AB7" i="49"/>
  <c r="AD7" i="49" s="1"/>
  <c r="J7" i="49" s="1"/>
  <c r="Y7" i="49"/>
  <c r="X7" i="49"/>
  <c r="P7" i="49"/>
  <c r="Q7" i="49" s="1"/>
  <c r="O7" i="49"/>
  <c r="M7" i="49"/>
  <c r="H7" i="49"/>
  <c r="C7" i="49"/>
  <c r="AD6" i="49"/>
  <c r="J6" i="49" s="1"/>
  <c r="I6" i="49" s="1"/>
  <c r="AB6" i="49"/>
  <c r="Y6" i="49"/>
  <c r="X6" i="49"/>
  <c r="P6" i="49"/>
  <c r="O6" i="49"/>
  <c r="Q6" i="49" s="1"/>
  <c r="M6" i="49"/>
  <c r="H6" i="49"/>
  <c r="C6" i="49"/>
  <c r="AB5" i="49"/>
  <c r="AD5" i="49" s="1"/>
  <c r="J5" i="49" s="1"/>
  <c r="Y5" i="49"/>
  <c r="X5" i="49"/>
  <c r="P5" i="49"/>
  <c r="Q5" i="49" s="1"/>
  <c r="O5" i="49"/>
  <c r="M5" i="49"/>
  <c r="H5" i="49"/>
  <c r="C5" i="49"/>
  <c r="AD4" i="49"/>
  <c r="AB4" i="49"/>
  <c r="Y4" i="49"/>
  <c r="X4" i="49"/>
  <c r="P4" i="49"/>
  <c r="O4" i="49"/>
  <c r="Q4" i="49" s="1"/>
  <c r="M4" i="49"/>
  <c r="H4" i="49"/>
  <c r="C4" i="49"/>
  <c r="AG3" i="49"/>
  <c r="AF3" i="49"/>
  <c r="W3" i="49"/>
  <c r="V3" i="49"/>
  <c r="U3" i="49"/>
  <c r="T3" i="49"/>
  <c r="O3" i="49"/>
  <c r="G3" i="49"/>
  <c r="H3" i="49" s="1"/>
  <c r="F3" i="49"/>
  <c r="D3" i="49"/>
  <c r="X3" i="49" s="1"/>
  <c r="C3" i="49"/>
  <c r="A2" i="49"/>
  <c r="A1" i="49"/>
  <c r="AD32" i="48"/>
  <c r="AB32" i="48"/>
  <c r="Y32" i="48"/>
  <c r="X32" i="48"/>
  <c r="V32" i="48"/>
  <c r="U32" i="48"/>
  <c r="T32" i="48"/>
  <c r="P32" i="48"/>
  <c r="O32" i="48"/>
  <c r="Q32" i="48" s="1"/>
  <c r="M32" i="48"/>
  <c r="J32" i="48"/>
  <c r="H32" i="48"/>
  <c r="C32" i="48"/>
  <c r="AB31" i="48"/>
  <c r="AD31" i="48" s="1"/>
  <c r="J31" i="48" s="1"/>
  <c r="Y31" i="48"/>
  <c r="X31" i="48"/>
  <c r="P31" i="48"/>
  <c r="Q31" i="48" s="1"/>
  <c r="O31" i="48"/>
  <c r="M31" i="48"/>
  <c r="H31" i="48"/>
  <c r="C31" i="48"/>
  <c r="AD30" i="48"/>
  <c r="J30" i="48" s="1"/>
  <c r="I30" i="48" s="1"/>
  <c r="AB30" i="48"/>
  <c r="Y30" i="48"/>
  <c r="X30" i="48"/>
  <c r="P30" i="48"/>
  <c r="O30" i="48"/>
  <c r="Q30" i="48" s="1"/>
  <c r="M30" i="48"/>
  <c r="H30" i="48"/>
  <c r="C30" i="48"/>
  <c r="AB29" i="48"/>
  <c r="AD29" i="48" s="1"/>
  <c r="J29" i="48" s="1"/>
  <c r="K29" i="48" s="1"/>
  <c r="Y29" i="48"/>
  <c r="X29" i="48"/>
  <c r="P29" i="48"/>
  <c r="O29" i="48"/>
  <c r="Q29" i="48" s="1"/>
  <c r="M29" i="48"/>
  <c r="I29" i="48"/>
  <c r="H29" i="48"/>
  <c r="C29" i="48"/>
  <c r="AD28" i="48"/>
  <c r="J28" i="48" s="1"/>
  <c r="AB28" i="48"/>
  <c r="Y28" i="48"/>
  <c r="X28" i="48"/>
  <c r="P28" i="48"/>
  <c r="O28" i="48"/>
  <c r="Q28" i="48" s="1"/>
  <c r="M28" i="48"/>
  <c r="H28" i="48"/>
  <c r="C28" i="48"/>
  <c r="AD27" i="48"/>
  <c r="AB27" i="48"/>
  <c r="Y27" i="48"/>
  <c r="X27" i="48"/>
  <c r="P27" i="48"/>
  <c r="O27" i="48"/>
  <c r="Q27" i="48" s="1"/>
  <c r="M27" i="48"/>
  <c r="K27" i="48"/>
  <c r="J27" i="48"/>
  <c r="I27" i="48" s="1"/>
  <c r="H27" i="48"/>
  <c r="C27" i="48"/>
  <c r="AD26" i="48"/>
  <c r="J26" i="48" s="1"/>
  <c r="AB26" i="48"/>
  <c r="Y26" i="48"/>
  <c r="X26" i="48"/>
  <c r="Q26" i="48"/>
  <c r="P26" i="48"/>
  <c r="O26" i="48"/>
  <c r="M26" i="48"/>
  <c r="H26" i="48"/>
  <c r="C26" i="48"/>
  <c r="AB25" i="48"/>
  <c r="AD25" i="48" s="1"/>
  <c r="J25" i="48" s="1"/>
  <c r="Y25" i="48"/>
  <c r="X25" i="48"/>
  <c r="P25" i="48"/>
  <c r="O25" i="48"/>
  <c r="Q25" i="48" s="1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Q23" i="48" s="1"/>
  <c r="O23" i="48"/>
  <c r="M23" i="48"/>
  <c r="H23" i="48"/>
  <c r="C23" i="48"/>
  <c r="AD22" i="48"/>
  <c r="J22" i="48" s="1"/>
  <c r="I22" i="48" s="1"/>
  <c r="AB22" i="48"/>
  <c r="Y22" i="48"/>
  <c r="X22" i="48"/>
  <c r="P22" i="48"/>
  <c r="O22" i="48"/>
  <c r="Q22" i="48" s="1"/>
  <c r="M22" i="48"/>
  <c r="K22" i="48"/>
  <c r="H22" i="48"/>
  <c r="C22" i="48"/>
  <c r="AB21" i="48"/>
  <c r="AD21" i="48" s="1"/>
  <c r="J21" i="48" s="1"/>
  <c r="K21" i="48" s="1"/>
  <c r="Y21" i="48"/>
  <c r="X21" i="48"/>
  <c r="P21" i="48"/>
  <c r="O21" i="48"/>
  <c r="Q21" i="48" s="1"/>
  <c r="M21" i="48"/>
  <c r="I21" i="48"/>
  <c r="H21" i="48"/>
  <c r="C21" i="48"/>
  <c r="AD20" i="48"/>
  <c r="J20" i="48" s="1"/>
  <c r="AB20" i="48"/>
  <c r="Y20" i="48"/>
  <c r="X20" i="48"/>
  <c r="P20" i="48"/>
  <c r="O20" i="48"/>
  <c r="M20" i="48"/>
  <c r="H20" i="48"/>
  <c r="C20" i="48"/>
  <c r="AB19" i="48"/>
  <c r="AD19" i="48" s="1"/>
  <c r="J19" i="48" s="1"/>
  <c r="Y19" i="48"/>
  <c r="X19" i="48"/>
  <c r="P19" i="48"/>
  <c r="O19" i="48"/>
  <c r="Q19" i="48" s="1"/>
  <c r="M19" i="48"/>
  <c r="H19" i="48"/>
  <c r="C19" i="48"/>
  <c r="AD18" i="48"/>
  <c r="J18" i="48" s="1"/>
  <c r="AB18" i="48"/>
  <c r="Y18" i="48"/>
  <c r="X18" i="48"/>
  <c r="Q18" i="48"/>
  <c r="P18" i="48"/>
  <c r="O18" i="48"/>
  <c r="M18" i="48"/>
  <c r="H18" i="48"/>
  <c r="C18" i="48"/>
  <c r="AB17" i="48"/>
  <c r="AD17" i="48" s="1"/>
  <c r="J17" i="48" s="1"/>
  <c r="Y17" i="48"/>
  <c r="X17" i="48"/>
  <c r="P17" i="48"/>
  <c r="O17" i="48"/>
  <c r="Q17" i="48" s="1"/>
  <c r="M17" i="48"/>
  <c r="H17" i="48"/>
  <c r="C17" i="48"/>
  <c r="AB16" i="48"/>
  <c r="AD16" i="48" s="1"/>
  <c r="Y16" i="48"/>
  <c r="X16" i="48"/>
  <c r="P16" i="48"/>
  <c r="O16" i="48"/>
  <c r="Q16" i="48" s="1"/>
  <c r="M16" i="48"/>
  <c r="K16" i="48"/>
  <c r="J16" i="48"/>
  <c r="I16" i="48" s="1"/>
  <c r="H16" i="48"/>
  <c r="C16" i="48"/>
  <c r="AB15" i="48"/>
  <c r="AD15" i="48" s="1"/>
  <c r="J15" i="48" s="1"/>
  <c r="Y15" i="48"/>
  <c r="X15" i="48"/>
  <c r="Q15" i="48"/>
  <c r="P15" i="48"/>
  <c r="O15" i="48"/>
  <c r="M15" i="48"/>
  <c r="H15" i="48"/>
  <c r="C15" i="48"/>
  <c r="AD14" i="48"/>
  <c r="J14" i="48" s="1"/>
  <c r="I14" i="48" s="1"/>
  <c r="AB14" i="48"/>
  <c r="Y14" i="48"/>
  <c r="X14" i="48"/>
  <c r="P14" i="48"/>
  <c r="O14" i="48"/>
  <c r="Q14" i="48" s="1"/>
  <c r="M14" i="48"/>
  <c r="H14" i="48"/>
  <c r="C14" i="48"/>
  <c r="AB13" i="48"/>
  <c r="AD13" i="48" s="1"/>
  <c r="J13" i="48" s="1"/>
  <c r="Y13" i="48"/>
  <c r="X13" i="48"/>
  <c r="P13" i="48"/>
  <c r="Q13" i="48" s="1"/>
  <c r="O13" i="48"/>
  <c r="M13" i="48"/>
  <c r="H13" i="48"/>
  <c r="C13" i="48"/>
  <c r="AD12" i="48"/>
  <c r="J12" i="48" s="1"/>
  <c r="K12" i="48" s="1"/>
  <c r="AB12" i="48"/>
  <c r="Y12" i="48"/>
  <c r="X12" i="48"/>
  <c r="P12" i="48"/>
  <c r="O12" i="48"/>
  <c r="Q12" i="48" s="1"/>
  <c r="M12" i="48"/>
  <c r="I12" i="48"/>
  <c r="H12" i="48"/>
  <c r="C12" i="48"/>
  <c r="AB11" i="48"/>
  <c r="AD11" i="48" s="1"/>
  <c r="J11" i="48" s="1"/>
  <c r="Y11" i="48"/>
  <c r="X11" i="48"/>
  <c r="P11" i="48"/>
  <c r="O11" i="48"/>
  <c r="M11" i="48"/>
  <c r="H11" i="48"/>
  <c r="C11" i="48"/>
  <c r="AD10" i="48"/>
  <c r="J10" i="48" s="1"/>
  <c r="I10" i="48" s="1"/>
  <c r="AB10" i="48"/>
  <c r="Y10" i="48"/>
  <c r="X10" i="48"/>
  <c r="Q10" i="48"/>
  <c r="P10" i="48"/>
  <c r="O10" i="48"/>
  <c r="M10" i="48"/>
  <c r="K10" i="48"/>
  <c r="H10" i="48"/>
  <c r="C10" i="48"/>
  <c r="AB9" i="48"/>
  <c r="AD9" i="48" s="1"/>
  <c r="J9" i="48" s="1"/>
  <c r="Y9" i="48"/>
  <c r="X9" i="48"/>
  <c r="P9" i="48"/>
  <c r="O9" i="48"/>
  <c r="Q9" i="48" s="1"/>
  <c r="M9" i="48"/>
  <c r="H9" i="48"/>
  <c r="C9" i="48"/>
  <c r="AB8" i="48"/>
  <c r="AD8" i="48" s="1"/>
  <c r="J8" i="48" s="1"/>
  <c r="Y8" i="48"/>
  <c r="X8" i="48"/>
  <c r="P8" i="48"/>
  <c r="O8" i="48"/>
  <c r="Q8" i="48" s="1"/>
  <c r="M8" i="48"/>
  <c r="H8" i="48"/>
  <c r="C8" i="48"/>
  <c r="AB7" i="48"/>
  <c r="AD7" i="48" s="1"/>
  <c r="J7" i="48" s="1"/>
  <c r="Y7" i="48"/>
  <c r="X7" i="48"/>
  <c r="P7" i="48"/>
  <c r="Q7" i="48" s="1"/>
  <c r="O7" i="48"/>
  <c r="M7" i="48"/>
  <c r="H7" i="48"/>
  <c r="C7" i="48"/>
  <c r="AD6" i="48"/>
  <c r="J6" i="48" s="1"/>
  <c r="I6" i="48" s="1"/>
  <c r="AB6" i="48"/>
  <c r="Y6" i="48"/>
  <c r="X6" i="48"/>
  <c r="P6" i="48"/>
  <c r="O6" i="48"/>
  <c r="Q6" i="48" s="1"/>
  <c r="M6" i="48"/>
  <c r="K6" i="48"/>
  <c r="H6" i="48"/>
  <c r="C6" i="48"/>
  <c r="AB5" i="48"/>
  <c r="AD5" i="48" s="1"/>
  <c r="J5" i="48" s="1"/>
  <c r="Y5" i="48"/>
  <c r="X5" i="48"/>
  <c r="P5" i="48"/>
  <c r="Q5" i="48" s="1"/>
  <c r="O5" i="48"/>
  <c r="M5" i="48"/>
  <c r="H5" i="48"/>
  <c r="C5" i="48"/>
  <c r="AD4" i="48"/>
  <c r="AB4" i="48"/>
  <c r="Y4" i="48"/>
  <c r="X4" i="48"/>
  <c r="P4" i="48"/>
  <c r="O4" i="48"/>
  <c r="Q4" i="48" s="1"/>
  <c r="M4" i="48"/>
  <c r="H4" i="48"/>
  <c r="C4" i="48"/>
  <c r="AG3" i="48"/>
  <c r="AF3" i="48"/>
  <c r="W3" i="48"/>
  <c r="V3" i="48"/>
  <c r="U3" i="48"/>
  <c r="T3" i="48"/>
  <c r="O3" i="48"/>
  <c r="G3" i="48"/>
  <c r="F3" i="48"/>
  <c r="D3" i="48"/>
  <c r="X3" i="48" s="1"/>
  <c r="C3" i="48"/>
  <c r="A2" i="48"/>
  <c r="A1" i="48"/>
  <c r="AD32" i="47"/>
  <c r="AB32" i="47"/>
  <c r="Y32" i="47"/>
  <c r="X32" i="47"/>
  <c r="V32" i="47"/>
  <c r="U32" i="47"/>
  <c r="T32" i="47"/>
  <c r="Q32" i="47"/>
  <c r="P32" i="47"/>
  <c r="O32" i="47"/>
  <c r="M32" i="47"/>
  <c r="K32" i="47"/>
  <c r="J32" i="47"/>
  <c r="I32" i="47" s="1"/>
  <c r="H32" i="47"/>
  <c r="C32" i="47"/>
  <c r="AB31" i="47"/>
  <c r="AD31" i="47" s="1"/>
  <c r="Y31" i="47"/>
  <c r="X31" i="47"/>
  <c r="Q31" i="47"/>
  <c r="P31" i="47"/>
  <c r="O31" i="47"/>
  <c r="M31" i="47"/>
  <c r="J31" i="47"/>
  <c r="K31" i="47" s="1"/>
  <c r="H31" i="47"/>
  <c r="C31" i="47"/>
  <c r="AD30" i="47"/>
  <c r="J30" i="47" s="1"/>
  <c r="I30" i="47" s="1"/>
  <c r="AB30" i="47"/>
  <c r="Y30" i="47"/>
  <c r="X30" i="47"/>
  <c r="Q30" i="47"/>
  <c r="P30" i="47"/>
  <c r="O30" i="47"/>
  <c r="M30" i="47"/>
  <c r="K30" i="47"/>
  <c r="H30" i="47"/>
  <c r="C30" i="47"/>
  <c r="AD29" i="47"/>
  <c r="AB29" i="47"/>
  <c r="Y29" i="47"/>
  <c r="X29" i="47"/>
  <c r="P29" i="47"/>
  <c r="O29" i="47"/>
  <c r="M29" i="47"/>
  <c r="K29" i="47"/>
  <c r="J29" i="47"/>
  <c r="I29" i="47" s="1"/>
  <c r="H29" i="47"/>
  <c r="C29" i="47"/>
  <c r="AD28" i="47"/>
  <c r="J28" i="47" s="1"/>
  <c r="I28" i="47" s="1"/>
  <c r="AB28" i="47"/>
  <c r="Y28" i="47"/>
  <c r="X28" i="47"/>
  <c r="Q28" i="47"/>
  <c r="P28" i="47"/>
  <c r="O28" i="47"/>
  <c r="M28" i="47"/>
  <c r="K28" i="47"/>
  <c r="H28" i="47"/>
  <c r="C28" i="47"/>
  <c r="AD27" i="47"/>
  <c r="AB27" i="47"/>
  <c r="Y27" i="47"/>
  <c r="X27" i="47"/>
  <c r="P27" i="47"/>
  <c r="O27" i="47"/>
  <c r="M27" i="47"/>
  <c r="K27" i="47"/>
  <c r="J27" i="47"/>
  <c r="I27" i="47" s="1"/>
  <c r="H27" i="47"/>
  <c r="C27" i="47"/>
  <c r="AB26" i="47"/>
  <c r="AD26" i="47" s="1"/>
  <c r="J26" i="47" s="1"/>
  <c r="Y26" i="47"/>
  <c r="X26" i="47"/>
  <c r="Q26" i="47"/>
  <c r="P26" i="47"/>
  <c r="O26" i="47"/>
  <c r="M26" i="47"/>
  <c r="H26" i="47"/>
  <c r="C26" i="47"/>
  <c r="AB25" i="47"/>
  <c r="AD25" i="47" s="1"/>
  <c r="Y25" i="47"/>
  <c r="X25" i="47"/>
  <c r="P25" i="47"/>
  <c r="O25" i="47"/>
  <c r="Q25" i="47" s="1"/>
  <c r="M25" i="47"/>
  <c r="J25" i="47"/>
  <c r="H25" i="47"/>
  <c r="C25" i="47"/>
  <c r="AB24" i="47"/>
  <c r="AD24" i="47" s="1"/>
  <c r="J24" i="47" s="1"/>
  <c r="Y24" i="47"/>
  <c r="X24" i="47"/>
  <c r="P24" i="47"/>
  <c r="O24" i="47"/>
  <c r="Q24" i="47" s="1"/>
  <c r="M24" i="47"/>
  <c r="H24" i="47"/>
  <c r="C24" i="47"/>
  <c r="AB23" i="47"/>
  <c r="AD23" i="47" s="1"/>
  <c r="J23" i="47" s="1"/>
  <c r="K23" i="47" s="1"/>
  <c r="Y23" i="47"/>
  <c r="X23" i="47"/>
  <c r="P23" i="47"/>
  <c r="Q23" i="47" s="1"/>
  <c r="O23" i="47"/>
  <c r="M23" i="47"/>
  <c r="H23" i="47"/>
  <c r="C23" i="47"/>
  <c r="AD22" i="47"/>
  <c r="J22" i="47" s="1"/>
  <c r="AB22" i="47"/>
  <c r="Y22" i="47"/>
  <c r="X22" i="47"/>
  <c r="P22" i="47"/>
  <c r="O22" i="47"/>
  <c r="M22" i="47"/>
  <c r="K22" i="47"/>
  <c r="I22" i="47"/>
  <c r="H22" i="47"/>
  <c r="C22" i="47"/>
  <c r="AB21" i="47"/>
  <c r="AD21" i="47" s="1"/>
  <c r="J21" i="47" s="1"/>
  <c r="K21" i="47" s="1"/>
  <c r="Y21" i="47"/>
  <c r="X21" i="47"/>
  <c r="P21" i="47"/>
  <c r="O21" i="47"/>
  <c r="Q21" i="47" s="1"/>
  <c r="M21" i="47"/>
  <c r="I21" i="47"/>
  <c r="H21" i="47"/>
  <c r="C21" i="47"/>
  <c r="AD20" i="47"/>
  <c r="J20" i="47" s="1"/>
  <c r="AB20" i="47"/>
  <c r="Y20" i="47"/>
  <c r="X20" i="47"/>
  <c r="P20" i="47"/>
  <c r="O20" i="47"/>
  <c r="Q20" i="47" s="1"/>
  <c r="M20" i="47"/>
  <c r="K20" i="47"/>
  <c r="I20" i="47"/>
  <c r="H20" i="47"/>
  <c r="C20" i="47"/>
  <c r="AB19" i="47"/>
  <c r="AD19" i="47" s="1"/>
  <c r="J19" i="47" s="1"/>
  <c r="Y19" i="47"/>
  <c r="X19" i="47"/>
  <c r="P19" i="47"/>
  <c r="O19" i="47"/>
  <c r="Q19" i="47" s="1"/>
  <c r="M19" i="47"/>
  <c r="H19" i="47"/>
  <c r="C19" i="47"/>
  <c r="AB18" i="47"/>
  <c r="AD18" i="47" s="1"/>
  <c r="J18" i="47" s="1"/>
  <c r="Y18" i="47"/>
  <c r="X18" i="47"/>
  <c r="P18" i="47"/>
  <c r="O18" i="47"/>
  <c r="Q18" i="47" s="1"/>
  <c r="M18" i="47"/>
  <c r="H18" i="47"/>
  <c r="C18" i="47"/>
  <c r="AB17" i="47"/>
  <c r="AD17" i="47" s="1"/>
  <c r="Y17" i="47"/>
  <c r="X17" i="47"/>
  <c r="P17" i="47"/>
  <c r="O17" i="47"/>
  <c r="Q17" i="47" s="1"/>
  <c r="M17" i="47"/>
  <c r="J17" i="47"/>
  <c r="H17" i="47"/>
  <c r="C17" i="47"/>
  <c r="AD16" i="47"/>
  <c r="J16" i="47" s="1"/>
  <c r="AB16" i="47"/>
  <c r="Y16" i="47"/>
  <c r="X16" i="47"/>
  <c r="Q16" i="47"/>
  <c r="P16" i="47"/>
  <c r="O16" i="47"/>
  <c r="M16" i="47"/>
  <c r="H16" i="47"/>
  <c r="C16" i="47"/>
  <c r="AB15" i="47"/>
  <c r="AD15" i="47" s="1"/>
  <c r="Y15" i="47"/>
  <c r="X15" i="47"/>
  <c r="Q15" i="47"/>
  <c r="P15" i="47"/>
  <c r="O15" i="47"/>
  <c r="M15" i="47"/>
  <c r="J15" i="47"/>
  <c r="K15" i="47" s="1"/>
  <c r="H15" i="47"/>
  <c r="C15" i="47"/>
  <c r="AD14" i="47"/>
  <c r="J14" i="47" s="1"/>
  <c r="I14" i="47" s="1"/>
  <c r="AB14" i="47"/>
  <c r="Y14" i="47"/>
  <c r="X14" i="47"/>
  <c r="Q14" i="47"/>
  <c r="P14" i="47"/>
  <c r="O14" i="47"/>
  <c r="M14" i="47"/>
  <c r="K14" i="47"/>
  <c r="H14" i="47"/>
  <c r="C14" i="47"/>
  <c r="AD13" i="47"/>
  <c r="AB13" i="47"/>
  <c r="Y13" i="47"/>
  <c r="X13" i="47"/>
  <c r="P13" i="47"/>
  <c r="Q13" i="47" s="1"/>
  <c r="O13" i="47"/>
  <c r="M13" i="47"/>
  <c r="J13" i="47"/>
  <c r="K13" i="47" s="1"/>
  <c r="H13" i="47"/>
  <c r="C13" i="47"/>
  <c r="AD12" i="47"/>
  <c r="J12" i="47" s="1"/>
  <c r="I12" i="47" s="1"/>
  <c r="AB12" i="47"/>
  <c r="Y12" i="47"/>
  <c r="X12" i="47"/>
  <c r="Q12" i="47"/>
  <c r="P12" i="47"/>
  <c r="O12" i="47"/>
  <c r="M12" i="47"/>
  <c r="K12" i="47"/>
  <c r="H12" i="47"/>
  <c r="C12" i="47"/>
  <c r="AD11" i="47"/>
  <c r="AB11" i="47"/>
  <c r="Y11" i="47"/>
  <c r="X11" i="47"/>
  <c r="P11" i="47"/>
  <c r="O11" i="47"/>
  <c r="M11" i="47"/>
  <c r="J11" i="47"/>
  <c r="I11" i="47" s="1"/>
  <c r="H11" i="47"/>
  <c r="C11" i="47"/>
  <c r="AD10" i="47"/>
  <c r="J10" i="47" s="1"/>
  <c r="I10" i="47" s="1"/>
  <c r="AB10" i="47"/>
  <c r="Y10" i="47"/>
  <c r="X10" i="47"/>
  <c r="P10" i="47"/>
  <c r="O10" i="47"/>
  <c r="Q10" i="47" s="1"/>
  <c r="M10" i="47"/>
  <c r="H10" i="47"/>
  <c r="C10" i="47"/>
  <c r="AB9" i="47"/>
  <c r="AD9" i="47" s="1"/>
  <c r="J9" i="47" s="1"/>
  <c r="Y9" i="47"/>
  <c r="X9" i="47"/>
  <c r="Q9" i="47"/>
  <c r="P9" i="47"/>
  <c r="O9" i="47"/>
  <c r="M9" i="47"/>
  <c r="H9" i="47"/>
  <c r="C9" i="47"/>
  <c r="AB8" i="47"/>
  <c r="AD8" i="47" s="1"/>
  <c r="J8" i="47" s="1"/>
  <c r="Y8" i="47"/>
  <c r="X8" i="47"/>
  <c r="P8" i="47"/>
  <c r="O8" i="47"/>
  <c r="Q8" i="47" s="1"/>
  <c r="M8" i="47"/>
  <c r="H8" i="47"/>
  <c r="C8" i="47"/>
  <c r="AB7" i="47"/>
  <c r="AD7" i="47" s="1"/>
  <c r="J7" i="47" s="1"/>
  <c r="Y7" i="47"/>
  <c r="X7" i="47"/>
  <c r="P7" i="47"/>
  <c r="Q7" i="47" s="1"/>
  <c r="O7" i="47"/>
  <c r="M7" i="47"/>
  <c r="H7" i="47"/>
  <c r="C7" i="47"/>
  <c r="AD6" i="47"/>
  <c r="J6" i="47" s="1"/>
  <c r="AB6" i="47"/>
  <c r="Y6" i="47"/>
  <c r="X6" i="47"/>
  <c r="P6" i="47"/>
  <c r="O6" i="47"/>
  <c r="Q6" i="47" s="1"/>
  <c r="M6" i="47"/>
  <c r="K6" i="47"/>
  <c r="I6" i="47"/>
  <c r="H6" i="47"/>
  <c r="C6" i="47"/>
  <c r="AB5" i="47"/>
  <c r="AD5" i="47" s="1"/>
  <c r="J5" i="47" s="1"/>
  <c r="Y5" i="47"/>
  <c r="X5" i="47"/>
  <c r="P5" i="47"/>
  <c r="O5" i="47"/>
  <c r="Q5" i="47" s="1"/>
  <c r="M5" i="47"/>
  <c r="H5" i="47"/>
  <c r="C5" i="47"/>
  <c r="AB4" i="47"/>
  <c r="AD4" i="47" s="1"/>
  <c r="Y4" i="47"/>
  <c r="X4" i="47"/>
  <c r="P4" i="47"/>
  <c r="O4" i="47"/>
  <c r="Q4" i="47" s="1"/>
  <c r="M4" i="47"/>
  <c r="J4" i="47"/>
  <c r="H4" i="47"/>
  <c r="C4" i="47"/>
  <c r="AG3" i="47"/>
  <c r="AF3" i="47"/>
  <c r="W3" i="47"/>
  <c r="X3" i="47" s="1"/>
  <c r="V3" i="47"/>
  <c r="U3" i="47"/>
  <c r="T3" i="47"/>
  <c r="O3" i="47"/>
  <c r="H3" i="47"/>
  <c r="G3" i="47"/>
  <c r="F3" i="47"/>
  <c r="D3" i="47"/>
  <c r="C3" i="47"/>
  <c r="A2" i="47"/>
  <c r="A1" i="47"/>
  <c r="AB32" i="46"/>
  <c r="AD32" i="46" s="1"/>
  <c r="J32" i="46" s="1"/>
  <c r="Y32" i="46"/>
  <c r="X32" i="46"/>
  <c r="V32" i="46"/>
  <c r="U32" i="46"/>
  <c r="T32" i="46"/>
  <c r="P32" i="46"/>
  <c r="O32" i="46"/>
  <c r="M32" i="46"/>
  <c r="H32" i="46"/>
  <c r="C32" i="46"/>
  <c r="AD31" i="46"/>
  <c r="J31" i="46" s="1"/>
  <c r="I31" i="46" s="1"/>
  <c r="AB31" i="46"/>
  <c r="Y31" i="46"/>
  <c r="X31" i="46"/>
  <c r="P31" i="46"/>
  <c r="Q31" i="46" s="1"/>
  <c r="O31" i="46"/>
  <c r="M31" i="46"/>
  <c r="K31" i="46"/>
  <c r="H31" i="46"/>
  <c r="C31" i="46"/>
  <c r="AD30" i="46"/>
  <c r="J30" i="46" s="1"/>
  <c r="AB30" i="46"/>
  <c r="Y30" i="46"/>
  <c r="X30" i="46"/>
  <c r="Q30" i="46"/>
  <c r="P30" i="46"/>
  <c r="O30" i="46"/>
  <c r="M30" i="46"/>
  <c r="H30" i="46"/>
  <c r="C30" i="46"/>
  <c r="AB29" i="46"/>
  <c r="AD29" i="46" s="1"/>
  <c r="J29" i="46" s="1"/>
  <c r="Y29" i="46"/>
  <c r="X29" i="46"/>
  <c r="P29" i="46"/>
  <c r="O29" i="46"/>
  <c r="Q29" i="46" s="1"/>
  <c r="M29" i="46"/>
  <c r="H29" i="46"/>
  <c r="C29" i="46"/>
  <c r="AB28" i="46"/>
  <c r="AD28" i="46" s="1"/>
  <c r="J28" i="46" s="1"/>
  <c r="Y28" i="46"/>
  <c r="X28" i="46"/>
  <c r="P28" i="46"/>
  <c r="O28" i="46"/>
  <c r="Q28" i="46" s="1"/>
  <c r="M28" i="46"/>
  <c r="H28" i="46"/>
  <c r="C28" i="46"/>
  <c r="AB27" i="46"/>
  <c r="AD27" i="46" s="1"/>
  <c r="J27" i="46" s="1"/>
  <c r="Y27" i="46"/>
  <c r="X27" i="46"/>
  <c r="Q27" i="46"/>
  <c r="P27" i="46"/>
  <c r="O27" i="46"/>
  <c r="M27" i="46"/>
  <c r="H27" i="46"/>
  <c r="C27" i="46"/>
  <c r="AD26" i="46"/>
  <c r="J26" i="46" s="1"/>
  <c r="AB26" i="46"/>
  <c r="Y26" i="46"/>
  <c r="X26" i="46"/>
  <c r="Q26" i="46"/>
  <c r="P26" i="46"/>
  <c r="O26" i="46"/>
  <c r="M26" i="46"/>
  <c r="H26" i="46"/>
  <c r="C26" i="46"/>
  <c r="AD25" i="46"/>
  <c r="J25" i="46" s="1"/>
  <c r="K25" i="46" s="1"/>
  <c r="AB25" i="46"/>
  <c r="Y25" i="46"/>
  <c r="X25" i="46"/>
  <c r="P25" i="46"/>
  <c r="O25" i="46"/>
  <c r="Q25" i="46" s="1"/>
  <c r="M25" i="46"/>
  <c r="I25" i="46"/>
  <c r="H25" i="46"/>
  <c r="C25" i="46"/>
  <c r="AB24" i="46"/>
  <c r="AD24" i="46" s="1"/>
  <c r="J24" i="46" s="1"/>
  <c r="Y24" i="46"/>
  <c r="X24" i="46"/>
  <c r="P24" i="46"/>
  <c r="O24" i="46"/>
  <c r="M24" i="46"/>
  <c r="H24" i="46"/>
  <c r="C24" i="46"/>
  <c r="AD23" i="46"/>
  <c r="J23" i="46" s="1"/>
  <c r="I23" i="46" s="1"/>
  <c r="AB23" i="46"/>
  <c r="Y23" i="46"/>
  <c r="X23" i="46"/>
  <c r="P23" i="46"/>
  <c r="Q23" i="46" s="1"/>
  <c r="O23" i="46"/>
  <c r="M23" i="46"/>
  <c r="K23" i="46"/>
  <c r="H23" i="46"/>
  <c r="C23" i="46"/>
  <c r="AD22" i="46"/>
  <c r="J22" i="46" s="1"/>
  <c r="AB22" i="46"/>
  <c r="Y22" i="46"/>
  <c r="X22" i="46"/>
  <c r="Q22" i="46"/>
  <c r="P22" i="46"/>
  <c r="O22" i="46"/>
  <c r="M22" i="46"/>
  <c r="H22" i="46"/>
  <c r="C22" i="46"/>
  <c r="AB21" i="46"/>
  <c r="AD21" i="46" s="1"/>
  <c r="J21" i="46" s="1"/>
  <c r="Y21" i="46"/>
  <c r="X21" i="46"/>
  <c r="P21" i="46"/>
  <c r="O21" i="46"/>
  <c r="Q21" i="46" s="1"/>
  <c r="M21" i="46"/>
  <c r="H21" i="46"/>
  <c r="C21" i="46"/>
  <c r="AB20" i="46"/>
  <c r="AD20" i="46" s="1"/>
  <c r="Y20" i="46"/>
  <c r="X20" i="46"/>
  <c r="P20" i="46"/>
  <c r="O20" i="46"/>
  <c r="Q20" i="46" s="1"/>
  <c r="M20" i="46"/>
  <c r="J20" i="46"/>
  <c r="H20" i="46"/>
  <c r="C20" i="46"/>
  <c r="AB19" i="46"/>
  <c r="AD19" i="46" s="1"/>
  <c r="J19" i="46" s="1"/>
  <c r="Y19" i="46"/>
  <c r="X19" i="46"/>
  <c r="Q19" i="46"/>
  <c r="P19" i="46"/>
  <c r="O19" i="46"/>
  <c r="M19" i="46"/>
  <c r="H19" i="46"/>
  <c r="C19" i="46"/>
  <c r="AD18" i="46"/>
  <c r="J18" i="46" s="1"/>
  <c r="AB18" i="46"/>
  <c r="Y18" i="46"/>
  <c r="X18" i="46"/>
  <c r="Q18" i="46"/>
  <c r="P18" i="46"/>
  <c r="O18" i="46"/>
  <c r="M18" i="46"/>
  <c r="H18" i="46"/>
  <c r="C18" i="46"/>
  <c r="AD17" i="46"/>
  <c r="J17" i="46" s="1"/>
  <c r="K17" i="46" s="1"/>
  <c r="AB17" i="46"/>
  <c r="Y17" i="46"/>
  <c r="X17" i="46"/>
  <c r="P17" i="46"/>
  <c r="O17" i="46"/>
  <c r="Q17" i="46" s="1"/>
  <c r="M17" i="46"/>
  <c r="I17" i="46"/>
  <c r="H17" i="46"/>
  <c r="C17" i="46"/>
  <c r="AB16" i="46"/>
  <c r="AD16" i="46" s="1"/>
  <c r="J16" i="46" s="1"/>
  <c r="Y16" i="46"/>
  <c r="X16" i="46"/>
  <c r="P16" i="46"/>
  <c r="O16" i="46"/>
  <c r="M16" i="46"/>
  <c r="H16" i="46"/>
  <c r="C16" i="46"/>
  <c r="AD15" i="46"/>
  <c r="J15" i="46" s="1"/>
  <c r="I15" i="46" s="1"/>
  <c r="AB15" i="46"/>
  <c r="Y15" i="46"/>
  <c r="X15" i="46"/>
  <c r="P15" i="46"/>
  <c r="Q15" i="46" s="1"/>
  <c r="O15" i="46"/>
  <c r="M15" i="46"/>
  <c r="K15" i="46"/>
  <c r="H15" i="46"/>
  <c r="C15" i="46"/>
  <c r="AD14" i="46"/>
  <c r="J14" i="46" s="1"/>
  <c r="AB14" i="46"/>
  <c r="Y14" i="46"/>
  <c r="X14" i="46"/>
  <c r="Q14" i="46"/>
  <c r="P14" i="46"/>
  <c r="O14" i="46"/>
  <c r="M14" i="46"/>
  <c r="H14" i="46"/>
  <c r="C14" i="46"/>
  <c r="AB13" i="46"/>
  <c r="AD13" i="46" s="1"/>
  <c r="J13" i="46" s="1"/>
  <c r="Y13" i="46"/>
  <c r="X13" i="46"/>
  <c r="P13" i="46"/>
  <c r="O13" i="46"/>
  <c r="Q13" i="46" s="1"/>
  <c r="M13" i="46"/>
  <c r="H13" i="46"/>
  <c r="C13" i="46"/>
  <c r="AB12" i="46"/>
  <c r="AD12" i="46" s="1"/>
  <c r="J12" i="46" s="1"/>
  <c r="Y12" i="46"/>
  <c r="X12" i="46"/>
  <c r="P12" i="46"/>
  <c r="O12" i="46"/>
  <c r="Q12" i="46" s="1"/>
  <c r="M12" i="46"/>
  <c r="H12" i="46"/>
  <c r="C12" i="46"/>
  <c r="AB11" i="46"/>
  <c r="AD11" i="46" s="1"/>
  <c r="J11" i="46" s="1"/>
  <c r="Y11" i="46"/>
  <c r="X11" i="46"/>
  <c r="Q11" i="46"/>
  <c r="P11" i="46"/>
  <c r="O11" i="46"/>
  <c r="M11" i="46"/>
  <c r="H11" i="46"/>
  <c r="C11" i="46"/>
  <c r="AD10" i="46"/>
  <c r="J10" i="46" s="1"/>
  <c r="AB10" i="46"/>
  <c r="Y10" i="46"/>
  <c r="X10" i="46"/>
  <c r="Q10" i="46"/>
  <c r="P10" i="46"/>
  <c r="O10" i="46"/>
  <c r="M10" i="46"/>
  <c r="H10" i="46"/>
  <c r="C10" i="46"/>
  <c r="AD9" i="46"/>
  <c r="J9" i="46" s="1"/>
  <c r="K9" i="46" s="1"/>
  <c r="AB9" i="46"/>
  <c r="Y9" i="46"/>
  <c r="X9" i="46"/>
  <c r="P9" i="46"/>
  <c r="O9" i="46"/>
  <c r="Q9" i="46" s="1"/>
  <c r="M9" i="46"/>
  <c r="I9" i="46"/>
  <c r="H9" i="46"/>
  <c r="C9" i="46"/>
  <c r="AB8" i="46"/>
  <c r="AD8" i="46" s="1"/>
  <c r="J8" i="46" s="1"/>
  <c r="Y8" i="46"/>
  <c r="X8" i="46"/>
  <c r="P8" i="46"/>
  <c r="O8" i="46"/>
  <c r="M8" i="46"/>
  <c r="H8" i="46"/>
  <c r="C8" i="46"/>
  <c r="AD7" i="46"/>
  <c r="J7" i="46" s="1"/>
  <c r="I7" i="46" s="1"/>
  <c r="AB7" i="46"/>
  <c r="Y7" i="46"/>
  <c r="X7" i="46"/>
  <c r="P7" i="46"/>
  <c r="Q7" i="46" s="1"/>
  <c r="O7" i="46"/>
  <c r="M7" i="46"/>
  <c r="H7" i="46"/>
  <c r="C7" i="46"/>
  <c r="AD6" i="46"/>
  <c r="J6" i="46" s="1"/>
  <c r="AB6" i="46"/>
  <c r="Y6" i="46"/>
  <c r="X6" i="46"/>
  <c r="Q6" i="46"/>
  <c r="P6" i="46"/>
  <c r="O6" i="46"/>
  <c r="M6" i="46"/>
  <c r="H6" i="46"/>
  <c r="C6" i="46"/>
  <c r="AB5" i="46"/>
  <c r="AD5" i="46" s="1"/>
  <c r="J5" i="46" s="1"/>
  <c r="Y5" i="46"/>
  <c r="X5" i="46"/>
  <c r="P5" i="46"/>
  <c r="O5" i="46"/>
  <c r="Q5" i="46" s="1"/>
  <c r="M5" i="46"/>
  <c r="H5" i="46"/>
  <c r="C5" i="46"/>
  <c r="AB4" i="46"/>
  <c r="AD4" i="46" s="1"/>
  <c r="Y4" i="46"/>
  <c r="X4" i="46"/>
  <c r="P4" i="46"/>
  <c r="O4" i="46"/>
  <c r="Q4" i="46" s="1"/>
  <c r="M4" i="46"/>
  <c r="J4" i="46"/>
  <c r="H4" i="46"/>
  <c r="C4" i="46"/>
  <c r="AG3" i="46"/>
  <c r="AF3" i="46"/>
  <c r="W3" i="46"/>
  <c r="X3" i="46" s="1"/>
  <c r="V3" i="46"/>
  <c r="U3" i="46"/>
  <c r="T3" i="46"/>
  <c r="O3" i="46"/>
  <c r="H3" i="46"/>
  <c r="G3" i="46"/>
  <c r="F3" i="46"/>
  <c r="D3" i="46"/>
  <c r="C3" i="46"/>
  <c r="A2" i="46"/>
  <c r="A1" i="46"/>
  <c r="AB32" i="45"/>
  <c r="AD32" i="45" s="1"/>
  <c r="J32" i="45" s="1"/>
  <c r="Y32" i="45"/>
  <c r="X32" i="45"/>
  <c r="V32" i="45"/>
  <c r="U32" i="45"/>
  <c r="T32" i="45"/>
  <c r="P32" i="45"/>
  <c r="O32" i="45"/>
  <c r="Q32" i="45" s="1"/>
  <c r="M32" i="45"/>
  <c r="H32" i="45"/>
  <c r="C32" i="45"/>
  <c r="AD31" i="45"/>
  <c r="J31" i="45" s="1"/>
  <c r="I31" i="45" s="1"/>
  <c r="AB31" i="45"/>
  <c r="Y31" i="45"/>
  <c r="X31" i="45"/>
  <c r="P31" i="45"/>
  <c r="Q31" i="45" s="1"/>
  <c r="O31" i="45"/>
  <c r="M31" i="45"/>
  <c r="K31" i="45"/>
  <c r="H31" i="45"/>
  <c r="C31" i="45"/>
  <c r="AD30" i="45"/>
  <c r="J30" i="45" s="1"/>
  <c r="AB30" i="45"/>
  <c r="Y30" i="45"/>
  <c r="X30" i="45"/>
  <c r="Q30" i="45"/>
  <c r="P30" i="45"/>
  <c r="O30" i="45"/>
  <c r="M30" i="45"/>
  <c r="H30" i="45"/>
  <c r="C30" i="45"/>
  <c r="AB29" i="45"/>
  <c r="AD29" i="45" s="1"/>
  <c r="J29" i="45" s="1"/>
  <c r="Y29" i="45"/>
  <c r="X29" i="45"/>
  <c r="P29" i="45"/>
  <c r="O29" i="45"/>
  <c r="Q29" i="45" s="1"/>
  <c r="M29" i="45"/>
  <c r="H29" i="45"/>
  <c r="C29" i="45"/>
  <c r="AB28" i="45"/>
  <c r="AD28" i="45" s="1"/>
  <c r="J28" i="45" s="1"/>
  <c r="Y28" i="45"/>
  <c r="X28" i="45"/>
  <c r="P28" i="45"/>
  <c r="O28" i="45"/>
  <c r="Q28" i="45" s="1"/>
  <c r="M28" i="45"/>
  <c r="H28" i="45"/>
  <c r="C28" i="45"/>
  <c r="AB27" i="45"/>
  <c r="AD27" i="45" s="1"/>
  <c r="J27" i="45" s="1"/>
  <c r="Y27" i="45"/>
  <c r="X27" i="45"/>
  <c r="Q27" i="45"/>
  <c r="P27" i="45"/>
  <c r="O27" i="45"/>
  <c r="M27" i="45"/>
  <c r="H27" i="45"/>
  <c r="C27" i="45"/>
  <c r="AD26" i="45"/>
  <c r="J26" i="45" s="1"/>
  <c r="AB26" i="45"/>
  <c r="Y26" i="45"/>
  <c r="X26" i="45"/>
  <c r="Q26" i="45"/>
  <c r="P26" i="45"/>
  <c r="O26" i="45"/>
  <c r="M26" i="45"/>
  <c r="H26" i="45"/>
  <c r="C26" i="45"/>
  <c r="AD25" i="45"/>
  <c r="J25" i="45" s="1"/>
  <c r="K25" i="45" s="1"/>
  <c r="AB25" i="45"/>
  <c r="Y25" i="45"/>
  <c r="X25" i="45"/>
  <c r="P25" i="45"/>
  <c r="O25" i="45"/>
  <c r="Q25" i="45" s="1"/>
  <c r="M25" i="45"/>
  <c r="H25" i="45"/>
  <c r="C25" i="45"/>
  <c r="AB24" i="45"/>
  <c r="AD24" i="45" s="1"/>
  <c r="J24" i="45" s="1"/>
  <c r="Y24" i="45"/>
  <c r="X24" i="45"/>
  <c r="P24" i="45"/>
  <c r="O24" i="45"/>
  <c r="Q24" i="45" s="1"/>
  <c r="M24" i="45"/>
  <c r="H24" i="45"/>
  <c r="C24" i="45"/>
  <c r="AD23" i="45"/>
  <c r="J23" i="45" s="1"/>
  <c r="I23" i="45" s="1"/>
  <c r="AB23" i="45"/>
  <c r="Y23" i="45"/>
  <c r="X23" i="45"/>
  <c r="P23" i="45"/>
  <c r="Q23" i="45" s="1"/>
  <c r="O23" i="45"/>
  <c r="M23" i="45"/>
  <c r="H23" i="45"/>
  <c r="C23" i="45"/>
  <c r="AD22" i="45"/>
  <c r="J22" i="45" s="1"/>
  <c r="AB22" i="45"/>
  <c r="Y22" i="45"/>
  <c r="X22" i="45"/>
  <c r="Q22" i="45"/>
  <c r="P22" i="45"/>
  <c r="O22" i="45"/>
  <c r="M22" i="45"/>
  <c r="H22" i="45"/>
  <c r="C22" i="45"/>
  <c r="AB21" i="45"/>
  <c r="AD21" i="45" s="1"/>
  <c r="J21" i="45" s="1"/>
  <c r="Y21" i="45"/>
  <c r="X21" i="45"/>
  <c r="P21" i="45"/>
  <c r="O21" i="45"/>
  <c r="Q21" i="45" s="1"/>
  <c r="M21" i="45"/>
  <c r="H21" i="45"/>
  <c r="C21" i="45"/>
  <c r="AB20" i="45"/>
  <c r="AD20" i="45" s="1"/>
  <c r="Y20" i="45"/>
  <c r="X20" i="45"/>
  <c r="P20" i="45"/>
  <c r="O20" i="45"/>
  <c r="Q20" i="45" s="1"/>
  <c r="M20" i="45"/>
  <c r="J20" i="45"/>
  <c r="H20" i="45"/>
  <c r="C20" i="45"/>
  <c r="AB19" i="45"/>
  <c r="AD19" i="45" s="1"/>
  <c r="J19" i="45" s="1"/>
  <c r="Y19" i="45"/>
  <c r="X19" i="45"/>
  <c r="Q19" i="45"/>
  <c r="P19" i="45"/>
  <c r="O19" i="45"/>
  <c r="M19" i="45"/>
  <c r="H19" i="45"/>
  <c r="C19" i="45"/>
  <c r="AD18" i="45"/>
  <c r="J18" i="45" s="1"/>
  <c r="AB18" i="45"/>
  <c r="Y18" i="45"/>
  <c r="X18" i="45"/>
  <c r="Q18" i="45"/>
  <c r="P18" i="45"/>
  <c r="O18" i="45"/>
  <c r="M18" i="45"/>
  <c r="H18" i="45"/>
  <c r="C18" i="45"/>
  <c r="AD17" i="45"/>
  <c r="J17" i="45" s="1"/>
  <c r="K17" i="45" s="1"/>
  <c r="AB17" i="45"/>
  <c r="Y17" i="45"/>
  <c r="X17" i="45"/>
  <c r="P17" i="45"/>
  <c r="O17" i="45"/>
  <c r="Q17" i="45" s="1"/>
  <c r="M17" i="45"/>
  <c r="H17" i="45"/>
  <c r="C17" i="45"/>
  <c r="AB16" i="45"/>
  <c r="AD16" i="45" s="1"/>
  <c r="J16" i="45" s="1"/>
  <c r="Y16" i="45"/>
  <c r="X16" i="45"/>
  <c r="P16" i="45"/>
  <c r="O16" i="45"/>
  <c r="M16" i="45"/>
  <c r="H16" i="45"/>
  <c r="C16" i="45"/>
  <c r="AD15" i="45"/>
  <c r="J15" i="45" s="1"/>
  <c r="AB15" i="45"/>
  <c r="Y15" i="45"/>
  <c r="X15" i="45"/>
  <c r="P15" i="45"/>
  <c r="Q15" i="45" s="1"/>
  <c r="O15" i="45"/>
  <c r="M15" i="45"/>
  <c r="H15" i="45"/>
  <c r="C15" i="45"/>
  <c r="AD14" i="45"/>
  <c r="J14" i="45" s="1"/>
  <c r="AB14" i="45"/>
  <c r="Y14" i="45"/>
  <c r="X14" i="45"/>
  <c r="Q14" i="45"/>
  <c r="P14" i="45"/>
  <c r="O14" i="45"/>
  <c r="M14" i="45"/>
  <c r="H14" i="45"/>
  <c r="C14" i="45"/>
  <c r="AB13" i="45"/>
  <c r="AD13" i="45" s="1"/>
  <c r="J13" i="45" s="1"/>
  <c r="Y13" i="45"/>
  <c r="X13" i="45"/>
  <c r="P13" i="45"/>
  <c r="O13" i="45"/>
  <c r="Q13" i="45" s="1"/>
  <c r="M13" i="45"/>
  <c r="H13" i="45"/>
  <c r="C13" i="45"/>
  <c r="AB12" i="45"/>
  <c r="AD12" i="45" s="1"/>
  <c r="Y12" i="45"/>
  <c r="X12" i="45"/>
  <c r="P12" i="45"/>
  <c r="O12" i="45"/>
  <c r="Q12" i="45" s="1"/>
  <c r="M12" i="45"/>
  <c r="J12" i="45"/>
  <c r="H12" i="45"/>
  <c r="C12" i="45"/>
  <c r="AB11" i="45"/>
  <c r="AD11" i="45" s="1"/>
  <c r="J11" i="45" s="1"/>
  <c r="Y11" i="45"/>
  <c r="X11" i="45"/>
  <c r="Q11" i="45"/>
  <c r="P11" i="45"/>
  <c r="O11" i="45"/>
  <c r="M11" i="45"/>
  <c r="H11" i="45"/>
  <c r="C11" i="45"/>
  <c r="AD10" i="45"/>
  <c r="J10" i="45" s="1"/>
  <c r="AB10" i="45"/>
  <c r="Y10" i="45"/>
  <c r="X10" i="45"/>
  <c r="Q10" i="45"/>
  <c r="P10" i="45"/>
  <c r="O10" i="45"/>
  <c r="M10" i="45"/>
  <c r="H10" i="45"/>
  <c r="C10" i="45"/>
  <c r="AD9" i="45"/>
  <c r="J9" i="45" s="1"/>
  <c r="AB9" i="45"/>
  <c r="Y9" i="45"/>
  <c r="X9" i="45"/>
  <c r="P9" i="45"/>
  <c r="O9" i="45"/>
  <c r="Q9" i="45" s="1"/>
  <c r="M9" i="45"/>
  <c r="H9" i="45"/>
  <c r="C9" i="45"/>
  <c r="AB8" i="45"/>
  <c r="AD8" i="45" s="1"/>
  <c r="J8" i="45" s="1"/>
  <c r="Y8" i="45"/>
  <c r="X8" i="45"/>
  <c r="P8" i="45"/>
  <c r="O8" i="45"/>
  <c r="Q8" i="45" s="1"/>
  <c r="M8" i="45"/>
  <c r="H8" i="45"/>
  <c r="C8" i="45"/>
  <c r="AD7" i="45"/>
  <c r="J7" i="45" s="1"/>
  <c r="I7" i="45" s="1"/>
  <c r="AB7" i="45"/>
  <c r="Y7" i="45"/>
  <c r="X7" i="45"/>
  <c r="P7" i="45"/>
  <c r="Q7" i="45" s="1"/>
  <c r="O7" i="45"/>
  <c r="M7" i="45"/>
  <c r="H7" i="45"/>
  <c r="C7" i="45"/>
  <c r="AD6" i="45"/>
  <c r="J6" i="45" s="1"/>
  <c r="AB6" i="45"/>
  <c r="Y6" i="45"/>
  <c r="X6" i="45"/>
  <c r="Q6" i="45"/>
  <c r="P6" i="45"/>
  <c r="O6" i="45"/>
  <c r="M6" i="45"/>
  <c r="H6" i="45"/>
  <c r="C6" i="45"/>
  <c r="AB5" i="45"/>
  <c r="AD5" i="45" s="1"/>
  <c r="J5" i="45" s="1"/>
  <c r="Y5" i="45"/>
  <c r="X5" i="45"/>
  <c r="P5" i="45"/>
  <c r="O5" i="45"/>
  <c r="Q5" i="45" s="1"/>
  <c r="M5" i="45"/>
  <c r="H5" i="45"/>
  <c r="C5" i="45"/>
  <c r="AB4" i="45"/>
  <c r="AD4" i="45" s="1"/>
  <c r="Y4" i="45"/>
  <c r="X4" i="45"/>
  <c r="P4" i="45"/>
  <c r="O4" i="45"/>
  <c r="Q4" i="45" s="1"/>
  <c r="M4" i="45"/>
  <c r="H4" i="45"/>
  <c r="C4" i="45"/>
  <c r="AG3" i="45"/>
  <c r="AF3" i="45"/>
  <c r="W3" i="45"/>
  <c r="X3" i="45" s="1"/>
  <c r="V3" i="45"/>
  <c r="U3" i="45"/>
  <c r="T3" i="45"/>
  <c r="O3" i="45"/>
  <c r="H3" i="45"/>
  <c r="G3" i="45"/>
  <c r="F3" i="45"/>
  <c r="D3" i="45"/>
  <c r="C3" i="45"/>
  <c r="A2" i="45"/>
  <c r="A1" i="45"/>
  <c r="AB32" i="44"/>
  <c r="AD32" i="44" s="1"/>
  <c r="J32" i="44" s="1"/>
  <c r="Y32" i="44"/>
  <c r="X32" i="44"/>
  <c r="V32" i="44"/>
  <c r="U32" i="44"/>
  <c r="T32" i="44"/>
  <c r="P32" i="44"/>
  <c r="O32" i="44"/>
  <c r="M32" i="44"/>
  <c r="H32" i="44"/>
  <c r="C32" i="44"/>
  <c r="AD31" i="44"/>
  <c r="J31" i="44" s="1"/>
  <c r="I31" i="44" s="1"/>
  <c r="AB31" i="44"/>
  <c r="Y31" i="44"/>
  <c r="X31" i="44"/>
  <c r="P31" i="44"/>
  <c r="Q31" i="44" s="1"/>
  <c r="O31" i="44"/>
  <c r="M31" i="44"/>
  <c r="K31" i="44"/>
  <c r="H31" i="44"/>
  <c r="C31" i="44"/>
  <c r="AD30" i="44"/>
  <c r="J30" i="44" s="1"/>
  <c r="AB30" i="44"/>
  <c r="Y30" i="44"/>
  <c r="X30" i="44"/>
  <c r="Q30" i="44"/>
  <c r="P30" i="44"/>
  <c r="O30" i="44"/>
  <c r="M30" i="44"/>
  <c r="H30" i="44"/>
  <c r="C30" i="44"/>
  <c r="AB29" i="44"/>
  <c r="AD29" i="44" s="1"/>
  <c r="J29" i="44" s="1"/>
  <c r="Y29" i="44"/>
  <c r="X29" i="44"/>
  <c r="P29" i="44"/>
  <c r="O29" i="44"/>
  <c r="Q29" i="44" s="1"/>
  <c r="M29" i="44"/>
  <c r="H29" i="44"/>
  <c r="C29" i="44"/>
  <c r="AB28" i="44"/>
  <c r="AD28" i="44" s="1"/>
  <c r="Y28" i="44"/>
  <c r="X28" i="44"/>
  <c r="P28" i="44"/>
  <c r="O28" i="44"/>
  <c r="Q28" i="44" s="1"/>
  <c r="M28" i="44"/>
  <c r="J28" i="44"/>
  <c r="H28" i="44"/>
  <c r="C28" i="44"/>
  <c r="AB27" i="44"/>
  <c r="AD27" i="44" s="1"/>
  <c r="J27" i="44" s="1"/>
  <c r="Y27" i="44"/>
  <c r="X27" i="44"/>
  <c r="Q27" i="44"/>
  <c r="P27" i="44"/>
  <c r="O27" i="44"/>
  <c r="M27" i="44"/>
  <c r="H27" i="44"/>
  <c r="C27" i="44"/>
  <c r="AD26" i="44"/>
  <c r="J26" i="44" s="1"/>
  <c r="AB26" i="44"/>
  <c r="Y26" i="44"/>
  <c r="X26" i="44"/>
  <c r="Q26" i="44"/>
  <c r="P26" i="44"/>
  <c r="O26" i="44"/>
  <c r="M26" i="44"/>
  <c r="H26" i="44"/>
  <c r="C26" i="44"/>
  <c r="AD25" i="44"/>
  <c r="J25" i="44" s="1"/>
  <c r="K25" i="44" s="1"/>
  <c r="AB25" i="44"/>
  <c r="Y25" i="44"/>
  <c r="X25" i="44"/>
  <c r="P25" i="44"/>
  <c r="O25" i="44"/>
  <c r="Q25" i="44" s="1"/>
  <c r="M25" i="44"/>
  <c r="I25" i="44"/>
  <c r="H25" i="44"/>
  <c r="C25" i="44"/>
  <c r="AB24" i="44"/>
  <c r="AD24" i="44" s="1"/>
  <c r="J24" i="44" s="1"/>
  <c r="Y24" i="44"/>
  <c r="X24" i="44"/>
  <c r="P24" i="44"/>
  <c r="O24" i="44"/>
  <c r="M24" i="44"/>
  <c r="H24" i="44"/>
  <c r="C24" i="44"/>
  <c r="AD23" i="44"/>
  <c r="J23" i="44" s="1"/>
  <c r="I23" i="44" s="1"/>
  <c r="AB23" i="44"/>
  <c r="Y23" i="44"/>
  <c r="X23" i="44"/>
  <c r="P23" i="44"/>
  <c r="Q23" i="44" s="1"/>
  <c r="O23" i="44"/>
  <c r="M23" i="44"/>
  <c r="K23" i="44"/>
  <c r="H23" i="44"/>
  <c r="C23" i="44"/>
  <c r="AD22" i="44"/>
  <c r="J22" i="44" s="1"/>
  <c r="AB22" i="44"/>
  <c r="Y22" i="44"/>
  <c r="X22" i="44"/>
  <c r="Q22" i="44"/>
  <c r="P22" i="44"/>
  <c r="O22" i="44"/>
  <c r="M22" i="44"/>
  <c r="H22" i="44"/>
  <c r="C22" i="44"/>
  <c r="AB21" i="44"/>
  <c r="AD21" i="44" s="1"/>
  <c r="J21" i="44" s="1"/>
  <c r="Y21" i="44"/>
  <c r="X21" i="44"/>
  <c r="P21" i="44"/>
  <c r="O21" i="44"/>
  <c r="Q21" i="44" s="1"/>
  <c r="M21" i="44"/>
  <c r="H21" i="44"/>
  <c r="C21" i="44"/>
  <c r="AB20" i="44"/>
  <c r="AD20" i="44" s="1"/>
  <c r="J20" i="44" s="1"/>
  <c r="Y20" i="44"/>
  <c r="X20" i="44"/>
  <c r="P20" i="44"/>
  <c r="O20" i="44"/>
  <c r="Q20" i="44" s="1"/>
  <c r="M20" i="44"/>
  <c r="H20" i="44"/>
  <c r="C20" i="44"/>
  <c r="AB19" i="44"/>
  <c r="AD19" i="44" s="1"/>
  <c r="J19" i="44" s="1"/>
  <c r="Y19" i="44"/>
  <c r="X19" i="44"/>
  <c r="Q19" i="44"/>
  <c r="P19" i="44"/>
  <c r="O19" i="44"/>
  <c r="M19" i="44"/>
  <c r="H19" i="44"/>
  <c r="C19" i="44"/>
  <c r="AD18" i="44"/>
  <c r="J18" i="44" s="1"/>
  <c r="AB18" i="44"/>
  <c r="Y18" i="44"/>
  <c r="X18" i="44"/>
  <c r="Q18" i="44"/>
  <c r="P18" i="44"/>
  <c r="O18" i="44"/>
  <c r="M18" i="44"/>
  <c r="H18" i="44"/>
  <c r="C18" i="44"/>
  <c r="AD17" i="44"/>
  <c r="J17" i="44" s="1"/>
  <c r="K17" i="44" s="1"/>
  <c r="AB17" i="44"/>
  <c r="Y17" i="44"/>
  <c r="X17" i="44"/>
  <c r="P17" i="44"/>
  <c r="O17" i="44"/>
  <c r="Q17" i="44" s="1"/>
  <c r="M17" i="44"/>
  <c r="I17" i="44"/>
  <c r="H17" i="44"/>
  <c r="C17" i="44"/>
  <c r="AB16" i="44"/>
  <c r="AD16" i="44" s="1"/>
  <c r="J16" i="44" s="1"/>
  <c r="Y16" i="44"/>
  <c r="X16" i="44"/>
  <c r="P16" i="44"/>
  <c r="O16" i="44"/>
  <c r="M16" i="44"/>
  <c r="H16" i="44"/>
  <c r="C16" i="44"/>
  <c r="AD15" i="44"/>
  <c r="J15" i="44" s="1"/>
  <c r="I15" i="44" s="1"/>
  <c r="AB15" i="44"/>
  <c r="Y15" i="44"/>
  <c r="X15" i="44"/>
  <c r="P15" i="44"/>
  <c r="Q15" i="44" s="1"/>
  <c r="O15" i="44"/>
  <c r="M15" i="44"/>
  <c r="H15" i="44"/>
  <c r="C15" i="44"/>
  <c r="AD14" i="44"/>
  <c r="J14" i="44" s="1"/>
  <c r="AB14" i="44"/>
  <c r="Y14" i="44"/>
  <c r="X14" i="44"/>
  <c r="Q14" i="44"/>
  <c r="P14" i="44"/>
  <c r="O14" i="44"/>
  <c r="M14" i="44"/>
  <c r="H14" i="44"/>
  <c r="C14" i="44"/>
  <c r="AB13" i="44"/>
  <c r="AD13" i="44" s="1"/>
  <c r="J13" i="44" s="1"/>
  <c r="Y13" i="44"/>
  <c r="X13" i="44"/>
  <c r="P13" i="44"/>
  <c r="O13" i="44"/>
  <c r="Q13" i="44" s="1"/>
  <c r="M13" i="44"/>
  <c r="H13" i="44"/>
  <c r="C13" i="44"/>
  <c r="AB12" i="44"/>
  <c r="AD12" i="44" s="1"/>
  <c r="J12" i="44" s="1"/>
  <c r="Y12" i="44"/>
  <c r="X12" i="44"/>
  <c r="P12" i="44"/>
  <c r="O12" i="44"/>
  <c r="Q12" i="44" s="1"/>
  <c r="M12" i="44"/>
  <c r="H12" i="44"/>
  <c r="C12" i="44"/>
  <c r="AB11" i="44"/>
  <c r="AD11" i="44" s="1"/>
  <c r="J11" i="44" s="1"/>
  <c r="Y11" i="44"/>
  <c r="X11" i="44"/>
  <c r="Q11" i="44"/>
  <c r="P11" i="44"/>
  <c r="O11" i="44"/>
  <c r="M11" i="44"/>
  <c r="H11" i="44"/>
  <c r="C11" i="44"/>
  <c r="AD10" i="44"/>
  <c r="J10" i="44" s="1"/>
  <c r="AB10" i="44"/>
  <c r="Y10" i="44"/>
  <c r="X10" i="44"/>
  <c r="Q10" i="44"/>
  <c r="P10" i="44"/>
  <c r="O10" i="44"/>
  <c r="M10" i="44"/>
  <c r="H10" i="44"/>
  <c r="C10" i="44"/>
  <c r="AD9" i="44"/>
  <c r="J9" i="44" s="1"/>
  <c r="K9" i="44" s="1"/>
  <c r="AB9" i="44"/>
  <c r="Y9" i="44"/>
  <c r="X9" i="44"/>
  <c r="P9" i="44"/>
  <c r="O9" i="44"/>
  <c r="Q9" i="44" s="1"/>
  <c r="M9" i="44"/>
  <c r="H9" i="44"/>
  <c r="C9" i="44"/>
  <c r="AB8" i="44"/>
  <c r="AD8" i="44" s="1"/>
  <c r="J8" i="44" s="1"/>
  <c r="Y8" i="44"/>
  <c r="X8" i="44"/>
  <c r="P8" i="44"/>
  <c r="O8" i="44"/>
  <c r="M8" i="44"/>
  <c r="H8" i="44"/>
  <c r="C8" i="44"/>
  <c r="AD7" i="44"/>
  <c r="J7" i="44" s="1"/>
  <c r="I7" i="44" s="1"/>
  <c r="AB7" i="44"/>
  <c r="Y7" i="44"/>
  <c r="X7" i="44"/>
  <c r="P7" i="44"/>
  <c r="Q7" i="44" s="1"/>
  <c r="O7" i="44"/>
  <c r="M7" i="44"/>
  <c r="K7" i="44"/>
  <c r="H7" i="44"/>
  <c r="C7" i="44"/>
  <c r="AD6" i="44"/>
  <c r="J6" i="44" s="1"/>
  <c r="AB6" i="44"/>
  <c r="Y6" i="44"/>
  <c r="X6" i="44"/>
  <c r="Q6" i="44"/>
  <c r="P6" i="44"/>
  <c r="O6" i="44"/>
  <c r="M6" i="44"/>
  <c r="H6" i="44"/>
  <c r="C6" i="44"/>
  <c r="AB5" i="44"/>
  <c r="AD5" i="44" s="1"/>
  <c r="J5" i="44" s="1"/>
  <c r="Y5" i="44"/>
  <c r="X5" i="44"/>
  <c r="P5" i="44"/>
  <c r="O5" i="44"/>
  <c r="Q5" i="44" s="1"/>
  <c r="M5" i="44"/>
  <c r="H5" i="44"/>
  <c r="C5" i="44"/>
  <c r="AB4" i="44"/>
  <c r="AD4" i="44" s="1"/>
  <c r="Y4" i="44"/>
  <c r="X4" i="44"/>
  <c r="P4" i="44"/>
  <c r="O4" i="44"/>
  <c r="Q4" i="44" s="1"/>
  <c r="M4" i="44"/>
  <c r="J4" i="44"/>
  <c r="H4" i="44"/>
  <c r="C4" i="44"/>
  <c r="AG3" i="44"/>
  <c r="AF3" i="44"/>
  <c r="W3" i="44"/>
  <c r="X3" i="44" s="1"/>
  <c r="V3" i="44"/>
  <c r="U3" i="44"/>
  <c r="T3" i="44"/>
  <c r="O3" i="44"/>
  <c r="H3" i="44"/>
  <c r="G3" i="44"/>
  <c r="F3" i="44"/>
  <c r="D3" i="44"/>
  <c r="C3" i="44"/>
  <c r="A2" i="44"/>
  <c r="A1" i="44"/>
  <c r="AB32" i="43"/>
  <c r="AD32" i="43" s="1"/>
  <c r="J32" i="43" s="1"/>
  <c r="Y32" i="43"/>
  <c r="X32" i="43"/>
  <c r="V32" i="43"/>
  <c r="U32" i="43"/>
  <c r="T32" i="43"/>
  <c r="P32" i="43"/>
  <c r="O32" i="43"/>
  <c r="Q32" i="43" s="1"/>
  <c r="M32" i="43"/>
  <c r="H32" i="43"/>
  <c r="C32" i="43"/>
  <c r="AD31" i="43"/>
  <c r="J31" i="43" s="1"/>
  <c r="I31" i="43" s="1"/>
  <c r="AB31" i="43"/>
  <c r="Y31" i="43"/>
  <c r="X31" i="43"/>
  <c r="P31" i="43"/>
  <c r="Q31" i="43" s="1"/>
  <c r="O31" i="43"/>
  <c r="M31" i="43"/>
  <c r="H31" i="43"/>
  <c r="C31" i="43"/>
  <c r="AD30" i="43"/>
  <c r="J30" i="43" s="1"/>
  <c r="AB30" i="43"/>
  <c r="Y30" i="43"/>
  <c r="X30" i="43"/>
  <c r="Q30" i="43"/>
  <c r="P30" i="43"/>
  <c r="O30" i="43"/>
  <c r="M30" i="43"/>
  <c r="H30" i="43"/>
  <c r="C30" i="43"/>
  <c r="AB29" i="43"/>
  <c r="AD29" i="43" s="1"/>
  <c r="J29" i="43" s="1"/>
  <c r="Y29" i="43"/>
  <c r="X29" i="43"/>
  <c r="P29" i="43"/>
  <c r="O29" i="43"/>
  <c r="Q29" i="43" s="1"/>
  <c r="M29" i="43"/>
  <c r="H29" i="43"/>
  <c r="C29" i="43"/>
  <c r="AB28" i="43"/>
  <c r="AD28" i="43" s="1"/>
  <c r="Y28" i="43"/>
  <c r="X28" i="43"/>
  <c r="P28" i="43"/>
  <c r="O28" i="43"/>
  <c r="Q28" i="43" s="1"/>
  <c r="M28" i="43"/>
  <c r="J28" i="43"/>
  <c r="H28" i="43"/>
  <c r="C28" i="43"/>
  <c r="AB27" i="43"/>
  <c r="AD27" i="43" s="1"/>
  <c r="J27" i="43" s="1"/>
  <c r="Y27" i="43"/>
  <c r="X27" i="43"/>
  <c r="Q27" i="43"/>
  <c r="P27" i="43"/>
  <c r="O27" i="43"/>
  <c r="M27" i="43"/>
  <c r="H27" i="43"/>
  <c r="C27" i="43"/>
  <c r="AD26" i="43"/>
  <c r="J26" i="43" s="1"/>
  <c r="AB26" i="43"/>
  <c r="Y26" i="43"/>
  <c r="X26" i="43"/>
  <c r="Q26" i="43"/>
  <c r="P26" i="43"/>
  <c r="O26" i="43"/>
  <c r="M26" i="43"/>
  <c r="H26" i="43"/>
  <c r="C26" i="43"/>
  <c r="AB25" i="43"/>
  <c r="AD25" i="43" s="1"/>
  <c r="J25" i="43" s="1"/>
  <c r="K25" i="43" s="1"/>
  <c r="Y25" i="43"/>
  <c r="X25" i="43"/>
  <c r="P25" i="43"/>
  <c r="O25" i="43"/>
  <c r="Q25" i="43" s="1"/>
  <c r="M25" i="43"/>
  <c r="H25" i="43"/>
  <c r="C25" i="43"/>
  <c r="AB24" i="43"/>
  <c r="AD24" i="43" s="1"/>
  <c r="J24" i="43" s="1"/>
  <c r="Y24" i="43"/>
  <c r="X24" i="43"/>
  <c r="P24" i="43"/>
  <c r="O24" i="43"/>
  <c r="M24" i="43"/>
  <c r="H24" i="43"/>
  <c r="C24" i="43"/>
  <c r="AD23" i="43"/>
  <c r="J23" i="43" s="1"/>
  <c r="I23" i="43" s="1"/>
  <c r="AB23" i="43"/>
  <c r="Y23" i="43"/>
  <c r="X23" i="43"/>
  <c r="P23" i="43"/>
  <c r="Q23" i="43" s="1"/>
  <c r="O23" i="43"/>
  <c r="M23" i="43"/>
  <c r="K23" i="43"/>
  <c r="H23" i="43"/>
  <c r="C23" i="43"/>
  <c r="AD22" i="43"/>
  <c r="J22" i="43" s="1"/>
  <c r="AB22" i="43"/>
  <c r="Y22" i="43"/>
  <c r="X22" i="43"/>
  <c r="Q22" i="43"/>
  <c r="P22" i="43"/>
  <c r="O22" i="43"/>
  <c r="M22" i="43"/>
  <c r="H22" i="43"/>
  <c r="C22" i="43"/>
  <c r="AB21" i="43"/>
  <c r="AD21" i="43" s="1"/>
  <c r="J21" i="43" s="1"/>
  <c r="Y21" i="43"/>
  <c r="X21" i="43"/>
  <c r="P21" i="43"/>
  <c r="O21" i="43"/>
  <c r="Q21" i="43" s="1"/>
  <c r="M21" i="43"/>
  <c r="H21" i="43"/>
  <c r="C21" i="43"/>
  <c r="AB20" i="43"/>
  <c r="AD20" i="43" s="1"/>
  <c r="Y20" i="43"/>
  <c r="X20" i="43"/>
  <c r="P20" i="43"/>
  <c r="O20" i="43"/>
  <c r="Q20" i="43" s="1"/>
  <c r="M20" i="43"/>
  <c r="J20" i="43"/>
  <c r="H20" i="43"/>
  <c r="C20" i="43"/>
  <c r="AB19" i="43"/>
  <c r="AD19" i="43" s="1"/>
  <c r="J19" i="43" s="1"/>
  <c r="Y19" i="43"/>
  <c r="X19" i="43"/>
  <c r="Q19" i="43"/>
  <c r="P19" i="43"/>
  <c r="O19" i="43"/>
  <c r="M19" i="43"/>
  <c r="H19" i="43"/>
  <c r="C19" i="43"/>
  <c r="AD18" i="43"/>
  <c r="J18" i="43" s="1"/>
  <c r="AB18" i="43"/>
  <c r="Y18" i="43"/>
  <c r="X18" i="43"/>
  <c r="Q18" i="43"/>
  <c r="P18" i="43"/>
  <c r="O18" i="43"/>
  <c r="M18" i="43"/>
  <c r="H18" i="43"/>
  <c r="C18" i="43"/>
  <c r="AB17" i="43"/>
  <c r="AD17" i="43" s="1"/>
  <c r="J17" i="43" s="1"/>
  <c r="K17" i="43" s="1"/>
  <c r="Y17" i="43"/>
  <c r="X17" i="43"/>
  <c r="P17" i="43"/>
  <c r="O17" i="43"/>
  <c r="Q17" i="43" s="1"/>
  <c r="M17" i="43"/>
  <c r="H17" i="43"/>
  <c r="C17" i="43"/>
  <c r="AB16" i="43"/>
  <c r="AD16" i="43" s="1"/>
  <c r="J16" i="43" s="1"/>
  <c r="Y16" i="43"/>
  <c r="X16" i="43"/>
  <c r="P16" i="43"/>
  <c r="O16" i="43"/>
  <c r="Q16" i="43" s="1"/>
  <c r="M16" i="43"/>
  <c r="H16" i="43"/>
  <c r="C16" i="43"/>
  <c r="AD15" i="43"/>
  <c r="J15" i="43" s="1"/>
  <c r="AB15" i="43"/>
  <c r="Y15" i="43"/>
  <c r="X15" i="43"/>
  <c r="P15" i="43"/>
  <c r="Q15" i="43" s="1"/>
  <c r="O15" i="43"/>
  <c r="M15" i="43"/>
  <c r="H15" i="43"/>
  <c r="C15" i="43"/>
  <c r="AD14" i="43"/>
  <c r="J14" i="43" s="1"/>
  <c r="AB14" i="43"/>
  <c r="Y14" i="43"/>
  <c r="X14" i="43"/>
  <c r="Q14" i="43"/>
  <c r="P14" i="43"/>
  <c r="O14" i="43"/>
  <c r="M14" i="43"/>
  <c r="H14" i="43"/>
  <c r="C14" i="43"/>
  <c r="AB13" i="43"/>
  <c r="AD13" i="43" s="1"/>
  <c r="J13" i="43" s="1"/>
  <c r="Y13" i="43"/>
  <c r="X13" i="43"/>
  <c r="P13" i="43"/>
  <c r="O13" i="43"/>
  <c r="Q13" i="43" s="1"/>
  <c r="M13" i="43"/>
  <c r="H13" i="43"/>
  <c r="C13" i="43"/>
  <c r="AB12" i="43"/>
  <c r="AD12" i="43" s="1"/>
  <c r="Y12" i="43"/>
  <c r="X12" i="43"/>
  <c r="P12" i="43"/>
  <c r="O12" i="43"/>
  <c r="Q12" i="43" s="1"/>
  <c r="M12" i="43"/>
  <c r="J12" i="43"/>
  <c r="H12" i="43"/>
  <c r="C12" i="43"/>
  <c r="AB11" i="43"/>
  <c r="AD11" i="43" s="1"/>
  <c r="J11" i="43" s="1"/>
  <c r="Y11" i="43"/>
  <c r="X11" i="43"/>
  <c r="Q11" i="43"/>
  <c r="P11" i="43"/>
  <c r="O11" i="43"/>
  <c r="M11" i="43"/>
  <c r="H11" i="43"/>
  <c r="C11" i="43"/>
  <c r="AD10" i="43"/>
  <c r="J10" i="43" s="1"/>
  <c r="AB10" i="43"/>
  <c r="Y10" i="43"/>
  <c r="X10" i="43"/>
  <c r="Q10" i="43"/>
  <c r="P10" i="43"/>
  <c r="O10" i="43"/>
  <c r="M10" i="43"/>
  <c r="H10" i="43"/>
  <c r="C10" i="43"/>
  <c r="AB9" i="43"/>
  <c r="AD9" i="43" s="1"/>
  <c r="J9" i="43" s="1"/>
  <c r="Y9" i="43"/>
  <c r="X9" i="43"/>
  <c r="P9" i="43"/>
  <c r="O9" i="43"/>
  <c r="Q9" i="43" s="1"/>
  <c r="M9" i="43"/>
  <c r="H9" i="43"/>
  <c r="C9" i="43"/>
  <c r="AB8" i="43"/>
  <c r="AD8" i="43" s="1"/>
  <c r="J8" i="43" s="1"/>
  <c r="Y8" i="43"/>
  <c r="X8" i="43"/>
  <c r="P8" i="43"/>
  <c r="O8" i="43"/>
  <c r="M8" i="43"/>
  <c r="H8" i="43"/>
  <c r="C8" i="43"/>
  <c r="AD7" i="43"/>
  <c r="J7" i="43" s="1"/>
  <c r="I7" i="43" s="1"/>
  <c r="AB7" i="43"/>
  <c r="Y7" i="43"/>
  <c r="X7" i="43"/>
  <c r="P7" i="43"/>
  <c r="Q7" i="43" s="1"/>
  <c r="O7" i="43"/>
  <c r="M7" i="43"/>
  <c r="K7" i="43"/>
  <c r="H7" i="43"/>
  <c r="C7" i="43"/>
  <c r="AD6" i="43"/>
  <c r="J6" i="43" s="1"/>
  <c r="AB6" i="43"/>
  <c r="Y6" i="43"/>
  <c r="X6" i="43"/>
  <c r="Q6" i="43"/>
  <c r="P6" i="43"/>
  <c r="O6" i="43"/>
  <c r="M6" i="43"/>
  <c r="H6" i="43"/>
  <c r="C6" i="43"/>
  <c r="AB5" i="43"/>
  <c r="AD5" i="43" s="1"/>
  <c r="J5" i="43" s="1"/>
  <c r="Y5" i="43"/>
  <c r="X5" i="43"/>
  <c r="P5" i="43"/>
  <c r="O5" i="43"/>
  <c r="Q5" i="43" s="1"/>
  <c r="M5" i="43"/>
  <c r="H5" i="43"/>
  <c r="C5" i="43"/>
  <c r="AB4" i="43"/>
  <c r="AD4" i="43" s="1"/>
  <c r="Y4" i="43"/>
  <c r="X4" i="43"/>
  <c r="P4" i="43"/>
  <c r="O4" i="43"/>
  <c r="Q4" i="43" s="1"/>
  <c r="M4" i="43"/>
  <c r="J4" i="43"/>
  <c r="H4" i="43"/>
  <c r="C4" i="43"/>
  <c r="AG3" i="43"/>
  <c r="AF3" i="43"/>
  <c r="W3" i="43"/>
  <c r="X3" i="43" s="1"/>
  <c r="V3" i="43"/>
  <c r="U3" i="43"/>
  <c r="T3" i="43"/>
  <c r="O3" i="43"/>
  <c r="H3" i="43"/>
  <c r="G3" i="43"/>
  <c r="F3" i="43"/>
  <c r="D3" i="43"/>
  <c r="C3" i="43"/>
  <c r="A2" i="43"/>
  <c r="A1" i="43"/>
  <c r="AB32" i="42"/>
  <c r="AD32" i="42" s="1"/>
  <c r="J32" i="42" s="1"/>
  <c r="Y32" i="42"/>
  <c r="X32" i="42"/>
  <c r="V32" i="42"/>
  <c r="U32" i="42"/>
  <c r="T32" i="42"/>
  <c r="P32" i="42"/>
  <c r="O32" i="42"/>
  <c r="Q32" i="42" s="1"/>
  <c r="M32" i="42"/>
  <c r="H32" i="42"/>
  <c r="C32" i="42"/>
  <c r="AD31" i="42"/>
  <c r="J31" i="42" s="1"/>
  <c r="AB31" i="42"/>
  <c r="Y31" i="42"/>
  <c r="X31" i="42"/>
  <c r="P31" i="42"/>
  <c r="Q31" i="42" s="1"/>
  <c r="O31" i="42"/>
  <c r="M31" i="42"/>
  <c r="H31" i="42"/>
  <c r="C31" i="42"/>
  <c r="AD30" i="42"/>
  <c r="J30" i="42" s="1"/>
  <c r="AB30" i="42"/>
  <c r="Y30" i="42"/>
  <c r="X30" i="42"/>
  <c r="Q30" i="42"/>
  <c r="P30" i="42"/>
  <c r="O30" i="42"/>
  <c r="M30" i="42"/>
  <c r="H30" i="42"/>
  <c r="C30" i="42"/>
  <c r="AB29" i="42"/>
  <c r="AD29" i="42" s="1"/>
  <c r="J29" i="42" s="1"/>
  <c r="Y29" i="42"/>
  <c r="X29" i="42"/>
  <c r="P29" i="42"/>
  <c r="O29" i="42"/>
  <c r="Q29" i="42" s="1"/>
  <c r="M29" i="42"/>
  <c r="H29" i="42"/>
  <c r="C29" i="42"/>
  <c r="AB28" i="42"/>
  <c r="AD28" i="42" s="1"/>
  <c r="Y28" i="42"/>
  <c r="X28" i="42"/>
  <c r="P28" i="42"/>
  <c r="O28" i="42"/>
  <c r="Q28" i="42" s="1"/>
  <c r="M28" i="42"/>
  <c r="J28" i="42"/>
  <c r="H28" i="42"/>
  <c r="C28" i="42"/>
  <c r="AB27" i="42"/>
  <c r="AD27" i="42" s="1"/>
  <c r="J27" i="42" s="1"/>
  <c r="Y27" i="42"/>
  <c r="X27" i="42"/>
  <c r="Q27" i="42"/>
  <c r="P27" i="42"/>
  <c r="O27" i="42"/>
  <c r="M27" i="42"/>
  <c r="H27" i="42"/>
  <c r="C27" i="42"/>
  <c r="AD26" i="42"/>
  <c r="J26" i="42" s="1"/>
  <c r="AB26" i="42"/>
  <c r="Y26" i="42"/>
  <c r="X26" i="42"/>
  <c r="Q26" i="42"/>
  <c r="P26" i="42"/>
  <c r="O26" i="42"/>
  <c r="M26" i="42"/>
  <c r="H26" i="42"/>
  <c r="C26" i="42"/>
  <c r="AD25" i="42"/>
  <c r="J25" i="42" s="1"/>
  <c r="AB25" i="42"/>
  <c r="Y25" i="42"/>
  <c r="X25" i="42"/>
  <c r="P25" i="42"/>
  <c r="O25" i="42"/>
  <c r="Q25" i="42" s="1"/>
  <c r="M25" i="42"/>
  <c r="H25" i="42"/>
  <c r="C25" i="42"/>
  <c r="AB24" i="42"/>
  <c r="AD24" i="42" s="1"/>
  <c r="J24" i="42" s="1"/>
  <c r="Y24" i="42"/>
  <c r="X24" i="42"/>
  <c r="P24" i="42"/>
  <c r="O24" i="42"/>
  <c r="Q24" i="42" s="1"/>
  <c r="M24" i="42"/>
  <c r="H24" i="42"/>
  <c r="C24" i="42"/>
  <c r="AD23" i="42"/>
  <c r="J23" i="42" s="1"/>
  <c r="I23" i="42" s="1"/>
  <c r="AB23" i="42"/>
  <c r="Y23" i="42"/>
  <c r="X23" i="42"/>
  <c r="P23" i="42"/>
  <c r="Q23" i="42" s="1"/>
  <c r="O23" i="42"/>
  <c r="M23" i="42"/>
  <c r="H23" i="42"/>
  <c r="C23" i="42"/>
  <c r="AD22" i="42"/>
  <c r="J22" i="42" s="1"/>
  <c r="AB22" i="42"/>
  <c r="Y22" i="42"/>
  <c r="X22" i="42"/>
  <c r="Q22" i="42"/>
  <c r="P22" i="42"/>
  <c r="O22" i="42"/>
  <c r="M22" i="42"/>
  <c r="H22" i="42"/>
  <c r="C22" i="42"/>
  <c r="AB21" i="42"/>
  <c r="AD21" i="42" s="1"/>
  <c r="J21" i="42" s="1"/>
  <c r="Y21" i="42"/>
  <c r="X21" i="42"/>
  <c r="P21" i="42"/>
  <c r="O21" i="42"/>
  <c r="Q21" i="42" s="1"/>
  <c r="M21" i="42"/>
  <c r="H21" i="42"/>
  <c r="C21" i="42"/>
  <c r="AB20" i="42"/>
  <c r="AD20" i="42" s="1"/>
  <c r="J20" i="42" s="1"/>
  <c r="Y20" i="42"/>
  <c r="X20" i="42"/>
  <c r="P20" i="42"/>
  <c r="O20" i="42"/>
  <c r="Q20" i="42" s="1"/>
  <c r="M20" i="42"/>
  <c r="H20" i="42"/>
  <c r="C20" i="42"/>
  <c r="AB19" i="42"/>
  <c r="AD19" i="42" s="1"/>
  <c r="J19" i="42" s="1"/>
  <c r="Y19" i="42"/>
  <c r="X19" i="42"/>
  <c r="Q19" i="42"/>
  <c r="P19" i="42"/>
  <c r="O19" i="42"/>
  <c r="M19" i="42"/>
  <c r="H19" i="42"/>
  <c r="C19" i="42"/>
  <c r="AD18" i="42"/>
  <c r="J18" i="42" s="1"/>
  <c r="AB18" i="42"/>
  <c r="Y18" i="42"/>
  <c r="X18" i="42"/>
  <c r="Q18" i="42"/>
  <c r="P18" i="42"/>
  <c r="O18" i="42"/>
  <c r="M18" i="42"/>
  <c r="H18" i="42"/>
  <c r="C18" i="42"/>
  <c r="AB17" i="42"/>
  <c r="AD17" i="42" s="1"/>
  <c r="J17" i="42" s="1"/>
  <c r="K17" i="42" s="1"/>
  <c r="Y17" i="42"/>
  <c r="X17" i="42"/>
  <c r="P17" i="42"/>
  <c r="O17" i="42"/>
  <c r="Q17" i="42" s="1"/>
  <c r="M17" i="42"/>
  <c r="I17" i="42"/>
  <c r="H17" i="42"/>
  <c r="C17" i="42"/>
  <c r="AB16" i="42"/>
  <c r="AD16" i="42" s="1"/>
  <c r="J16" i="42" s="1"/>
  <c r="Y16" i="42"/>
  <c r="X16" i="42"/>
  <c r="P16" i="42"/>
  <c r="O16" i="42"/>
  <c r="M16" i="42"/>
  <c r="H16" i="42"/>
  <c r="C16" i="42"/>
  <c r="AD15" i="42"/>
  <c r="AB15" i="42"/>
  <c r="Y15" i="42"/>
  <c r="X15" i="42"/>
  <c r="P15" i="42"/>
  <c r="Q15" i="42" s="1"/>
  <c r="O15" i="42"/>
  <c r="M15" i="42"/>
  <c r="H15" i="42"/>
  <c r="C15" i="42"/>
  <c r="AG3" i="42"/>
  <c r="AF3" i="42"/>
  <c r="X3" i="42"/>
  <c r="W3" i="42"/>
  <c r="V3" i="42"/>
  <c r="U3" i="42"/>
  <c r="T3" i="42"/>
  <c r="O3" i="42"/>
  <c r="H3" i="42"/>
  <c r="G3" i="42"/>
  <c r="F3" i="42"/>
  <c r="D3" i="42"/>
  <c r="C3" i="42"/>
  <c r="A2" i="42"/>
  <c r="A1" i="42"/>
  <c r="AD32" i="41"/>
  <c r="J32" i="41" s="1"/>
  <c r="AB32" i="41"/>
  <c r="Y32" i="41"/>
  <c r="X32" i="41"/>
  <c r="V32" i="41"/>
  <c r="U32" i="41"/>
  <c r="T32" i="41"/>
  <c r="Q32" i="41"/>
  <c r="P32" i="41"/>
  <c r="O32" i="41"/>
  <c r="M32" i="41"/>
  <c r="H32" i="41"/>
  <c r="C32" i="41"/>
  <c r="AD31" i="41"/>
  <c r="J31" i="41" s="1"/>
  <c r="AB31" i="41"/>
  <c r="Y31" i="41"/>
  <c r="X31" i="41"/>
  <c r="Q31" i="41"/>
  <c r="P31" i="41"/>
  <c r="O31" i="41"/>
  <c r="M31" i="41"/>
  <c r="H31" i="41"/>
  <c r="C31" i="41"/>
  <c r="AB30" i="41"/>
  <c r="AD30" i="41" s="1"/>
  <c r="J30" i="41" s="1"/>
  <c r="K30" i="41" s="1"/>
  <c r="Y30" i="41"/>
  <c r="X30" i="41"/>
  <c r="P30" i="41"/>
  <c r="O30" i="41"/>
  <c r="Q30" i="41" s="1"/>
  <c r="M30" i="41"/>
  <c r="I30" i="41"/>
  <c r="H30" i="41"/>
  <c r="C30" i="41"/>
  <c r="AB29" i="41"/>
  <c r="AD29" i="41" s="1"/>
  <c r="J29" i="41" s="1"/>
  <c r="Y29" i="41"/>
  <c r="X29" i="41"/>
  <c r="P29" i="41"/>
  <c r="O29" i="41"/>
  <c r="Q29" i="41" s="1"/>
  <c r="M29" i="41"/>
  <c r="H29" i="41"/>
  <c r="C29" i="41"/>
  <c r="AD28" i="41"/>
  <c r="J28" i="41" s="1"/>
  <c r="I28" i="41" s="1"/>
  <c r="AB28" i="41"/>
  <c r="Y28" i="41"/>
  <c r="X28" i="41"/>
  <c r="P28" i="41"/>
  <c r="Q28" i="41" s="1"/>
  <c r="O28" i="41"/>
  <c r="M28" i="41"/>
  <c r="H28" i="41"/>
  <c r="C28" i="41"/>
  <c r="AD27" i="41"/>
  <c r="J27" i="41" s="1"/>
  <c r="AB27" i="41"/>
  <c r="Y27" i="41"/>
  <c r="X27" i="41"/>
  <c r="Q27" i="41"/>
  <c r="P27" i="41"/>
  <c r="O27" i="41"/>
  <c r="M27" i="41"/>
  <c r="H27" i="41"/>
  <c r="C27" i="41"/>
  <c r="AB26" i="41"/>
  <c r="AD26" i="41" s="1"/>
  <c r="J26" i="41" s="1"/>
  <c r="Y26" i="41"/>
  <c r="X26" i="41"/>
  <c r="P26" i="41"/>
  <c r="O26" i="41"/>
  <c r="Q26" i="41" s="1"/>
  <c r="M26" i="41"/>
  <c r="H26" i="41"/>
  <c r="C26" i="41"/>
  <c r="AB25" i="41"/>
  <c r="AD25" i="41" s="1"/>
  <c r="Y25" i="41"/>
  <c r="X25" i="41"/>
  <c r="P25" i="41"/>
  <c r="O25" i="41"/>
  <c r="Q25" i="41" s="1"/>
  <c r="M25" i="41"/>
  <c r="J25" i="41"/>
  <c r="H25" i="41"/>
  <c r="C25" i="41"/>
  <c r="AB24" i="41"/>
  <c r="AD24" i="41" s="1"/>
  <c r="J24" i="41" s="1"/>
  <c r="Y24" i="41"/>
  <c r="X24" i="41"/>
  <c r="Q24" i="41"/>
  <c r="P24" i="41"/>
  <c r="O24" i="41"/>
  <c r="M24" i="41"/>
  <c r="H24" i="41"/>
  <c r="C24" i="41"/>
  <c r="AD23" i="41"/>
  <c r="J23" i="41" s="1"/>
  <c r="AB23" i="41"/>
  <c r="Y23" i="41"/>
  <c r="X23" i="41"/>
  <c r="Q23" i="41"/>
  <c r="P23" i="41"/>
  <c r="O23" i="41"/>
  <c r="M23" i="41"/>
  <c r="H23" i="41"/>
  <c r="C23" i="41"/>
  <c r="AB22" i="41"/>
  <c r="AD22" i="41" s="1"/>
  <c r="J22" i="41" s="1"/>
  <c r="K22" i="41" s="1"/>
  <c r="Y22" i="41"/>
  <c r="X22" i="41"/>
  <c r="P22" i="41"/>
  <c r="O22" i="41"/>
  <c r="Q22" i="41" s="1"/>
  <c r="M22" i="41"/>
  <c r="H22" i="41"/>
  <c r="C22" i="41"/>
  <c r="AB21" i="41"/>
  <c r="AD21" i="41" s="1"/>
  <c r="J21" i="41" s="1"/>
  <c r="Y21" i="41"/>
  <c r="X21" i="41"/>
  <c r="P21" i="41"/>
  <c r="O21" i="41"/>
  <c r="M21" i="41"/>
  <c r="H21" i="41"/>
  <c r="C21" i="41"/>
  <c r="AD20" i="41"/>
  <c r="J20" i="41" s="1"/>
  <c r="I20" i="41" s="1"/>
  <c r="AB20" i="41"/>
  <c r="Y20" i="41"/>
  <c r="X20" i="41"/>
  <c r="P20" i="41"/>
  <c r="Q20" i="41" s="1"/>
  <c r="O20" i="41"/>
  <c r="M20" i="41"/>
  <c r="K20" i="41"/>
  <c r="H20" i="41"/>
  <c r="C20" i="41"/>
  <c r="AD19" i="41"/>
  <c r="J19" i="41" s="1"/>
  <c r="AB19" i="41"/>
  <c r="Y19" i="41"/>
  <c r="X19" i="41"/>
  <c r="Q19" i="41"/>
  <c r="P19" i="41"/>
  <c r="O19" i="41"/>
  <c r="M19" i="41"/>
  <c r="H19" i="41"/>
  <c r="C19" i="41"/>
  <c r="AB18" i="41"/>
  <c r="AD18" i="41" s="1"/>
  <c r="J18" i="41" s="1"/>
  <c r="Y18" i="41"/>
  <c r="X18" i="41"/>
  <c r="P18" i="41"/>
  <c r="O18" i="41"/>
  <c r="Q18" i="41" s="1"/>
  <c r="M18" i="41"/>
  <c r="H18" i="41"/>
  <c r="C18" i="41"/>
  <c r="AB17" i="41"/>
  <c r="AD17" i="41" s="1"/>
  <c r="Y17" i="41"/>
  <c r="X17" i="41"/>
  <c r="P17" i="41"/>
  <c r="O17" i="41"/>
  <c r="Q17" i="41" s="1"/>
  <c r="M17" i="41"/>
  <c r="J17" i="41"/>
  <c r="H17" i="41"/>
  <c r="C17" i="41"/>
  <c r="AB16" i="41"/>
  <c r="AD16" i="41" s="1"/>
  <c r="J16" i="41" s="1"/>
  <c r="Y16" i="41"/>
  <c r="X16" i="41"/>
  <c r="Q16" i="41"/>
  <c r="P16" i="41"/>
  <c r="O16" i="41"/>
  <c r="M16" i="41"/>
  <c r="H16" i="41"/>
  <c r="C16" i="41"/>
  <c r="AD15" i="41"/>
  <c r="J15" i="41" s="1"/>
  <c r="AB15" i="41"/>
  <c r="Y15" i="41"/>
  <c r="X15" i="41"/>
  <c r="Q15" i="41"/>
  <c r="P15" i="41"/>
  <c r="O15" i="41"/>
  <c r="M15" i="41"/>
  <c r="H15" i="41"/>
  <c r="C15" i="41"/>
  <c r="AB14" i="41"/>
  <c r="AD14" i="41" s="1"/>
  <c r="J14" i="41" s="1"/>
  <c r="K14" i="41" s="1"/>
  <c r="Y14" i="41"/>
  <c r="X14" i="41"/>
  <c r="P14" i="41"/>
  <c r="O14" i="41"/>
  <c r="Q14" i="41" s="1"/>
  <c r="M14" i="41"/>
  <c r="H14" i="41"/>
  <c r="C14" i="41"/>
  <c r="AB13" i="41"/>
  <c r="AD13" i="41" s="1"/>
  <c r="J13" i="41" s="1"/>
  <c r="Y13" i="41"/>
  <c r="X13" i="41"/>
  <c r="P13" i="41"/>
  <c r="O13" i="41"/>
  <c r="Q13" i="41" s="1"/>
  <c r="M13" i="41"/>
  <c r="H13" i="41"/>
  <c r="C13" i="41"/>
  <c r="AD12" i="41"/>
  <c r="J12" i="41" s="1"/>
  <c r="AB12" i="41"/>
  <c r="Y12" i="41"/>
  <c r="X12" i="41"/>
  <c r="P12" i="41"/>
  <c r="Q12" i="41" s="1"/>
  <c r="O12" i="41"/>
  <c r="M12" i="41"/>
  <c r="H12" i="41"/>
  <c r="C12" i="41"/>
  <c r="AD11" i="41"/>
  <c r="J11" i="41" s="1"/>
  <c r="AB11" i="41"/>
  <c r="Y11" i="41"/>
  <c r="X11" i="41"/>
  <c r="Q11" i="41"/>
  <c r="P11" i="41"/>
  <c r="O11" i="41"/>
  <c r="M11" i="41"/>
  <c r="H11" i="41"/>
  <c r="C11" i="41"/>
  <c r="AB10" i="41"/>
  <c r="AD10" i="41" s="1"/>
  <c r="J10" i="41" s="1"/>
  <c r="Y10" i="41"/>
  <c r="X10" i="41"/>
  <c r="P10" i="41"/>
  <c r="O10" i="41"/>
  <c r="Q10" i="41" s="1"/>
  <c r="M10" i="41"/>
  <c r="H10" i="41"/>
  <c r="C10" i="41"/>
  <c r="AB9" i="41"/>
  <c r="AD9" i="41" s="1"/>
  <c r="Y9" i="41"/>
  <c r="X9" i="41"/>
  <c r="P9" i="41"/>
  <c r="O9" i="41"/>
  <c r="Q9" i="41" s="1"/>
  <c r="M9" i="41"/>
  <c r="J9" i="41"/>
  <c r="H9" i="41"/>
  <c r="C9" i="41"/>
  <c r="AB8" i="41"/>
  <c r="AD8" i="41" s="1"/>
  <c r="J8" i="41" s="1"/>
  <c r="Y8" i="41"/>
  <c r="X8" i="41"/>
  <c r="Q8" i="41"/>
  <c r="P8" i="41"/>
  <c r="O8" i="41"/>
  <c r="M8" i="41"/>
  <c r="H8" i="41"/>
  <c r="C8" i="41"/>
  <c r="AD7" i="41"/>
  <c r="J7" i="41" s="1"/>
  <c r="AB7" i="41"/>
  <c r="Y7" i="41"/>
  <c r="X7" i="41"/>
  <c r="Q7" i="41"/>
  <c r="P7" i="41"/>
  <c r="O7" i="41"/>
  <c r="M7" i="41"/>
  <c r="H7" i="41"/>
  <c r="C7" i="41"/>
  <c r="AB6" i="41"/>
  <c r="AD6" i="41" s="1"/>
  <c r="J6" i="41" s="1"/>
  <c r="Y6" i="41"/>
  <c r="X6" i="41"/>
  <c r="P6" i="41"/>
  <c r="O6" i="41"/>
  <c r="Q6" i="41" s="1"/>
  <c r="M6" i="41"/>
  <c r="H6" i="41"/>
  <c r="C6" i="41"/>
  <c r="AB5" i="41"/>
  <c r="AD5" i="41" s="1"/>
  <c r="J5" i="41" s="1"/>
  <c r="Y5" i="41"/>
  <c r="X5" i="41"/>
  <c r="P5" i="41"/>
  <c r="O5" i="41"/>
  <c r="M5" i="41"/>
  <c r="H5" i="41"/>
  <c r="C5" i="41"/>
  <c r="AD4" i="41"/>
  <c r="AB4" i="41"/>
  <c r="Y4" i="41"/>
  <c r="X4" i="41"/>
  <c r="P4" i="41"/>
  <c r="Q4" i="41" s="1"/>
  <c r="O4" i="41"/>
  <c r="M4" i="41"/>
  <c r="H4" i="41"/>
  <c r="C4" i="41"/>
  <c r="AG3" i="41"/>
  <c r="AF3" i="41"/>
  <c r="X3" i="41"/>
  <c r="W3" i="41"/>
  <c r="V3" i="41"/>
  <c r="U3" i="41"/>
  <c r="T3" i="41"/>
  <c r="O3" i="41"/>
  <c r="H3" i="41"/>
  <c r="G3" i="41"/>
  <c r="F3" i="41"/>
  <c r="D3" i="41"/>
  <c r="C3" i="41"/>
  <c r="A2" i="41"/>
  <c r="A1" i="41"/>
  <c r="AD32" i="40"/>
  <c r="J32" i="40" s="1"/>
  <c r="AB32" i="40"/>
  <c r="Y32" i="40"/>
  <c r="X32" i="40"/>
  <c r="V32" i="40"/>
  <c r="U32" i="40"/>
  <c r="T32" i="40"/>
  <c r="Q32" i="40"/>
  <c r="P32" i="40"/>
  <c r="O32" i="40"/>
  <c r="M32" i="40"/>
  <c r="H32" i="40"/>
  <c r="C32" i="40"/>
  <c r="AD31" i="40"/>
  <c r="J31" i="40" s="1"/>
  <c r="AB31" i="40"/>
  <c r="Y31" i="40"/>
  <c r="X31" i="40"/>
  <c r="Q31" i="40"/>
  <c r="P31" i="40"/>
  <c r="O31" i="40"/>
  <c r="M31" i="40"/>
  <c r="H31" i="40"/>
  <c r="C31" i="40"/>
  <c r="AB30" i="40"/>
  <c r="AD30" i="40" s="1"/>
  <c r="J30" i="40" s="1"/>
  <c r="K30" i="40" s="1"/>
  <c r="Y30" i="40"/>
  <c r="X30" i="40"/>
  <c r="P30" i="40"/>
  <c r="O30" i="40"/>
  <c r="Q30" i="40" s="1"/>
  <c r="M30" i="40"/>
  <c r="H30" i="40"/>
  <c r="C30" i="40"/>
  <c r="AB29" i="40"/>
  <c r="AD29" i="40" s="1"/>
  <c r="J29" i="40" s="1"/>
  <c r="K29" i="40" s="1"/>
  <c r="Y29" i="40"/>
  <c r="X29" i="40"/>
  <c r="P29" i="40"/>
  <c r="O29" i="40"/>
  <c r="Q29" i="40" s="1"/>
  <c r="M29" i="40"/>
  <c r="I29" i="40"/>
  <c r="H29" i="40"/>
  <c r="C29" i="40"/>
  <c r="AD28" i="40"/>
  <c r="J28" i="40" s="1"/>
  <c r="I28" i="40" s="1"/>
  <c r="AB28" i="40"/>
  <c r="Y28" i="40"/>
  <c r="X28" i="40"/>
  <c r="P28" i="40"/>
  <c r="Q28" i="40" s="1"/>
  <c r="O28" i="40"/>
  <c r="M28" i="40"/>
  <c r="K28" i="40"/>
  <c r="H28" i="40"/>
  <c r="C28" i="40"/>
  <c r="AD27" i="40"/>
  <c r="J27" i="40" s="1"/>
  <c r="I27" i="40" s="1"/>
  <c r="AB27" i="40"/>
  <c r="Y27" i="40"/>
  <c r="X27" i="40"/>
  <c r="Q27" i="40"/>
  <c r="P27" i="40"/>
  <c r="O27" i="40"/>
  <c r="M27" i="40"/>
  <c r="K27" i="40"/>
  <c r="H27" i="40"/>
  <c r="C27" i="40"/>
  <c r="AB26" i="40"/>
  <c r="AD26" i="40" s="1"/>
  <c r="J26" i="40" s="1"/>
  <c r="Y26" i="40"/>
  <c r="X26" i="40"/>
  <c r="P26" i="40"/>
  <c r="O26" i="40"/>
  <c r="Q26" i="40" s="1"/>
  <c r="M26" i="40"/>
  <c r="H26" i="40"/>
  <c r="C26" i="40"/>
  <c r="AB25" i="40"/>
  <c r="AD25" i="40" s="1"/>
  <c r="Y25" i="40"/>
  <c r="X25" i="40"/>
  <c r="P25" i="40"/>
  <c r="O25" i="40"/>
  <c r="Q25" i="40" s="1"/>
  <c r="M25" i="40"/>
  <c r="J25" i="40"/>
  <c r="H25" i="40"/>
  <c r="C25" i="40"/>
  <c r="AB24" i="40"/>
  <c r="AD24" i="40" s="1"/>
  <c r="Y24" i="40"/>
  <c r="X24" i="40"/>
  <c r="Q24" i="40"/>
  <c r="P24" i="40"/>
  <c r="O24" i="40"/>
  <c r="M24" i="40"/>
  <c r="J24" i="40"/>
  <c r="H24" i="40"/>
  <c r="C24" i="40"/>
  <c r="AD23" i="40"/>
  <c r="J23" i="40" s="1"/>
  <c r="AB23" i="40"/>
  <c r="Y23" i="40"/>
  <c r="X23" i="40"/>
  <c r="Q23" i="40"/>
  <c r="P23" i="40"/>
  <c r="O23" i="40"/>
  <c r="M23" i="40"/>
  <c r="H23" i="40"/>
  <c r="C23" i="40"/>
  <c r="AB22" i="40"/>
  <c r="AD22" i="40" s="1"/>
  <c r="J22" i="40" s="1"/>
  <c r="K22" i="40" s="1"/>
  <c r="Y22" i="40"/>
  <c r="X22" i="40"/>
  <c r="P22" i="40"/>
  <c r="O22" i="40"/>
  <c r="Q22" i="40" s="1"/>
  <c r="M22" i="40"/>
  <c r="H22" i="40"/>
  <c r="C22" i="40"/>
  <c r="AB21" i="40"/>
  <c r="AD21" i="40" s="1"/>
  <c r="J21" i="40" s="1"/>
  <c r="Y21" i="40"/>
  <c r="X21" i="40"/>
  <c r="P21" i="40"/>
  <c r="O21" i="40"/>
  <c r="Q21" i="40" s="1"/>
  <c r="M21" i="40"/>
  <c r="H21" i="40"/>
  <c r="C21" i="40"/>
  <c r="AD20" i="40"/>
  <c r="J20" i="40" s="1"/>
  <c r="I20" i="40" s="1"/>
  <c r="AB20" i="40"/>
  <c r="Y20" i="40"/>
  <c r="X20" i="40"/>
  <c r="P20" i="40"/>
  <c r="Q20" i="40" s="1"/>
  <c r="O20" i="40"/>
  <c r="M20" i="40"/>
  <c r="K20" i="40"/>
  <c r="H20" i="40"/>
  <c r="C20" i="40"/>
  <c r="AD19" i="40"/>
  <c r="J19" i="40" s="1"/>
  <c r="I19" i="40" s="1"/>
  <c r="AB19" i="40"/>
  <c r="Y19" i="40"/>
  <c r="X19" i="40"/>
  <c r="Q19" i="40"/>
  <c r="P19" i="40"/>
  <c r="O19" i="40"/>
  <c r="M19" i="40"/>
  <c r="K19" i="40"/>
  <c r="H19" i="40"/>
  <c r="C19" i="40"/>
  <c r="AB18" i="40"/>
  <c r="AD18" i="40" s="1"/>
  <c r="J18" i="40" s="1"/>
  <c r="Y18" i="40"/>
  <c r="X18" i="40"/>
  <c r="P18" i="40"/>
  <c r="O18" i="40"/>
  <c r="Q18" i="40" s="1"/>
  <c r="M18" i="40"/>
  <c r="H18" i="40"/>
  <c r="C18" i="40"/>
  <c r="AB17" i="40"/>
  <c r="AD17" i="40" s="1"/>
  <c r="J17" i="40" s="1"/>
  <c r="Y17" i="40"/>
  <c r="X17" i="40"/>
  <c r="P17" i="40"/>
  <c r="O17" i="40"/>
  <c r="Q17" i="40" s="1"/>
  <c r="M17" i="40"/>
  <c r="H17" i="40"/>
  <c r="C17" i="40"/>
  <c r="AB16" i="40"/>
  <c r="AD16" i="40" s="1"/>
  <c r="AD3" i="40" s="1"/>
  <c r="Y16" i="40"/>
  <c r="X16" i="40"/>
  <c r="Q16" i="40"/>
  <c r="P16" i="40"/>
  <c r="O16" i="40"/>
  <c r="M16" i="40"/>
  <c r="J16" i="40"/>
  <c r="H16" i="40"/>
  <c r="C16" i="40"/>
  <c r="AD15" i="40"/>
  <c r="J15" i="40" s="1"/>
  <c r="AB15" i="40"/>
  <c r="Y15" i="40"/>
  <c r="X15" i="40"/>
  <c r="Q15" i="40"/>
  <c r="P15" i="40"/>
  <c r="O15" i="40"/>
  <c r="M15" i="40"/>
  <c r="H15" i="40"/>
  <c r="C15" i="40"/>
  <c r="AG3" i="40"/>
  <c r="AF3" i="40"/>
  <c r="W3" i="40"/>
  <c r="V3" i="40"/>
  <c r="U3" i="40"/>
  <c r="T3" i="40"/>
  <c r="O3" i="40"/>
  <c r="G3" i="40"/>
  <c r="F3" i="40"/>
  <c r="H3" i="40" s="1"/>
  <c r="D3" i="40"/>
  <c r="X3" i="40" s="1"/>
  <c r="C3" i="40"/>
  <c r="A2" i="40"/>
  <c r="A1" i="40"/>
  <c r="AD32" i="39"/>
  <c r="J32" i="39" s="1"/>
  <c r="I32" i="39" s="1"/>
  <c r="AB32" i="39"/>
  <c r="Y32" i="39"/>
  <c r="X32" i="39"/>
  <c r="V32" i="39"/>
  <c r="U32" i="39"/>
  <c r="T32" i="39"/>
  <c r="Q32" i="39"/>
  <c r="P32" i="39"/>
  <c r="O32" i="39"/>
  <c r="M32" i="39"/>
  <c r="K32" i="39"/>
  <c r="H32" i="39"/>
  <c r="C32" i="39"/>
  <c r="AB31" i="39"/>
  <c r="AD31" i="39" s="1"/>
  <c r="J31" i="39" s="1"/>
  <c r="Y31" i="39"/>
  <c r="X31" i="39"/>
  <c r="P31" i="39"/>
  <c r="O31" i="39"/>
  <c r="Q31" i="39" s="1"/>
  <c r="M31" i="39"/>
  <c r="H31" i="39"/>
  <c r="C31" i="39"/>
  <c r="AB30" i="39"/>
  <c r="AD30" i="39" s="1"/>
  <c r="Y30" i="39"/>
  <c r="X30" i="39"/>
  <c r="Q30" i="39"/>
  <c r="P30" i="39"/>
  <c r="O30" i="39"/>
  <c r="M30" i="39"/>
  <c r="J30" i="39"/>
  <c r="K30" i="39" s="1"/>
  <c r="H30" i="39"/>
  <c r="C30" i="39"/>
  <c r="AD29" i="39"/>
  <c r="J29" i="39" s="1"/>
  <c r="I29" i="39" s="1"/>
  <c r="AB29" i="39"/>
  <c r="Y29" i="39"/>
  <c r="X29" i="39"/>
  <c r="P29" i="39"/>
  <c r="O29" i="39"/>
  <c r="Q29" i="39" s="1"/>
  <c r="M29" i="39"/>
  <c r="H29" i="39"/>
  <c r="C29" i="39"/>
  <c r="AD28" i="39"/>
  <c r="J28" i="39" s="1"/>
  <c r="AB28" i="39"/>
  <c r="Y28" i="39"/>
  <c r="X28" i="39"/>
  <c r="Q28" i="39"/>
  <c r="P28" i="39"/>
  <c r="O28" i="39"/>
  <c r="M28" i="39"/>
  <c r="H28" i="39"/>
  <c r="C28" i="39"/>
  <c r="AD27" i="39"/>
  <c r="J27" i="39" s="1"/>
  <c r="K27" i="39" s="1"/>
  <c r="AB27" i="39"/>
  <c r="Y27" i="39"/>
  <c r="X27" i="39"/>
  <c r="P27" i="39"/>
  <c r="O27" i="39"/>
  <c r="Q27" i="39" s="1"/>
  <c r="M27" i="39"/>
  <c r="I27" i="39"/>
  <c r="H27" i="39"/>
  <c r="C27" i="39"/>
  <c r="AD26" i="39"/>
  <c r="AB26" i="39"/>
  <c r="Y26" i="39"/>
  <c r="X26" i="39"/>
  <c r="P26" i="39"/>
  <c r="O26" i="39"/>
  <c r="M26" i="39"/>
  <c r="J26" i="39"/>
  <c r="K26" i="39" s="1"/>
  <c r="H26" i="39"/>
  <c r="C26" i="39"/>
  <c r="AD25" i="39"/>
  <c r="J25" i="39" s="1"/>
  <c r="I25" i="39" s="1"/>
  <c r="AB25" i="39"/>
  <c r="Y25" i="39"/>
  <c r="X25" i="39"/>
  <c r="Q25" i="39"/>
  <c r="P25" i="39"/>
  <c r="O25" i="39"/>
  <c r="M25" i="39"/>
  <c r="K25" i="39"/>
  <c r="H25" i="39"/>
  <c r="C25" i="39"/>
  <c r="AD24" i="39"/>
  <c r="J24" i="39" s="1"/>
  <c r="I24" i="39" s="1"/>
  <c r="AB24" i="39"/>
  <c r="Y24" i="39"/>
  <c r="X24" i="39"/>
  <c r="P24" i="39"/>
  <c r="O24" i="39"/>
  <c r="Q24" i="39" s="1"/>
  <c r="M24" i="39"/>
  <c r="K24" i="39"/>
  <c r="H24" i="39"/>
  <c r="C24" i="39"/>
  <c r="AD23" i="39"/>
  <c r="J23" i="39" s="1"/>
  <c r="AB23" i="39"/>
  <c r="Y23" i="39"/>
  <c r="X23" i="39"/>
  <c r="P23" i="39"/>
  <c r="O23" i="39"/>
  <c r="Q23" i="39" s="1"/>
  <c r="M23" i="39"/>
  <c r="H23" i="39"/>
  <c r="C23" i="39"/>
  <c r="AB22" i="39"/>
  <c r="AD22" i="39" s="1"/>
  <c r="J22" i="39" s="1"/>
  <c r="Y22" i="39"/>
  <c r="X22" i="39"/>
  <c r="P22" i="39"/>
  <c r="Q22" i="39" s="1"/>
  <c r="O22" i="39"/>
  <c r="M22" i="39"/>
  <c r="H22" i="39"/>
  <c r="C22" i="39"/>
  <c r="AB21" i="39"/>
  <c r="AD21" i="39" s="1"/>
  <c r="Y21" i="39"/>
  <c r="X21" i="39"/>
  <c r="P21" i="39"/>
  <c r="Q21" i="39" s="1"/>
  <c r="O21" i="39"/>
  <c r="M21" i="39"/>
  <c r="J21" i="39"/>
  <c r="H21" i="39"/>
  <c r="C21" i="39"/>
  <c r="AB20" i="39"/>
  <c r="AD20" i="39" s="1"/>
  <c r="J20" i="39" s="1"/>
  <c r="Y20" i="39"/>
  <c r="X20" i="39"/>
  <c r="Q20" i="39"/>
  <c r="P20" i="39"/>
  <c r="O20" i="39"/>
  <c r="M20" i="39"/>
  <c r="H20" i="39"/>
  <c r="C20" i="39"/>
  <c r="AB19" i="39"/>
  <c r="AD19" i="39" s="1"/>
  <c r="J19" i="39" s="1"/>
  <c r="Y19" i="39"/>
  <c r="X19" i="39"/>
  <c r="P19" i="39"/>
  <c r="Q19" i="39" s="1"/>
  <c r="O19" i="39"/>
  <c r="M19" i="39"/>
  <c r="H19" i="39"/>
  <c r="C19" i="39"/>
  <c r="AD18" i="39"/>
  <c r="J18" i="39" s="1"/>
  <c r="AB18" i="39"/>
  <c r="Y18" i="39"/>
  <c r="X18" i="39"/>
  <c r="P18" i="39"/>
  <c r="O18" i="39"/>
  <c r="Q18" i="39" s="1"/>
  <c r="M18" i="39"/>
  <c r="H18" i="39"/>
  <c r="C18" i="39"/>
  <c r="AB17" i="39"/>
  <c r="AD17" i="39" s="1"/>
  <c r="J17" i="39" s="1"/>
  <c r="Y17" i="39"/>
  <c r="X17" i="39"/>
  <c r="P17" i="39"/>
  <c r="Q17" i="39" s="1"/>
  <c r="O17" i="39"/>
  <c r="M17" i="39"/>
  <c r="H17" i="39"/>
  <c r="C17" i="39"/>
  <c r="AD16" i="39"/>
  <c r="J16" i="39" s="1"/>
  <c r="AB16" i="39"/>
  <c r="Y16" i="39"/>
  <c r="X16" i="39"/>
  <c r="Q16" i="39"/>
  <c r="P16" i="39"/>
  <c r="O16" i="39"/>
  <c r="M16" i="39"/>
  <c r="H16" i="39"/>
  <c r="C16" i="39"/>
  <c r="AB15" i="39"/>
  <c r="AD15" i="39" s="1"/>
  <c r="J15" i="39" s="1"/>
  <c r="Y15" i="39"/>
  <c r="X15" i="39"/>
  <c r="P15" i="39"/>
  <c r="O15" i="39"/>
  <c r="Q15" i="39" s="1"/>
  <c r="M15" i="39"/>
  <c r="H15" i="39"/>
  <c r="C15" i="39"/>
  <c r="AD14" i="39"/>
  <c r="J14" i="39" s="1"/>
  <c r="K14" i="39" s="1"/>
  <c r="AB14" i="39"/>
  <c r="Y14" i="39"/>
  <c r="X14" i="39"/>
  <c r="Q14" i="39"/>
  <c r="P14" i="39"/>
  <c r="O14" i="39"/>
  <c r="M14" i="39"/>
  <c r="I14" i="39"/>
  <c r="H14" i="39"/>
  <c r="C14" i="39"/>
  <c r="AB13" i="39"/>
  <c r="AD13" i="39" s="1"/>
  <c r="J13" i="39" s="1"/>
  <c r="Y13" i="39"/>
  <c r="X13" i="39"/>
  <c r="P13" i="39"/>
  <c r="Q13" i="39" s="1"/>
  <c r="O13" i="39"/>
  <c r="M13" i="39"/>
  <c r="H13" i="39"/>
  <c r="C13" i="39"/>
  <c r="AD12" i="39"/>
  <c r="J12" i="39" s="1"/>
  <c r="I12" i="39" s="1"/>
  <c r="AB12" i="39"/>
  <c r="Y12" i="39"/>
  <c r="X12" i="39"/>
  <c r="P12" i="39"/>
  <c r="O12" i="39"/>
  <c r="Q12" i="39" s="1"/>
  <c r="M12" i="39"/>
  <c r="H12" i="39"/>
  <c r="C12" i="39"/>
  <c r="AB11" i="39"/>
  <c r="AD11" i="39" s="1"/>
  <c r="J11" i="39" s="1"/>
  <c r="Y11" i="39"/>
  <c r="X11" i="39"/>
  <c r="P11" i="39"/>
  <c r="O11" i="39"/>
  <c r="Q11" i="39" s="1"/>
  <c r="M11" i="39"/>
  <c r="H11" i="39"/>
  <c r="C11" i="39"/>
  <c r="AD10" i="39"/>
  <c r="J10" i="39" s="1"/>
  <c r="AB10" i="39"/>
  <c r="Y10" i="39"/>
  <c r="X10" i="39"/>
  <c r="P10" i="39"/>
  <c r="O10" i="39"/>
  <c r="Q10" i="39" s="1"/>
  <c r="M10" i="39"/>
  <c r="H10" i="39"/>
  <c r="C10" i="39"/>
  <c r="AB9" i="39"/>
  <c r="AD9" i="39" s="1"/>
  <c r="J9" i="39" s="1"/>
  <c r="Y9" i="39"/>
  <c r="X9" i="39"/>
  <c r="P9" i="39"/>
  <c r="Q9" i="39" s="1"/>
  <c r="O9" i="39"/>
  <c r="M9" i="39"/>
  <c r="H9" i="39"/>
  <c r="C9" i="39"/>
  <c r="AD8" i="39"/>
  <c r="J8" i="39" s="1"/>
  <c r="AB8" i="39"/>
  <c r="Y8" i="39"/>
  <c r="X8" i="39"/>
  <c r="Q8" i="39"/>
  <c r="P8" i="39"/>
  <c r="O8" i="39"/>
  <c r="M8" i="39"/>
  <c r="H8" i="39"/>
  <c r="C8" i="39"/>
  <c r="AB7" i="39"/>
  <c r="AD7" i="39" s="1"/>
  <c r="J7" i="39" s="1"/>
  <c r="Y7" i="39"/>
  <c r="X7" i="39"/>
  <c r="P7" i="39"/>
  <c r="O7" i="39"/>
  <c r="Q7" i="39" s="1"/>
  <c r="M7" i="39"/>
  <c r="H7" i="39"/>
  <c r="C7" i="39"/>
  <c r="AD6" i="39"/>
  <c r="J6" i="39" s="1"/>
  <c r="K6" i="39" s="1"/>
  <c r="AB6" i="39"/>
  <c r="Y6" i="39"/>
  <c r="X6" i="39"/>
  <c r="Q6" i="39"/>
  <c r="P6" i="39"/>
  <c r="O6" i="39"/>
  <c r="M6" i="39"/>
  <c r="I6" i="39"/>
  <c r="H6" i="39"/>
  <c r="C6" i="39"/>
  <c r="AB5" i="39"/>
  <c r="AD5" i="39" s="1"/>
  <c r="J5" i="39" s="1"/>
  <c r="Y5" i="39"/>
  <c r="X5" i="39"/>
  <c r="P5" i="39"/>
  <c r="Q5" i="39" s="1"/>
  <c r="O5" i="39"/>
  <c r="M5" i="39"/>
  <c r="H5" i="39"/>
  <c r="C5" i="39"/>
  <c r="AD4" i="39"/>
  <c r="AB4" i="39"/>
  <c r="Y4" i="39"/>
  <c r="X4" i="39"/>
  <c r="P4" i="39"/>
  <c r="O4" i="39"/>
  <c r="Q4" i="39" s="1"/>
  <c r="M4" i="39"/>
  <c r="H4" i="39"/>
  <c r="C4" i="39"/>
  <c r="AG3" i="39"/>
  <c r="AF3" i="39"/>
  <c r="X3" i="39"/>
  <c r="W3" i="39"/>
  <c r="V3" i="39"/>
  <c r="U3" i="39"/>
  <c r="T3" i="39"/>
  <c r="O3" i="39"/>
  <c r="G3" i="39"/>
  <c r="H3" i="39" s="1"/>
  <c r="F3" i="39"/>
  <c r="D3" i="39"/>
  <c r="C3" i="39"/>
  <c r="A2" i="39"/>
  <c r="A1" i="39"/>
  <c r="AD32" i="38"/>
  <c r="J32" i="38" s="1"/>
  <c r="AB32" i="38"/>
  <c r="Y32" i="38"/>
  <c r="X32" i="38"/>
  <c r="V32" i="38"/>
  <c r="U32" i="38"/>
  <c r="T32" i="38"/>
  <c r="Q32" i="38"/>
  <c r="P32" i="38"/>
  <c r="O32" i="38"/>
  <c r="M32" i="38"/>
  <c r="H32" i="38"/>
  <c r="C32" i="38"/>
  <c r="AB31" i="38"/>
  <c r="AD31" i="38" s="1"/>
  <c r="J31" i="38" s="1"/>
  <c r="Y31" i="38"/>
  <c r="X31" i="38"/>
  <c r="P31" i="38"/>
  <c r="O31" i="38"/>
  <c r="Q31" i="38" s="1"/>
  <c r="M31" i="38"/>
  <c r="H31" i="38"/>
  <c r="C31" i="38"/>
  <c r="AD30" i="38"/>
  <c r="J30" i="38" s="1"/>
  <c r="K30" i="38" s="1"/>
  <c r="AB30" i="38"/>
  <c r="Y30" i="38"/>
  <c r="X30" i="38"/>
  <c r="P30" i="38"/>
  <c r="O30" i="38"/>
  <c r="Q30" i="38" s="1"/>
  <c r="M30" i="38"/>
  <c r="H30" i="38"/>
  <c r="C30" i="38"/>
  <c r="AB29" i="38"/>
  <c r="AD29" i="38" s="1"/>
  <c r="J29" i="38" s="1"/>
  <c r="Y29" i="38"/>
  <c r="X29" i="38"/>
  <c r="P29" i="38"/>
  <c r="O29" i="38"/>
  <c r="Q29" i="38" s="1"/>
  <c r="M29" i="38"/>
  <c r="H29" i="38"/>
  <c r="C29" i="38"/>
  <c r="AD28" i="38"/>
  <c r="J28" i="38" s="1"/>
  <c r="I28" i="38" s="1"/>
  <c r="AB28" i="38"/>
  <c r="Y28" i="38"/>
  <c r="X28" i="38"/>
  <c r="P28" i="38"/>
  <c r="O28" i="38"/>
  <c r="Q28" i="38" s="1"/>
  <c r="M28" i="38"/>
  <c r="H28" i="38"/>
  <c r="C28" i="38"/>
  <c r="AB27" i="38"/>
  <c r="AD27" i="38" s="1"/>
  <c r="J27" i="38" s="1"/>
  <c r="Y27" i="38"/>
  <c r="X27" i="38"/>
  <c r="P27" i="38"/>
  <c r="O27" i="38"/>
  <c r="Q27" i="38" s="1"/>
  <c r="M27" i="38"/>
  <c r="H27" i="38"/>
  <c r="C27" i="38"/>
  <c r="AD26" i="38"/>
  <c r="J26" i="38" s="1"/>
  <c r="AB26" i="38"/>
  <c r="Y26" i="38"/>
  <c r="X26" i="38"/>
  <c r="P26" i="38"/>
  <c r="O26" i="38"/>
  <c r="Q26" i="38" s="1"/>
  <c r="M26" i="38"/>
  <c r="H26" i="38"/>
  <c r="C26" i="38"/>
  <c r="AB25" i="38"/>
  <c r="AD25" i="38" s="1"/>
  <c r="J25" i="38" s="1"/>
  <c r="Y25" i="38"/>
  <c r="X25" i="38"/>
  <c r="P25" i="38"/>
  <c r="Q25" i="38" s="1"/>
  <c r="O25" i="38"/>
  <c r="M25" i="38"/>
  <c r="H25" i="38"/>
  <c r="C25" i="38"/>
  <c r="AD24" i="38"/>
  <c r="J24" i="38" s="1"/>
  <c r="AB24" i="38"/>
  <c r="Y24" i="38"/>
  <c r="X24" i="38"/>
  <c r="Q24" i="38"/>
  <c r="P24" i="38"/>
  <c r="O24" i="38"/>
  <c r="M24" i="38"/>
  <c r="H24" i="38"/>
  <c r="C24" i="38"/>
  <c r="AB23" i="38"/>
  <c r="AD23" i="38" s="1"/>
  <c r="J23" i="38" s="1"/>
  <c r="Y23" i="38"/>
  <c r="X23" i="38"/>
  <c r="P23" i="38"/>
  <c r="O23" i="38"/>
  <c r="Q23" i="38" s="1"/>
  <c r="M23" i="38"/>
  <c r="H23" i="38"/>
  <c r="C23" i="38"/>
  <c r="AD22" i="38"/>
  <c r="J22" i="38" s="1"/>
  <c r="K22" i="38" s="1"/>
  <c r="AB22" i="38"/>
  <c r="Y22" i="38"/>
  <c r="X22" i="38"/>
  <c r="P22" i="38"/>
  <c r="O22" i="38"/>
  <c r="Q22" i="38" s="1"/>
  <c r="M22" i="38"/>
  <c r="H22" i="38"/>
  <c r="C22" i="38"/>
  <c r="AB21" i="38"/>
  <c r="AD21" i="38" s="1"/>
  <c r="J21" i="38" s="1"/>
  <c r="Y21" i="38"/>
  <c r="X21" i="38"/>
  <c r="P21" i="38"/>
  <c r="O21" i="38"/>
  <c r="M21" i="38"/>
  <c r="H21" i="38"/>
  <c r="C21" i="38"/>
  <c r="AD20" i="38"/>
  <c r="J20" i="38" s="1"/>
  <c r="I20" i="38" s="1"/>
  <c r="AB20" i="38"/>
  <c r="Y20" i="38"/>
  <c r="X20" i="38"/>
  <c r="P20" i="38"/>
  <c r="O20" i="38"/>
  <c r="Q20" i="38" s="1"/>
  <c r="M20" i="38"/>
  <c r="H20" i="38"/>
  <c r="C20" i="38"/>
  <c r="AB19" i="38"/>
  <c r="AD19" i="38" s="1"/>
  <c r="J19" i="38" s="1"/>
  <c r="Y19" i="38"/>
  <c r="X19" i="38"/>
  <c r="P19" i="38"/>
  <c r="O19" i="38"/>
  <c r="Q19" i="38" s="1"/>
  <c r="M19" i="38"/>
  <c r="H19" i="38"/>
  <c r="C19" i="38"/>
  <c r="AD18" i="38"/>
  <c r="J18" i="38" s="1"/>
  <c r="AB18" i="38"/>
  <c r="Y18" i="38"/>
  <c r="X18" i="38"/>
  <c r="P18" i="38"/>
  <c r="O18" i="38"/>
  <c r="Q18" i="38" s="1"/>
  <c r="M18" i="38"/>
  <c r="H18" i="38"/>
  <c r="C18" i="38"/>
  <c r="AB17" i="38"/>
  <c r="AD17" i="38" s="1"/>
  <c r="J17" i="38" s="1"/>
  <c r="Y17" i="38"/>
  <c r="X17" i="38"/>
  <c r="P17" i="38"/>
  <c r="Q17" i="38" s="1"/>
  <c r="O17" i="38"/>
  <c r="M17" i="38"/>
  <c r="H17" i="38"/>
  <c r="C17" i="38"/>
  <c r="AD16" i="38"/>
  <c r="J16" i="38" s="1"/>
  <c r="AB16" i="38"/>
  <c r="Y16" i="38"/>
  <c r="X16" i="38"/>
  <c r="Q16" i="38"/>
  <c r="P16" i="38"/>
  <c r="O16" i="38"/>
  <c r="M16" i="38"/>
  <c r="H16" i="38"/>
  <c r="C16" i="38"/>
  <c r="AB15" i="38"/>
  <c r="AD15" i="38" s="1"/>
  <c r="J15" i="38" s="1"/>
  <c r="Y15" i="38"/>
  <c r="X15" i="38"/>
  <c r="P15" i="38"/>
  <c r="O15" i="38"/>
  <c r="Q15" i="38" s="1"/>
  <c r="M15" i="38"/>
  <c r="H15" i="38"/>
  <c r="C15" i="38"/>
  <c r="AD14" i="38"/>
  <c r="J14" i="38" s="1"/>
  <c r="K14" i="38" s="1"/>
  <c r="AB14" i="38"/>
  <c r="Y14" i="38"/>
  <c r="X14" i="38"/>
  <c r="P14" i="38"/>
  <c r="O14" i="38"/>
  <c r="Q14" i="38" s="1"/>
  <c r="M14" i="38"/>
  <c r="H14" i="38"/>
  <c r="C14" i="38"/>
  <c r="AB13" i="38"/>
  <c r="AD13" i="38" s="1"/>
  <c r="J13" i="38" s="1"/>
  <c r="Y13" i="38"/>
  <c r="X13" i="38"/>
  <c r="P13" i="38"/>
  <c r="O13" i="38"/>
  <c r="M13" i="38"/>
  <c r="H13" i="38"/>
  <c r="C13" i="38"/>
  <c r="AD12" i="38"/>
  <c r="J12" i="38" s="1"/>
  <c r="I12" i="38" s="1"/>
  <c r="AB12" i="38"/>
  <c r="Y12" i="38"/>
  <c r="X12" i="38"/>
  <c r="P12" i="38"/>
  <c r="O12" i="38"/>
  <c r="Q12" i="38" s="1"/>
  <c r="M12" i="38"/>
  <c r="H12" i="38"/>
  <c r="C12" i="38"/>
  <c r="AB11" i="38"/>
  <c r="AD11" i="38" s="1"/>
  <c r="J11" i="38" s="1"/>
  <c r="Y11" i="38"/>
  <c r="X11" i="38"/>
  <c r="P11" i="38"/>
  <c r="O11" i="38"/>
  <c r="Q11" i="38" s="1"/>
  <c r="M11" i="38"/>
  <c r="H11" i="38"/>
  <c r="C11" i="38"/>
  <c r="AD10" i="38"/>
  <c r="J10" i="38" s="1"/>
  <c r="AB10" i="38"/>
  <c r="Y10" i="38"/>
  <c r="X10" i="38"/>
  <c r="P10" i="38"/>
  <c r="O10" i="38"/>
  <c r="Q10" i="38" s="1"/>
  <c r="M10" i="38"/>
  <c r="H10" i="38"/>
  <c r="C10" i="38"/>
  <c r="AB9" i="38"/>
  <c r="AD9" i="38" s="1"/>
  <c r="J9" i="38" s="1"/>
  <c r="Y9" i="38"/>
  <c r="X9" i="38"/>
  <c r="P9" i="38"/>
  <c r="Q9" i="38" s="1"/>
  <c r="O9" i="38"/>
  <c r="M9" i="38"/>
  <c r="H9" i="38"/>
  <c r="C9" i="38"/>
  <c r="AD8" i="38"/>
  <c r="J8" i="38" s="1"/>
  <c r="AB8" i="38"/>
  <c r="Y8" i="38"/>
  <c r="X8" i="38"/>
  <c r="Q8" i="38"/>
  <c r="P8" i="38"/>
  <c r="O8" i="38"/>
  <c r="M8" i="38"/>
  <c r="H8" i="38"/>
  <c r="C8" i="38"/>
  <c r="AB7" i="38"/>
  <c r="AD7" i="38" s="1"/>
  <c r="J7" i="38" s="1"/>
  <c r="Y7" i="38"/>
  <c r="X7" i="38"/>
  <c r="P7" i="38"/>
  <c r="O7" i="38"/>
  <c r="Q7" i="38" s="1"/>
  <c r="M7" i="38"/>
  <c r="H7" i="38"/>
  <c r="C7" i="38"/>
  <c r="AD6" i="38"/>
  <c r="J6" i="38" s="1"/>
  <c r="K6" i="38" s="1"/>
  <c r="AB6" i="38"/>
  <c r="Y6" i="38"/>
  <c r="X6" i="38"/>
  <c r="P6" i="38"/>
  <c r="O6" i="38"/>
  <c r="Q6" i="38" s="1"/>
  <c r="M6" i="38"/>
  <c r="H6" i="38"/>
  <c r="C6" i="38"/>
  <c r="AB5" i="38"/>
  <c r="AD5" i="38" s="1"/>
  <c r="J5" i="38" s="1"/>
  <c r="Y5" i="38"/>
  <c r="X5" i="38"/>
  <c r="P5" i="38"/>
  <c r="Q5" i="38" s="1"/>
  <c r="O5" i="38"/>
  <c r="M5" i="38"/>
  <c r="H5" i="38"/>
  <c r="C5" i="38"/>
  <c r="AD4" i="38"/>
  <c r="AB4" i="38"/>
  <c r="Y4" i="38"/>
  <c r="X4" i="38"/>
  <c r="P4" i="38"/>
  <c r="O4" i="38"/>
  <c r="Q4" i="38" s="1"/>
  <c r="M4" i="38"/>
  <c r="H4" i="38"/>
  <c r="C4" i="38"/>
  <c r="AG3" i="38"/>
  <c r="AF3" i="38"/>
  <c r="X3" i="38"/>
  <c r="W3" i="38"/>
  <c r="V3" i="38"/>
  <c r="U3" i="38"/>
  <c r="T3" i="38"/>
  <c r="O3" i="38"/>
  <c r="G3" i="38"/>
  <c r="H3" i="38" s="1"/>
  <c r="F3" i="38"/>
  <c r="D3" i="38"/>
  <c r="C3" i="38"/>
  <c r="A2" i="38"/>
  <c r="A1" i="38"/>
  <c r="AD32" i="37"/>
  <c r="J32" i="37" s="1"/>
  <c r="AB32" i="37"/>
  <c r="Y32" i="37"/>
  <c r="X32" i="37"/>
  <c r="V32" i="37"/>
  <c r="U32" i="37"/>
  <c r="T32" i="37"/>
  <c r="Q32" i="37"/>
  <c r="P32" i="37"/>
  <c r="O32" i="37"/>
  <c r="M32" i="37"/>
  <c r="H32" i="37"/>
  <c r="C32" i="37"/>
  <c r="AB31" i="37"/>
  <c r="AD31" i="37" s="1"/>
  <c r="J31" i="37" s="1"/>
  <c r="Y31" i="37"/>
  <c r="X31" i="37"/>
  <c r="P31" i="37"/>
  <c r="Q31" i="37" s="1"/>
  <c r="O31" i="37"/>
  <c r="M31" i="37"/>
  <c r="H31" i="37"/>
  <c r="C31" i="37"/>
  <c r="AD30" i="37"/>
  <c r="J30" i="37" s="1"/>
  <c r="K30" i="37" s="1"/>
  <c r="AB30" i="37"/>
  <c r="Y30" i="37"/>
  <c r="X30" i="37"/>
  <c r="P30" i="37"/>
  <c r="O30" i="37"/>
  <c r="Q30" i="37" s="1"/>
  <c r="M30" i="37"/>
  <c r="I30" i="37"/>
  <c r="H30" i="37"/>
  <c r="C30" i="37"/>
  <c r="AB29" i="37"/>
  <c r="AD29" i="37" s="1"/>
  <c r="J29" i="37" s="1"/>
  <c r="Y29" i="37"/>
  <c r="X29" i="37"/>
  <c r="P29" i="37"/>
  <c r="O29" i="37"/>
  <c r="M29" i="37"/>
  <c r="H29" i="37"/>
  <c r="C29" i="37"/>
  <c r="AD28" i="37"/>
  <c r="J28" i="37" s="1"/>
  <c r="I28" i="37" s="1"/>
  <c r="AB28" i="37"/>
  <c r="Y28" i="37"/>
  <c r="X28" i="37"/>
  <c r="P28" i="37"/>
  <c r="O28" i="37"/>
  <c r="Q28" i="37" s="1"/>
  <c r="M28" i="37"/>
  <c r="K28" i="37"/>
  <c r="H28" i="37"/>
  <c r="C28" i="37"/>
  <c r="AB27" i="37"/>
  <c r="AD27" i="37" s="1"/>
  <c r="J27" i="37" s="1"/>
  <c r="Y27" i="37"/>
  <c r="X27" i="37"/>
  <c r="P27" i="37"/>
  <c r="O27" i="37"/>
  <c r="Q27" i="37" s="1"/>
  <c r="M27" i="37"/>
  <c r="H27" i="37"/>
  <c r="C27" i="37"/>
  <c r="AD26" i="37"/>
  <c r="J26" i="37" s="1"/>
  <c r="AB26" i="37"/>
  <c r="Y26" i="37"/>
  <c r="X26" i="37"/>
  <c r="P26" i="37"/>
  <c r="O26" i="37"/>
  <c r="Q26" i="37" s="1"/>
  <c r="M26" i="37"/>
  <c r="H26" i="37"/>
  <c r="C26" i="37"/>
  <c r="AB25" i="37"/>
  <c r="AD25" i="37" s="1"/>
  <c r="J25" i="37" s="1"/>
  <c r="Y25" i="37"/>
  <c r="X25" i="37"/>
  <c r="P25" i="37"/>
  <c r="Q25" i="37" s="1"/>
  <c r="O25" i="37"/>
  <c r="M25" i="37"/>
  <c r="H25" i="37"/>
  <c r="C25" i="37"/>
  <c r="AD24" i="37"/>
  <c r="J24" i="37" s="1"/>
  <c r="AB24" i="37"/>
  <c r="Y24" i="37"/>
  <c r="X24" i="37"/>
  <c r="Q24" i="37"/>
  <c r="P24" i="37"/>
  <c r="O24" i="37"/>
  <c r="M24" i="37"/>
  <c r="H24" i="37"/>
  <c r="C24" i="37"/>
  <c r="AB23" i="37"/>
  <c r="AD23" i="37" s="1"/>
  <c r="J23" i="37" s="1"/>
  <c r="Y23" i="37"/>
  <c r="X23" i="37"/>
  <c r="P23" i="37"/>
  <c r="Q23" i="37" s="1"/>
  <c r="O23" i="37"/>
  <c r="M23" i="37"/>
  <c r="H23" i="37"/>
  <c r="C23" i="37"/>
  <c r="AD22" i="37"/>
  <c r="J22" i="37" s="1"/>
  <c r="K22" i="37" s="1"/>
  <c r="AB22" i="37"/>
  <c r="Y22" i="37"/>
  <c r="X22" i="37"/>
  <c r="P22" i="37"/>
  <c r="O22" i="37"/>
  <c r="Q22" i="37" s="1"/>
  <c r="M22" i="37"/>
  <c r="I22" i="37"/>
  <c r="H22" i="37"/>
  <c r="C22" i="37"/>
  <c r="AB21" i="37"/>
  <c r="AD21" i="37" s="1"/>
  <c r="J21" i="37" s="1"/>
  <c r="Y21" i="37"/>
  <c r="X21" i="37"/>
  <c r="P21" i="37"/>
  <c r="Q21" i="37" s="1"/>
  <c r="O21" i="37"/>
  <c r="M21" i="37"/>
  <c r="H21" i="37"/>
  <c r="C21" i="37"/>
  <c r="AD20" i="37"/>
  <c r="J20" i="37" s="1"/>
  <c r="I20" i="37" s="1"/>
  <c r="AB20" i="37"/>
  <c r="Y20" i="37"/>
  <c r="X20" i="37"/>
  <c r="P20" i="37"/>
  <c r="O20" i="37"/>
  <c r="Q20" i="37" s="1"/>
  <c r="M20" i="37"/>
  <c r="K20" i="37"/>
  <c r="H20" i="37"/>
  <c r="C20" i="37"/>
  <c r="AB19" i="37"/>
  <c r="AD19" i="37" s="1"/>
  <c r="J19" i="37" s="1"/>
  <c r="Y19" i="37"/>
  <c r="X19" i="37"/>
  <c r="P19" i="37"/>
  <c r="O19" i="37"/>
  <c r="Q19" i="37" s="1"/>
  <c r="M19" i="37"/>
  <c r="H19" i="37"/>
  <c r="C19" i="37"/>
  <c r="AD18" i="37"/>
  <c r="J18" i="37" s="1"/>
  <c r="AB18" i="37"/>
  <c r="Y18" i="37"/>
  <c r="X18" i="37"/>
  <c r="P18" i="37"/>
  <c r="O18" i="37"/>
  <c r="Q18" i="37" s="1"/>
  <c r="M18" i="37"/>
  <c r="H18" i="37"/>
  <c r="C18" i="37"/>
  <c r="AB17" i="37"/>
  <c r="AD17" i="37" s="1"/>
  <c r="J17" i="37" s="1"/>
  <c r="Y17" i="37"/>
  <c r="X17" i="37"/>
  <c r="P17" i="37"/>
  <c r="Q17" i="37" s="1"/>
  <c r="O17" i="37"/>
  <c r="M17" i="37"/>
  <c r="H17" i="37"/>
  <c r="C17" i="37"/>
  <c r="AD16" i="37"/>
  <c r="J16" i="37" s="1"/>
  <c r="AB16" i="37"/>
  <c r="Y16" i="37"/>
  <c r="X16" i="37"/>
  <c r="Q16" i="37"/>
  <c r="P16" i="37"/>
  <c r="O16" i="37"/>
  <c r="M16" i="37"/>
  <c r="H16" i="37"/>
  <c r="C16" i="37"/>
  <c r="AB15" i="37"/>
  <c r="AD15" i="37" s="1"/>
  <c r="J15" i="37" s="1"/>
  <c r="Y15" i="37"/>
  <c r="X15" i="37"/>
  <c r="P15" i="37"/>
  <c r="Q15" i="37" s="1"/>
  <c r="O15" i="37"/>
  <c r="M15" i="37"/>
  <c r="H15" i="37"/>
  <c r="C15" i="37"/>
  <c r="AD14" i="37"/>
  <c r="J14" i="37" s="1"/>
  <c r="K14" i="37" s="1"/>
  <c r="AB14" i="37"/>
  <c r="Y14" i="37"/>
  <c r="X14" i="37"/>
  <c r="P14" i="37"/>
  <c r="O14" i="37"/>
  <c r="Q14" i="37" s="1"/>
  <c r="M14" i="37"/>
  <c r="I14" i="37"/>
  <c r="H14" i="37"/>
  <c r="C14" i="37"/>
  <c r="AB13" i="37"/>
  <c r="AD13" i="37" s="1"/>
  <c r="J13" i="37" s="1"/>
  <c r="Y13" i="37"/>
  <c r="X13" i="37"/>
  <c r="P13" i="37"/>
  <c r="O13" i="37"/>
  <c r="M13" i="37"/>
  <c r="H13" i="37"/>
  <c r="C13" i="37"/>
  <c r="AD12" i="37"/>
  <c r="J12" i="37" s="1"/>
  <c r="I12" i="37" s="1"/>
  <c r="AB12" i="37"/>
  <c r="Y12" i="37"/>
  <c r="X12" i="37"/>
  <c r="P12" i="37"/>
  <c r="O12" i="37"/>
  <c r="Q12" i="37" s="1"/>
  <c r="M12" i="37"/>
  <c r="K12" i="37"/>
  <c r="H12" i="37"/>
  <c r="C12" i="37"/>
  <c r="AB11" i="37"/>
  <c r="AD11" i="37" s="1"/>
  <c r="J11" i="37" s="1"/>
  <c r="Y11" i="37"/>
  <c r="X11" i="37"/>
  <c r="P11" i="37"/>
  <c r="O11" i="37"/>
  <c r="Q11" i="37" s="1"/>
  <c r="M11" i="37"/>
  <c r="H11" i="37"/>
  <c r="C11" i="37"/>
  <c r="AD10" i="37"/>
  <c r="J10" i="37" s="1"/>
  <c r="AB10" i="37"/>
  <c r="Y10" i="37"/>
  <c r="X10" i="37"/>
  <c r="P10" i="37"/>
  <c r="O10" i="37"/>
  <c r="Q10" i="37" s="1"/>
  <c r="M10" i="37"/>
  <c r="H10" i="37"/>
  <c r="C10" i="37"/>
  <c r="AB9" i="37"/>
  <c r="AD9" i="37" s="1"/>
  <c r="J9" i="37" s="1"/>
  <c r="Y9" i="37"/>
  <c r="X9" i="37"/>
  <c r="P9" i="37"/>
  <c r="Q9" i="37" s="1"/>
  <c r="O9" i="37"/>
  <c r="M9" i="37"/>
  <c r="H9" i="37"/>
  <c r="C9" i="37"/>
  <c r="AD8" i="37"/>
  <c r="J8" i="37" s="1"/>
  <c r="AB8" i="37"/>
  <c r="Y8" i="37"/>
  <c r="X8" i="37"/>
  <c r="Q8" i="37"/>
  <c r="P8" i="37"/>
  <c r="O8" i="37"/>
  <c r="M8" i="37"/>
  <c r="H8" i="37"/>
  <c r="C8" i="37"/>
  <c r="AB7" i="37"/>
  <c r="AD7" i="37" s="1"/>
  <c r="J7" i="37" s="1"/>
  <c r="Y7" i="37"/>
  <c r="X7" i="37"/>
  <c r="P7" i="37"/>
  <c r="Q7" i="37" s="1"/>
  <c r="O7" i="37"/>
  <c r="M7" i="37"/>
  <c r="H7" i="37"/>
  <c r="C7" i="37"/>
  <c r="AD6" i="37"/>
  <c r="J6" i="37" s="1"/>
  <c r="K6" i="37" s="1"/>
  <c r="AB6" i="37"/>
  <c r="Y6" i="37"/>
  <c r="X6" i="37"/>
  <c r="P6" i="37"/>
  <c r="O6" i="37"/>
  <c r="Q6" i="37" s="1"/>
  <c r="M6" i="37"/>
  <c r="I6" i="37"/>
  <c r="H6" i="37"/>
  <c r="C6" i="37"/>
  <c r="AB5" i="37"/>
  <c r="AD5" i="37" s="1"/>
  <c r="J5" i="37" s="1"/>
  <c r="Y5" i="37"/>
  <c r="X5" i="37"/>
  <c r="P5" i="37"/>
  <c r="O5" i="37"/>
  <c r="M5" i="37"/>
  <c r="H5" i="37"/>
  <c r="C5" i="37"/>
  <c r="AD4" i="37"/>
  <c r="AB4" i="37"/>
  <c r="Y4" i="37"/>
  <c r="X4" i="37"/>
  <c r="P4" i="37"/>
  <c r="O4" i="37"/>
  <c r="Q4" i="37" s="1"/>
  <c r="M4" i="37"/>
  <c r="H4" i="37"/>
  <c r="C4" i="37"/>
  <c r="AG3" i="37"/>
  <c r="W3" i="37"/>
  <c r="X3" i="37" s="1"/>
  <c r="V3" i="37"/>
  <c r="U3" i="37"/>
  <c r="T3" i="37"/>
  <c r="O3" i="37"/>
  <c r="H3" i="37"/>
  <c r="G3" i="37"/>
  <c r="F3" i="37"/>
  <c r="D3" i="37"/>
  <c r="C3" i="37"/>
  <c r="A2" i="37"/>
  <c r="A1" i="37"/>
  <c r="AB32" i="36"/>
  <c r="AD32" i="36" s="1"/>
  <c r="J32" i="36" s="1"/>
  <c r="Y32" i="36"/>
  <c r="X32" i="36"/>
  <c r="V32" i="36"/>
  <c r="U32" i="36"/>
  <c r="T32" i="36"/>
  <c r="P32" i="36"/>
  <c r="O32" i="36"/>
  <c r="Q32" i="36" s="1"/>
  <c r="M32" i="36"/>
  <c r="H32" i="36"/>
  <c r="C32" i="36"/>
  <c r="AD31" i="36"/>
  <c r="J31" i="36" s="1"/>
  <c r="AB31" i="36"/>
  <c r="Y31" i="36"/>
  <c r="X31" i="36"/>
  <c r="P31" i="36"/>
  <c r="O31" i="36"/>
  <c r="Q31" i="36" s="1"/>
  <c r="M31" i="36"/>
  <c r="H31" i="36"/>
  <c r="C31" i="36"/>
  <c r="AB30" i="36"/>
  <c r="AD30" i="36" s="1"/>
  <c r="J30" i="36" s="1"/>
  <c r="Y30" i="36"/>
  <c r="X30" i="36"/>
  <c r="P30" i="36"/>
  <c r="O30" i="36"/>
  <c r="Q30" i="36" s="1"/>
  <c r="M30" i="36"/>
  <c r="H30" i="36"/>
  <c r="C30" i="36"/>
  <c r="AD29" i="36"/>
  <c r="J29" i="36" s="1"/>
  <c r="AB29" i="36"/>
  <c r="Y29" i="36"/>
  <c r="X29" i="36"/>
  <c r="P29" i="36"/>
  <c r="O29" i="36"/>
  <c r="Q29" i="36" s="1"/>
  <c r="M29" i="36"/>
  <c r="H29" i="36"/>
  <c r="C29" i="36"/>
  <c r="AB28" i="36"/>
  <c r="AD28" i="36" s="1"/>
  <c r="J28" i="36" s="1"/>
  <c r="Y28" i="36"/>
  <c r="X28" i="36"/>
  <c r="P28" i="36"/>
  <c r="Q28" i="36" s="1"/>
  <c r="O28" i="36"/>
  <c r="M28" i="36"/>
  <c r="H28" i="36"/>
  <c r="C28" i="36"/>
  <c r="AD27" i="36"/>
  <c r="J27" i="36" s="1"/>
  <c r="AB27" i="36"/>
  <c r="Y27" i="36"/>
  <c r="X27" i="36"/>
  <c r="Q27" i="36"/>
  <c r="P27" i="36"/>
  <c r="O27" i="36"/>
  <c r="M27" i="36"/>
  <c r="H27" i="36"/>
  <c r="C27" i="36"/>
  <c r="AB26" i="36"/>
  <c r="AD26" i="36" s="1"/>
  <c r="J26" i="36" s="1"/>
  <c r="Y26" i="36"/>
  <c r="X26" i="36"/>
  <c r="P26" i="36"/>
  <c r="Q26" i="36" s="1"/>
  <c r="O26" i="36"/>
  <c r="M26" i="36"/>
  <c r="H26" i="36"/>
  <c r="C26" i="36"/>
  <c r="AD25" i="36"/>
  <c r="J25" i="36" s="1"/>
  <c r="K25" i="36" s="1"/>
  <c r="AB25" i="36"/>
  <c r="Y25" i="36"/>
  <c r="X25" i="36"/>
  <c r="P25" i="36"/>
  <c r="O25" i="36"/>
  <c r="Q25" i="36" s="1"/>
  <c r="M25" i="36"/>
  <c r="I25" i="36"/>
  <c r="H25" i="36"/>
  <c r="C25" i="36"/>
  <c r="AB24" i="36"/>
  <c r="AD24" i="36" s="1"/>
  <c r="J24" i="36" s="1"/>
  <c r="Y24" i="36"/>
  <c r="X24" i="36"/>
  <c r="P24" i="36"/>
  <c r="O24" i="36"/>
  <c r="Q24" i="36" s="1"/>
  <c r="M24" i="36"/>
  <c r="H24" i="36"/>
  <c r="C24" i="36"/>
  <c r="AD23" i="36"/>
  <c r="J23" i="36" s="1"/>
  <c r="I23" i="36" s="1"/>
  <c r="AB23" i="36"/>
  <c r="Y23" i="36"/>
  <c r="X23" i="36"/>
  <c r="P23" i="36"/>
  <c r="O23" i="36"/>
  <c r="Q23" i="36" s="1"/>
  <c r="M23" i="36"/>
  <c r="H23" i="36"/>
  <c r="C23" i="36"/>
  <c r="AB22" i="36"/>
  <c r="AD22" i="36" s="1"/>
  <c r="J22" i="36" s="1"/>
  <c r="Y22" i="36"/>
  <c r="X22" i="36"/>
  <c r="P22" i="36"/>
  <c r="O22" i="36"/>
  <c r="Q22" i="36" s="1"/>
  <c r="M22" i="36"/>
  <c r="H22" i="36"/>
  <c r="C22" i="36"/>
  <c r="AD21" i="36"/>
  <c r="J21" i="36" s="1"/>
  <c r="AB21" i="36"/>
  <c r="Y21" i="36"/>
  <c r="X21" i="36"/>
  <c r="P21" i="36"/>
  <c r="O21" i="36"/>
  <c r="Q21" i="36" s="1"/>
  <c r="M21" i="36"/>
  <c r="H21" i="36"/>
  <c r="C21" i="36"/>
  <c r="AB20" i="36"/>
  <c r="AD20" i="36" s="1"/>
  <c r="J20" i="36" s="1"/>
  <c r="Y20" i="36"/>
  <c r="X20" i="36"/>
  <c r="P20" i="36"/>
  <c r="Q20" i="36" s="1"/>
  <c r="O20" i="36"/>
  <c r="M20" i="36"/>
  <c r="H20" i="36"/>
  <c r="C20" i="36"/>
  <c r="AD19" i="36"/>
  <c r="J19" i="36" s="1"/>
  <c r="AB19" i="36"/>
  <c r="Y19" i="36"/>
  <c r="X19" i="36"/>
  <c r="Q19" i="36"/>
  <c r="P19" i="36"/>
  <c r="O19" i="36"/>
  <c r="M19" i="36"/>
  <c r="H19" i="36"/>
  <c r="C19" i="36"/>
  <c r="AB18" i="36"/>
  <c r="AD18" i="36" s="1"/>
  <c r="J18" i="36" s="1"/>
  <c r="Y18" i="36"/>
  <c r="X18" i="36"/>
  <c r="P18" i="36"/>
  <c r="Q18" i="36" s="1"/>
  <c r="O18" i="36"/>
  <c r="M18" i="36"/>
  <c r="H18" i="36"/>
  <c r="C18" i="36"/>
  <c r="AD17" i="36"/>
  <c r="J17" i="36" s="1"/>
  <c r="K17" i="36" s="1"/>
  <c r="AB17" i="36"/>
  <c r="Y17" i="36"/>
  <c r="X17" i="36"/>
  <c r="P17" i="36"/>
  <c r="O17" i="36"/>
  <c r="Q17" i="36" s="1"/>
  <c r="M17" i="36"/>
  <c r="I17" i="36"/>
  <c r="H17" i="36"/>
  <c r="C17" i="36"/>
  <c r="AB16" i="36"/>
  <c r="AD16" i="36" s="1"/>
  <c r="J16" i="36" s="1"/>
  <c r="Y16" i="36"/>
  <c r="X16" i="36"/>
  <c r="P16" i="36"/>
  <c r="O16" i="36"/>
  <c r="Q16" i="36" s="1"/>
  <c r="M16" i="36"/>
  <c r="H16" i="36"/>
  <c r="C16" i="36"/>
  <c r="AD15" i="36"/>
  <c r="J15" i="36" s="1"/>
  <c r="I15" i="36" s="1"/>
  <c r="AB15" i="36"/>
  <c r="Y15" i="36"/>
  <c r="X15" i="36"/>
  <c r="P15" i="36"/>
  <c r="O15" i="36"/>
  <c r="Q15" i="36" s="1"/>
  <c r="M15" i="36"/>
  <c r="H15" i="36"/>
  <c r="C15" i="36"/>
  <c r="AB14" i="36"/>
  <c r="AD14" i="36" s="1"/>
  <c r="J14" i="36" s="1"/>
  <c r="Y14" i="36"/>
  <c r="X14" i="36"/>
  <c r="P14" i="36"/>
  <c r="O14" i="36"/>
  <c r="Q14" i="36" s="1"/>
  <c r="M14" i="36"/>
  <c r="H14" i="36"/>
  <c r="C14" i="36"/>
  <c r="AD13" i="36"/>
  <c r="J13" i="36" s="1"/>
  <c r="AB13" i="36"/>
  <c r="Y13" i="36"/>
  <c r="X13" i="36"/>
  <c r="P13" i="36"/>
  <c r="O13" i="36"/>
  <c r="Q13" i="36" s="1"/>
  <c r="M13" i="36"/>
  <c r="H13" i="36"/>
  <c r="C13" i="36"/>
  <c r="AB12" i="36"/>
  <c r="AD12" i="36" s="1"/>
  <c r="J12" i="36" s="1"/>
  <c r="Y12" i="36"/>
  <c r="X12" i="36"/>
  <c r="P12" i="36"/>
  <c r="Q12" i="36" s="1"/>
  <c r="O12" i="36"/>
  <c r="M12" i="36"/>
  <c r="H12" i="36"/>
  <c r="C12" i="36"/>
  <c r="AD11" i="36"/>
  <c r="J11" i="36" s="1"/>
  <c r="AB11" i="36"/>
  <c r="Y11" i="36"/>
  <c r="X11" i="36"/>
  <c r="Q11" i="36"/>
  <c r="P11" i="36"/>
  <c r="O11" i="36"/>
  <c r="M11" i="36"/>
  <c r="H11" i="36"/>
  <c r="C11" i="36"/>
  <c r="AB10" i="36"/>
  <c r="AD10" i="36" s="1"/>
  <c r="J10" i="36" s="1"/>
  <c r="Y10" i="36"/>
  <c r="X10" i="36"/>
  <c r="P10" i="36"/>
  <c r="Q10" i="36" s="1"/>
  <c r="O10" i="36"/>
  <c r="M10" i="36"/>
  <c r="H10" i="36"/>
  <c r="C10" i="36"/>
  <c r="AG3" i="36"/>
  <c r="AF3" i="36"/>
  <c r="W3" i="36"/>
  <c r="X3" i="36" s="1"/>
  <c r="V3" i="36"/>
  <c r="U3" i="36"/>
  <c r="T3" i="36"/>
  <c r="O3" i="36"/>
  <c r="G3" i="36"/>
  <c r="F3" i="36"/>
  <c r="H3" i="36" s="1"/>
  <c r="D3" i="36"/>
  <c r="C3" i="36"/>
  <c r="A2" i="36"/>
  <c r="A1" i="36"/>
  <c r="AB32" i="35"/>
  <c r="AD32" i="35" s="1"/>
  <c r="J32" i="35" s="1"/>
  <c r="Y32" i="35"/>
  <c r="X32" i="35"/>
  <c r="V32" i="35"/>
  <c r="U32" i="35"/>
  <c r="T32" i="35"/>
  <c r="P32" i="35"/>
  <c r="O32" i="35"/>
  <c r="Q32" i="35" s="1"/>
  <c r="M32" i="35"/>
  <c r="H32" i="35"/>
  <c r="C32" i="35"/>
  <c r="AD31" i="35"/>
  <c r="J31" i="35" s="1"/>
  <c r="AB31" i="35"/>
  <c r="Y31" i="35"/>
  <c r="X31" i="35"/>
  <c r="P31" i="35"/>
  <c r="O31" i="35"/>
  <c r="Q31" i="35" s="1"/>
  <c r="M31" i="35"/>
  <c r="H31" i="35"/>
  <c r="C31" i="35"/>
  <c r="AB30" i="35"/>
  <c r="AD30" i="35" s="1"/>
  <c r="Y30" i="35"/>
  <c r="X30" i="35"/>
  <c r="P30" i="35"/>
  <c r="Q30" i="35" s="1"/>
  <c r="O30" i="35"/>
  <c r="M30" i="35"/>
  <c r="J30" i="35"/>
  <c r="H30" i="35"/>
  <c r="C30" i="35"/>
  <c r="AD29" i="35"/>
  <c r="J29" i="35" s="1"/>
  <c r="AB29" i="35"/>
  <c r="Y29" i="35"/>
  <c r="X29" i="35"/>
  <c r="Q29" i="35"/>
  <c r="P29" i="35"/>
  <c r="O29" i="35"/>
  <c r="M29" i="35"/>
  <c r="H29" i="35"/>
  <c r="C29" i="35"/>
  <c r="AB28" i="35"/>
  <c r="AD28" i="35" s="1"/>
  <c r="J28" i="35" s="1"/>
  <c r="Y28" i="35"/>
  <c r="X28" i="35"/>
  <c r="P28" i="35"/>
  <c r="Q28" i="35" s="1"/>
  <c r="O28" i="35"/>
  <c r="M28" i="35"/>
  <c r="H28" i="35"/>
  <c r="C28" i="35"/>
  <c r="AD27" i="35"/>
  <c r="J27" i="35" s="1"/>
  <c r="K27" i="35" s="1"/>
  <c r="AB27" i="35"/>
  <c r="Y27" i="35"/>
  <c r="X27" i="35"/>
  <c r="P27" i="35"/>
  <c r="O27" i="35"/>
  <c r="Q27" i="35" s="1"/>
  <c r="M27" i="35"/>
  <c r="I27" i="35"/>
  <c r="H27" i="35"/>
  <c r="C27" i="35"/>
  <c r="AB26" i="35"/>
  <c r="AD26" i="35" s="1"/>
  <c r="J26" i="35" s="1"/>
  <c r="Y26" i="35"/>
  <c r="X26" i="35"/>
  <c r="P26" i="35"/>
  <c r="O26" i="35"/>
  <c r="M26" i="35"/>
  <c r="H26" i="35"/>
  <c r="C26" i="35"/>
  <c r="AD25" i="35"/>
  <c r="J25" i="35" s="1"/>
  <c r="AB25" i="35"/>
  <c r="Y25" i="35"/>
  <c r="X25" i="35"/>
  <c r="P25" i="35"/>
  <c r="O25" i="35"/>
  <c r="Q25" i="35" s="1"/>
  <c r="M25" i="35"/>
  <c r="H25" i="35"/>
  <c r="C25" i="35"/>
  <c r="AB24" i="35"/>
  <c r="AD24" i="35" s="1"/>
  <c r="J24" i="35" s="1"/>
  <c r="Y24" i="35"/>
  <c r="X24" i="35"/>
  <c r="P24" i="35"/>
  <c r="O24" i="35"/>
  <c r="Q24" i="35" s="1"/>
  <c r="M24" i="35"/>
  <c r="H24" i="35"/>
  <c r="C24" i="35"/>
  <c r="AD23" i="35"/>
  <c r="J23" i="35" s="1"/>
  <c r="AB23" i="35"/>
  <c r="Y23" i="35"/>
  <c r="X23" i="35"/>
  <c r="P23" i="35"/>
  <c r="O23" i="35"/>
  <c r="Q23" i="35" s="1"/>
  <c r="M23" i="35"/>
  <c r="H23" i="35"/>
  <c r="C23" i="35"/>
  <c r="AB22" i="35"/>
  <c r="AD22" i="35" s="1"/>
  <c r="Y22" i="35"/>
  <c r="X22" i="35"/>
  <c r="P22" i="35"/>
  <c r="O22" i="35"/>
  <c r="Q22" i="35" s="1"/>
  <c r="M22" i="35"/>
  <c r="J22" i="35"/>
  <c r="H22" i="35"/>
  <c r="C22" i="35"/>
  <c r="AG3" i="35"/>
  <c r="X3" i="35"/>
  <c r="W3" i="35"/>
  <c r="V3" i="35"/>
  <c r="U3" i="35"/>
  <c r="T3" i="35"/>
  <c r="O3" i="35"/>
  <c r="G3" i="35"/>
  <c r="H3" i="35" s="1"/>
  <c r="F3" i="35"/>
  <c r="D3" i="35"/>
  <c r="C3" i="35"/>
  <c r="A2" i="35"/>
  <c r="A1" i="35"/>
  <c r="AD32" i="34"/>
  <c r="AB32" i="34"/>
  <c r="Y32" i="34"/>
  <c r="X32" i="34"/>
  <c r="V32" i="34"/>
  <c r="U32" i="34"/>
  <c r="T32" i="34"/>
  <c r="P32" i="34"/>
  <c r="O32" i="34"/>
  <c r="Q32" i="34" s="1"/>
  <c r="M32" i="34"/>
  <c r="J32" i="34"/>
  <c r="H32" i="34"/>
  <c r="C32" i="34"/>
  <c r="AB31" i="34"/>
  <c r="AD31" i="34" s="1"/>
  <c r="Y31" i="34"/>
  <c r="X31" i="34"/>
  <c r="Q31" i="34"/>
  <c r="P31" i="34"/>
  <c r="O31" i="34"/>
  <c r="M31" i="34"/>
  <c r="J31" i="34"/>
  <c r="H31" i="34"/>
  <c r="C31" i="34"/>
  <c r="AD30" i="34"/>
  <c r="J30" i="34" s="1"/>
  <c r="AB30" i="34"/>
  <c r="Y30" i="34"/>
  <c r="X30" i="34"/>
  <c r="Q30" i="34"/>
  <c r="P30" i="34"/>
  <c r="O30" i="34"/>
  <c r="M30" i="34"/>
  <c r="H30" i="34"/>
  <c r="C30" i="34"/>
  <c r="AB29" i="34"/>
  <c r="AD29" i="34" s="1"/>
  <c r="J29" i="34" s="1"/>
  <c r="K29" i="34" s="1"/>
  <c r="Y29" i="34"/>
  <c r="X29" i="34"/>
  <c r="P29" i="34"/>
  <c r="Q29" i="34" s="1"/>
  <c r="O29" i="34"/>
  <c r="M29" i="34"/>
  <c r="I29" i="34"/>
  <c r="H29" i="34"/>
  <c r="C29" i="34"/>
  <c r="AD28" i="34"/>
  <c r="J28" i="34" s="1"/>
  <c r="K28" i="34" s="1"/>
  <c r="AB28" i="34"/>
  <c r="Y28" i="34"/>
  <c r="X28" i="34"/>
  <c r="P28" i="34"/>
  <c r="O28" i="34"/>
  <c r="M28" i="34"/>
  <c r="I28" i="34"/>
  <c r="H28" i="34"/>
  <c r="C28" i="34"/>
  <c r="AD27" i="34"/>
  <c r="J27" i="34" s="1"/>
  <c r="I27" i="34" s="1"/>
  <c r="AB27" i="34"/>
  <c r="Y27" i="34"/>
  <c r="X27" i="34"/>
  <c r="P27" i="34"/>
  <c r="Q27" i="34" s="1"/>
  <c r="O27" i="34"/>
  <c r="M27" i="34"/>
  <c r="K27" i="34"/>
  <c r="H27" i="34"/>
  <c r="C27" i="34"/>
  <c r="AD26" i="34"/>
  <c r="J26" i="34" s="1"/>
  <c r="AB26" i="34"/>
  <c r="Y26" i="34"/>
  <c r="X26" i="34"/>
  <c r="P26" i="34"/>
  <c r="O26" i="34"/>
  <c r="Q26" i="34" s="1"/>
  <c r="M26" i="34"/>
  <c r="H26" i="34"/>
  <c r="C26" i="34"/>
  <c r="AB25" i="34"/>
  <c r="AD25" i="34" s="1"/>
  <c r="J25" i="34" s="1"/>
  <c r="Y25" i="34"/>
  <c r="X25" i="34"/>
  <c r="P25" i="34"/>
  <c r="O25" i="34"/>
  <c r="Q25" i="34" s="1"/>
  <c r="M25" i="34"/>
  <c r="H25" i="34"/>
  <c r="C25" i="34"/>
  <c r="AB24" i="34"/>
  <c r="AD24" i="34" s="1"/>
  <c r="Y24" i="34"/>
  <c r="X24" i="34"/>
  <c r="P24" i="34"/>
  <c r="O24" i="34"/>
  <c r="Q24" i="34" s="1"/>
  <c r="M24" i="34"/>
  <c r="J24" i="34"/>
  <c r="H24" i="34"/>
  <c r="C24" i="34"/>
  <c r="AB23" i="34"/>
  <c r="AD23" i="34" s="1"/>
  <c r="J23" i="34" s="1"/>
  <c r="Y23" i="34"/>
  <c r="X23" i="34"/>
  <c r="Q23" i="34"/>
  <c r="P23" i="34"/>
  <c r="O23" i="34"/>
  <c r="M23" i="34"/>
  <c r="H23" i="34"/>
  <c r="C23" i="34"/>
  <c r="AD22" i="34"/>
  <c r="J22" i="34" s="1"/>
  <c r="AB22" i="34"/>
  <c r="Y22" i="34"/>
  <c r="X22" i="34"/>
  <c r="Q22" i="34"/>
  <c r="P22" i="34"/>
  <c r="O22" i="34"/>
  <c r="M22" i="34"/>
  <c r="H22" i="34"/>
  <c r="C22" i="34"/>
  <c r="AB21" i="34"/>
  <c r="AD21" i="34" s="1"/>
  <c r="J21" i="34" s="1"/>
  <c r="K21" i="34" s="1"/>
  <c r="Y21" i="34"/>
  <c r="X21" i="34"/>
  <c r="P21" i="34"/>
  <c r="Q21" i="34" s="1"/>
  <c r="O21" i="34"/>
  <c r="M21" i="34"/>
  <c r="I21" i="34"/>
  <c r="H21" i="34"/>
  <c r="C21" i="34"/>
  <c r="AD20" i="34"/>
  <c r="J20" i="34" s="1"/>
  <c r="AB20" i="34"/>
  <c r="Y20" i="34"/>
  <c r="X20" i="34"/>
  <c r="P20" i="34"/>
  <c r="O20" i="34"/>
  <c r="Q20" i="34" s="1"/>
  <c r="M20" i="34"/>
  <c r="H20" i="34"/>
  <c r="C20" i="34"/>
  <c r="AD19" i="34"/>
  <c r="J19" i="34" s="1"/>
  <c r="I19" i="34" s="1"/>
  <c r="AB19" i="34"/>
  <c r="Y19" i="34"/>
  <c r="X19" i="34"/>
  <c r="P19" i="34"/>
  <c r="Q19" i="34" s="1"/>
  <c r="O19" i="34"/>
  <c r="M19" i="34"/>
  <c r="K19" i="34"/>
  <c r="H19" i="34"/>
  <c r="C19" i="34"/>
  <c r="AD18" i="34"/>
  <c r="J18" i="34" s="1"/>
  <c r="I18" i="34" s="1"/>
  <c r="AB18" i="34"/>
  <c r="Y18" i="34"/>
  <c r="X18" i="34"/>
  <c r="Q18" i="34"/>
  <c r="P18" i="34"/>
  <c r="O18" i="34"/>
  <c r="M18" i="34"/>
  <c r="K18" i="34"/>
  <c r="H18" i="34"/>
  <c r="C18" i="34"/>
  <c r="AB17" i="34"/>
  <c r="AD17" i="34" s="1"/>
  <c r="J17" i="34" s="1"/>
  <c r="Y17" i="34"/>
  <c r="X17" i="34"/>
  <c r="P17" i="34"/>
  <c r="O17" i="34"/>
  <c r="Q17" i="34" s="1"/>
  <c r="M17" i="34"/>
  <c r="H17" i="34"/>
  <c r="C17" i="34"/>
  <c r="AB16" i="34"/>
  <c r="AD16" i="34" s="1"/>
  <c r="Y16" i="34"/>
  <c r="X16" i="34"/>
  <c r="P16" i="34"/>
  <c r="O16" i="34"/>
  <c r="Q16" i="34" s="1"/>
  <c r="M16" i="34"/>
  <c r="J16" i="34"/>
  <c r="H16" i="34"/>
  <c r="C16" i="34"/>
  <c r="AB15" i="34"/>
  <c r="AD15" i="34" s="1"/>
  <c r="J15" i="34" s="1"/>
  <c r="Y15" i="34"/>
  <c r="X15" i="34"/>
  <c r="Q15" i="34"/>
  <c r="P15" i="34"/>
  <c r="O15" i="34"/>
  <c r="M15" i="34"/>
  <c r="H15" i="34"/>
  <c r="C15" i="34"/>
  <c r="AD14" i="34"/>
  <c r="J14" i="34" s="1"/>
  <c r="AB14" i="34"/>
  <c r="Y14" i="34"/>
  <c r="X14" i="34"/>
  <c r="Q14" i="34"/>
  <c r="P14" i="34"/>
  <c r="O14" i="34"/>
  <c r="M14" i="34"/>
  <c r="H14" i="34"/>
  <c r="C14" i="34"/>
  <c r="AB13" i="34"/>
  <c r="AD13" i="34" s="1"/>
  <c r="J13" i="34" s="1"/>
  <c r="K13" i="34" s="1"/>
  <c r="Y13" i="34"/>
  <c r="X13" i="34"/>
  <c r="P13" i="34"/>
  <c r="Q13" i="34" s="1"/>
  <c r="O13" i="34"/>
  <c r="M13" i="34"/>
  <c r="H13" i="34"/>
  <c r="C13" i="34"/>
  <c r="AD12" i="34"/>
  <c r="J12" i="34" s="1"/>
  <c r="K12" i="34" s="1"/>
  <c r="AB12" i="34"/>
  <c r="Y12" i="34"/>
  <c r="X12" i="34"/>
  <c r="P12" i="34"/>
  <c r="O12" i="34"/>
  <c r="M12" i="34"/>
  <c r="H12" i="34"/>
  <c r="C12" i="34"/>
  <c r="AD11" i="34"/>
  <c r="J11" i="34" s="1"/>
  <c r="I11" i="34" s="1"/>
  <c r="AB11" i="34"/>
  <c r="Y11" i="34"/>
  <c r="X11" i="34"/>
  <c r="P11" i="34"/>
  <c r="O11" i="34"/>
  <c r="M11" i="34"/>
  <c r="K11" i="34"/>
  <c r="H11" i="34"/>
  <c r="C11" i="34"/>
  <c r="AD10" i="34"/>
  <c r="J10" i="34" s="1"/>
  <c r="I10" i="34" s="1"/>
  <c r="AB10" i="34"/>
  <c r="Y10" i="34"/>
  <c r="X10" i="34"/>
  <c r="Q10" i="34"/>
  <c r="P10" i="34"/>
  <c r="O10" i="34"/>
  <c r="M10" i="34"/>
  <c r="K10" i="34"/>
  <c r="H10" i="34"/>
  <c r="C10" i="34"/>
  <c r="AB9" i="34"/>
  <c r="AD9" i="34" s="1"/>
  <c r="J9" i="34" s="1"/>
  <c r="Y9" i="34"/>
  <c r="X9" i="34"/>
  <c r="P9" i="34"/>
  <c r="O9" i="34"/>
  <c r="Q9" i="34" s="1"/>
  <c r="M9" i="34"/>
  <c r="H9" i="34"/>
  <c r="C9" i="34"/>
  <c r="AB8" i="34"/>
  <c r="AD8" i="34" s="1"/>
  <c r="J8" i="34" s="1"/>
  <c r="Y8" i="34"/>
  <c r="X8" i="34"/>
  <c r="P8" i="34"/>
  <c r="O8" i="34"/>
  <c r="Q8" i="34" s="1"/>
  <c r="M8" i="34"/>
  <c r="H8" i="34"/>
  <c r="C8" i="34"/>
  <c r="AB7" i="34"/>
  <c r="AD7" i="34" s="1"/>
  <c r="J7" i="34" s="1"/>
  <c r="Y7" i="34"/>
  <c r="X7" i="34"/>
  <c r="Q7" i="34"/>
  <c r="P7" i="34"/>
  <c r="O7" i="34"/>
  <c r="M7" i="34"/>
  <c r="H7" i="34"/>
  <c r="C7" i="34"/>
  <c r="AD6" i="34"/>
  <c r="J6" i="34" s="1"/>
  <c r="AB6" i="34"/>
  <c r="Y6" i="34"/>
  <c r="X6" i="34"/>
  <c r="Q6" i="34"/>
  <c r="P6" i="34"/>
  <c r="O6" i="34"/>
  <c r="M6" i="34"/>
  <c r="H6" i="34"/>
  <c r="C6" i="34"/>
  <c r="AB5" i="34"/>
  <c r="AD5" i="34" s="1"/>
  <c r="J5" i="34" s="1"/>
  <c r="Y5" i="34"/>
  <c r="X5" i="34"/>
  <c r="P5" i="34"/>
  <c r="Q5" i="34" s="1"/>
  <c r="O5" i="34"/>
  <c r="M5" i="34"/>
  <c r="H5" i="34"/>
  <c r="C5" i="34"/>
  <c r="AD4" i="34"/>
  <c r="AB4" i="34"/>
  <c r="Y4" i="34"/>
  <c r="X4" i="34"/>
  <c r="P4" i="34"/>
  <c r="O4" i="34"/>
  <c r="M4" i="34"/>
  <c r="H4" i="34"/>
  <c r="C4" i="34"/>
  <c r="AG3" i="34"/>
  <c r="AF3" i="34"/>
  <c r="X3" i="34"/>
  <c r="W3" i="34"/>
  <c r="V3" i="34"/>
  <c r="U3" i="34"/>
  <c r="T3" i="34"/>
  <c r="O3" i="34"/>
  <c r="G3" i="34"/>
  <c r="H3" i="34" s="1"/>
  <c r="F3" i="34"/>
  <c r="D3" i="34"/>
  <c r="C3" i="34"/>
  <c r="A2" i="34"/>
  <c r="A1" i="34"/>
  <c r="AD32" i="33"/>
  <c r="AB32" i="33"/>
  <c r="Y32" i="33"/>
  <c r="X32" i="33"/>
  <c r="V32" i="33"/>
  <c r="U32" i="33"/>
  <c r="T32" i="33"/>
  <c r="P32" i="33"/>
  <c r="O32" i="33"/>
  <c r="Q32" i="33" s="1"/>
  <c r="M32" i="33"/>
  <c r="J32" i="33"/>
  <c r="H32" i="33"/>
  <c r="C32" i="33"/>
  <c r="AB31" i="33"/>
  <c r="AD31" i="33" s="1"/>
  <c r="J31" i="33" s="1"/>
  <c r="Y31" i="33"/>
  <c r="X31" i="33"/>
  <c r="Q31" i="33"/>
  <c r="P31" i="33"/>
  <c r="O31" i="33"/>
  <c r="M31" i="33"/>
  <c r="H31" i="33"/>
  <c r="C31" i="33"/>
  <c r="AD30" i="33"/>
  <c r="J30" i="33" s="1"/>
  <c r="AB30" i="33"/>
  <c r="Y30" i="33"/>
  <c r="X30" i="33"/>
  <c r="Q30" i="33"/>
  <c r="P30" i="33"/>
  <c r="O30" i="33"/>
  <c r="M30" i="33"/>
  <c r="H30" i="33"/>
  <c r="C30" i="33"/>
  <c r="AB29" i="33"/>
  <c r="AD29" i="33" s="1"/>
  <c r="J29" i="33" s="1"/>
  <c r="K29" i="33" s="1"/>
  <c r="Y29" i="33"/>
  <c r="X29" i="33"/>
  <c r="P29" i="33"/>
  <c r="Q29" i="33" s="1"/>
  <c r="O29" i="33"/>
  <c r="M29" i="33"/>
  <c r="H29" i="33"/>
  <c r="C29" i="33"/>
  <c r="AD28" i="33"/>
  <c r="J28" i="33" s="1"/>
  <c r="K28" i="33" s="1"/>
  <c r="AB28" i="33"/>
  <c r="Y28" i="33"/>
  <c r="X28" i="33"/>
  <c r="P28" i="33"/>
  <c r="O28" i="33"/>
  <c r="M28" i="33"/>
  <c r="I28" i="33"/>
  <c r="H28" i="33"/>
  <c r="C28" i="33"/>
  <c r="AD27" i="33"/>
  <c r="J27" i="33" s="1"/>
  <c r="I27" i="33" s="1"/>
  <c r="AB27" i="33"/>
  <c r="Y27" i="33"/>
  <c r="X27" i="33"/>
  <c r="P27" i="33"/>
  <c r="Q27" i="33" s="1"/>
  <c r="O27" i="33"/>
  <c r="M27" i="33"/>
  <c r="K27" i="33"/>
  <c r="H27" i="33"/>
  <c r="C27" i="33"/>
  <c r="AD26" i="33"/>
  <c r="J26" i="33" s="1"/>
  <c r="I26" i="33" s="1"/>
  <c r="AB26" i="33"/>
  <c r="Y26" i="33"/>
  <c r="X26" i="33"/>
  <c r="Q26" i="33"/>
  <c r="P26" i="33"/>
  <c r="O26" i="33"/>
  <c r="M26" i="33"/>
  <c r="K26" i="33"/>
  <c r="H26" i="33"/>
  <c r="C26" i="33"/>
  <c r="AB25" i="33"/>
  <c r="AD25" i="33" s="1"/>
  <c r="J25" i="33" s="1"/>
  <c r="Y25" i="33"/>
  <c r="X25" i="33"/>
  <c r="P25" i="33"/>
  <c r="O25" i="33"/>
  <c r="Q25" i="33" s="1"/>
  <c r="M25" i="33"/>
  <c r="H25" i="33"/>
  <c r="C25" i="33"/>
  <c r="AB24" i="33"/>
  <c r="AD24" i="33" s="1"/>
  <c r="J24" i="33" s="1"/>
  <c r="Y24" i="33"/>
  <c r="X24" i="33"/>
  <c r="P24" i="33"/>
  <c r="O24" i="33"/>
  <c r="Q24" i="33" s="1"/>
  <c r="M24" i="33"/>
  <c r="H24" i="33"/>
  <c r="C24" i="33"/>
  <c r="AB23" i="33"/>
  <c r="AD23" i="33" s="1"/>
  <c r="Y23" i="33"/>
  <c r="X23" i="33"/>
  <c r="Q23" i="33"/>
  <c r="P23" i="33"/>
  <c r="O23" i="33"/>
  <c r="M23" i="33"/>
  <c r="J23" i="33"/>
  <c r="H23" i="33"/>
  <c r="C23" i="33"/>
  <c r="AD22" i="33"/>
  <c r="J22" i="33" s="1"/>
  <c r="AB22" i="33"/>
  <c r="Y22" i="33"/>
  <c r="X22" i="33"/>
  <c r="Q22" i="33"/>
  <c r="P22" i="33"/>
  <c r="O22" i="33"/>
  <c r="M22" i="33"/>
  <c r="H22" i="33"/>
  <c r="C22" i="33"/>
  <c r="AB21" i="33"/>
  <c r="AD21" i="33" s="1"/>
  <c r="J21" i="33" s="1"/>
  <c r="Y21" i="33"/>
  <c r="X21" i="33"/>
  <c r="P21" i="33"/>
  <c r="Q21" i="33" s="1"/>
  <c r="O21" i="33"/>
  <c r="M21" i="33"/>
  <c r="H21" i="33"/>
  <c r="C21" i="33"/>
  <c r="AD20" i="33"/>
  <c r="J20" i="33" s="1"/>
  <c r="K20" i="33" s="1"/>
  <c r="AB20" i="33"/>
  <c r="Y20" i="33"/>
  <c r="X20" i="33"/>
  <c r="P20" i="33"/>
  <c r="O20" i="33"/>
  <c r="M20" i="33"/>
  <c r="I20" i="33"/>
  <c r="H20" i="33"/>
  <c r="C20" i="33"/>
  <c r="AD19" i="33"/>
  <c r="J19" i="33" s="1"/>
  <c r="I19" i="33" s="1"/>
  <c r="AB19" i="33"/>
  <c r="Y19" i="33"/>
  <c r="X19" i="33"/>
  <c r="P19" i="33"/>
  <c r="Q19" i="33" s="1"/>
  <c r="O19" i="33"/>
  <c r="M19" i="33"/>
  <c r="H19" i="33"/>
  <c r="C19" i="33"/>
  <c r="AD18" i="33"/>
  <c r="J18" i="33" s="1"/>
  <c r="I18" i="33" s="1"/>
  <c r="AB18" i="33"/>
  <c r="Y18" i="33"/>
  <c r="X18" i="33"/>
  <c r="Q18" i="33"/>
  <c r="P18" i="33"/>
  <c r="O18" i="33"/>
  <c r="M18" i="33"/>
  <c r="K18" i="33"/>
  <c r="H18" i="33"/>
  <c r="C18" i="33"/>
  <c r="AB17" i="33"/>
  <c r="AD17" i="33" s="1"/>
  <c r="J17" i="33" s="1"/>
  <c r="Y17" i="33"/>
  <c r="X17" i="33"/>
  <c r="P17" i="33"/>
  <c r="O17" i="33"/>
  <c r="Q17" i="33" s="1"/>
  <c r="M17" i="33"/>
  <c r="H17" i="33"/>
  <c r="C17" i="33"/>
  <c r="AB16" i="33"/>
  <c r="AD16" i="33" s="1"/>
  <c r="J16" i="33" s="1"/>
  <c r="Y16" i="33"/>
  <c r="X16" i="33"/>
  <c r="P16" i="33"/>
  <c r="O16" i="33"/>
  <c r="Q16" i="33" s="1"/>
  <c r="M16" i="33"/>
  <c r="H16" i="33"/>
  <c r="C16" i="33"/>
  <c r="AB15" i="33"/>
  <c r="AD15" i="33" s="1"/>
  <c r="Y15" i="33"/>
  <c r="X15" i="33"/>
  <c r="Q15" i="33"/>
  <c r="P15" i="33"/>
  <c r="O15" i="33"/>
  <c r="M15" i="33"/>
  <c r="J15" i="33"/>
  <c r="H15" i="33"/>
  <c r="C15" i="33"/>
  <c r="AD14" i="33"/>
  <c r="J14" i="33" s="1"/>
  <c r="AB14" i="33"/>
  <c r="Y14" i="33"/>
  <c r="X14" i="33"/>
  <c r="Q14" i="33"/>
  <c r="P14" i="33"/>
  <c r="O14" i="33"/>
  <c r="M14" i="33"/>
  <c r="H14" i="33"/>
  <c r="C14" i="33"/>
  <c r="AB13" i="33"/>
  <c r="AD13" i="33" s="1"/>
  <c r="J13" i="33" s="1"/>
  <c r="K13" i="33" s="1"/>
  <c r="Y13" i="33"/>
  <c r="X13" i="33"/>
  <c r="P13" i="33"/>
  <c r="Q13" i="33" s="1"/>
  <c r="O13" i="33"/>
  <c r="M13" i="33"/>
  <c r="I13" i="33"/>
  <c r="H13" i="33"/>
  <c r="C13" i="33"/>
  <c r="AD12" i="33"/>
  <c r="J12" i="33" s="1"/>
  <c r="K12" i="33" s="1"/>
  <c r="AB12" i="33"/>
  <c r="Y12" i="33"/>
  <c r="X12" i="33"/>
  <c r="P12" i="33"/>
  <c r="O12" i="33"/>
  <c r="Q12" i="33" s="1"/>
  <c r="M12" i="33"/>
  <c r="I12" i="33"/>
  <c r="H12" i="33"/>
  <c r="C12" i="33"/>
  <c r="AD11" i="33"/>
  <c r="J11" i="33" s="1"/>
  <c r="I11" i="33" s="1"/>
  <c r="AB11" i="33"/>
  <c r="Y11" i="33"/>
  <c r="X11" i="33"/>
  <c r="P11" i="33"/>
  <c r="O11" i="33"/>
  <c r="M11" i="33"/>
  <c r="H11" i="33"/>
  <c r="C11" i="33"/>
  <c r="AD10" i="33"/>
  <c r="J10" i="33" s="1"/>
  <c r="I10" i="33" s="1"/>
  <c r="AB10" i="33"/>
  <c r="Y10" i="33"/>
  <c r="X10" i="33"/>
  <c r="Q10" i="33"/>
  <c r="P10" i="33"/>
  <c r="O10" i="33"/>
  <c r="M10" i="33"/>
  <c r="K10" i="33"/>
  <c r="H10" i="33"/>
  <c r="C10" i="33"/>
  <c r="AB9" i="33"/>
  <c r="AD9" i="33" s="1"/>
  <c r="J9" i="33" s="1"/>
  <c r="Y9" i="33"/>
  <c r="X9" i="33"/>
  <c r="P9" i="33"/>
  <c r="O9" i="33"/>
  <c r="Q9" i="33" s="1"/>
  <c r="M9" i="33"/>
  <c r="H9" i="33"/>
  <c r="C9" i="33"/>
  <c r="AB8" i="33"/>
  <c r="AD8" i="33" s="1"/>
  <c r="Y8" i="33"/>
  <c r="X8" i="33"/>
  <c r="P8" i="33"/>
  <c r="O8" i="33"/>
  <c r="Q8" i="33" s="1"/>
  <c r="M8" i="33"/>
  <c r="J8" i="33"/>
  <c r="H8" i="33"/>
  <c r="C8" i="33"/>
  <c r="AB7" i="33"/>
  <c r="AD7" i="33" s="1"/>
  <c r="Y7" i="33"/>
  <c r="X7" i="33"/>
  <c r="Q7" i="33"/>
  <c r="P7" i="33"/>
  <c r="O7" i="33"/>
  <c r="M7" i="33"/>
  <c r="J7" i="33"/>
  <c r="H7" i="33"/>
  <c r="C7" i="33"/>
  <c r="AD6" i="33"/>
  <c r="J6" i="33" s="1"/>
  <c r="AB6" i="33"/>
  <c r="Y6" i="33"/>
  <c r="X6" i="33"/>
  <c r="Q6" i="33"/>
  <c r="P6" i="33"/>
  <c r="O6" i="33"/>
  <c r="M6" i="33"/>
  <c r="H6" i="33"/>
  <c r="C6" i="33"/>
  <c r="AB5" i="33"/>
  <c r="AD5" i="33" s="1"/>
  <c r="J5" i="33" s="1"/>
  <c r="K5" i="33" s="1"/>
  <c r="Y5" i="33"/>
  <c r="X5" i="33"/>
  <c r="P5" i="33"/>
  <c r="Q5" i="33" s="1"/>
  <c r="O5" i="33"/>
  <c r="M5" i="33"/>
  <c r="I5" i="33"/>
  <c r="H5" i="33"/>
  <c r="C5" i="33"/>
  <c r="AD4" i="33"/>
  <c r="AB4" i="33"/>
  <c r="Y4" i="33"/>
  <c r="X4" i="33"/>
  <c r="P4" i="33"/>
  <c r="O4" i="33"/>
  <c r="Q4" i="33" s="1"/>
  <c r="M4" i="33"/>
  <c r="H4" i="33"/>
  <c r="C4" i="33"/>
  <c r="AG3" i="33"/>
  <c r="AF3" i="33"/>
  <c r="X3" i="33"/>
  <c r="W3" i="33"/>
  <c r="V3" i="33"/>
  <c r="U3" i="33"/>
  <c r="T3" i="33"/>
  <c r="O3" i="33"/>
  <c r="G3" i="33"/>
  <c r="H3" i="33" s="1"/>
  <c r="F3" i="33"/>
  <c r="D3" i="33"/>
  <c r="C3" i="33"/>
  <c r="A2" i="33"/>
  <c r="A1" i="33"/>
  <c r="AD32" i="32"/>
  <c r="AB32" i="32"/>
  <c r="Y32" i="32"/>
  <c r="X32" i="32"/>
  <c r="V32" i="32"/>
  <c r="U32" i="32"/>
  <c r="T32" i="32"/>
  <c r="P32" i="32"/>
  <c r="O32" i="32"/>
  <c r="Q32" i="32" s="1"/>
  <c r="M32" i="32"/>
  <c r="J32" i="32"/>
  <c r="H32" i="32"/>
  <c r="C32" i="32"/>
  <c r="AB31" i="32"/>
  <c r="AD31" i="32" s="1"/>
  <c r="Y31" i="32"/>
  <c r="X31" i="32"/>
  <c r="Q31" i="32"/>
  <c r="P31" i="32"/>
  <c r="O31" i="32"/>
  <c r="M31" i="32"/>
  <c r="J31" i="32"/>
  <c r="H31" i="32"/>
  <c r="C31" i="32"/>
  <c r="AD30" i="32"/>
  <c r="J30" i="32" s="1"/>
  <c r="AB30" i="32"/>
  <c r="Y30" i="32"/>
  <c r="X30" i="32"/>
  <c r="Q30" i="32"/>
  <c r="P30" i="32"/>
  <c r="O30" i="32"/>
  <c r="M30" i="32"/>
  <c r="H30" i="32"/>
  <c r="C30" i="32"/>
  <c r="AB29" i="32"/>
  <c r="AD29" i="32" s="1"/>
  <c r="J29" i="32" s="1"/>
  <c r="K29" i="32" s="1"/>
  <c r="Y29" i="32"/>
  <c r="X29" i="32"/>
  <c r="P29" i="32"/>
  <c r="Q29" i="32" s="1"/>
  <c r="O29" i="32"/>
  <c r="M29" i="32"/>
  <c r="I29" i="32"/>
  <c r="H29" i="32"/>
  <c r="C29" i="32"/>
  <c r="AD28" i="32"/>
  <c r="J28" i="32" s="1"/>
  <c r="K28" i="32" s="1"/>
  <c r="AB28" i="32"/>
  <c r="Y28" i="32"/>
  <c r="X28" i="32"/>
  <c r="P28" i="32"/>
  <c r="O28" i="32"/>
  <c r="Q28" i="32" s="1"/>
  <c r="M28" i="32"/>
  <c r="I28" i="32"/>
  <c r="H28" i="32"/>
  <c r="C28" i="32"/>
  <c r="AD27" i="32"/>
  <c r="J27" i="32" s="1"/>
  <c r="I27" i="32" s="1"/>
  <c r="AB27" i="32"/>
  <c r="Y27" i="32"/>
  <c r="X27" i="32"/>
  <c r="P27" i="32"/>
  <c r="Q27" i="32" s="1"/>
  <c r="O27" i="32"/>
  <c r="M27" i="32"/>
  <c r="K27" i="32"/>
  <c r="H27" i="32"/>
  <c r="C27" i="32"/>
  <c r="AD26" i="32"/>
  <c r="J26" i="32" s="1"/>
  <c r="I26" i="32" s="1"/>
  <c r="AB26" i="32"/>
  <c r="Y26" i="32"/>
  <c r="X26" i="32"/>
  <c r="Q26" i="32"/>
  <c r="P26" i="32"/>
  <c r="O26" i="32"/>
  <c r="M26" i="32"/>
  <c r="K26" i="32"/>
  <c r="H26" i="32"/>
  <c r="C26" i="32"/>
  <c r="AB25" i="32"/>
  <c r="AD25" i="32" s="1"/>
  <c r="J25" i="32" s="1"/>
  <c r="Y25" i="32"/>
  <c r="X25" i="32"/>
  <c r="P25" i="32"/>
  <c r="O25" i="32"/>
  <c r="Q25" i="32" s="1"/>
  <c r="M25" i="32"/>
  <c r="H25" i="32"/>
  <c r="C25" i="32"/>
  <c r="AB24" i="32"/>
  <c r="AD24" i="32" s="1"/>
  <c r="J24" i="32" s="1"/>
  <c r="Y24" i="32"/>
  <c r="X24" i="32"/>
  <c r="P24" i="32"/>
  <c r="O24" i="32"/>
  <c r="Q24" i="32" s="1"/>
  <c r="M24" i="32"/>
  <c r="H24" i="32"/>
  <c r="C24" i="32"/>
  <c r="AB23" i="32"/>
  <c r="AD23" i="32" s="1"/>
  <c r="Y23" i="32"/>
  <c r="X23" i="32"/>
  <c r="Q23" i="32"/>
  <c r="P23" i="32"/>
  <c r="O23" i="32"/>
  <c r="M23" i="32"/>
  <c r="J23" i="32"/>
  <c r="H23" i="32"/>
  <c r="C23" i="32"/>
  <c r="AD22" i="32"/>
  <c r="J22" i="32" s="1"/>
  <c r="AB22" i="32"/>
  <c r="Y22" i="32"/>
  <c r="X22" i="32"/>
  <c r="Q22" i="32"/>
  <c r="P22" i="32"/>
  <c r="O22" i="32"/>
  <c r="M22" i="32"/>
  <c r="H22" i="32"/>
  <c r="C22" i="32"/>
  <c r="AB21" i="32"/>
  <c r="AD21" i="32" s="1"/>
  <c r="J21" i="32" s="1"/>
  <c r="K21" i="32" s="1"/>
  <c r="Y21" i="32"/>
  <c r="X21" i="32"/>
  <c r="P21" i="32"/>
  <c r="Q21" i="32" s="1"/>
  <c r="O21" i="32"/>
  <c r="M21" i="32"/>
  <c r="I21" i="32"/>
  <c r="H21" i="32"/>
  <c r="C21" i="32"/>
  <c r="AD20" i="32"/>
  <c r="J20" i="32" s="1"/>
  <c r="K20" i="32" s="1"/>
  <c r="AB20" i="32"/>
  <c r="Y20" i="32"/>
  <c r="X20" i="32"/>
  <c r="P20" i="32"/>
  <c r="O20" i="32"/>
  <c r="Q20" i="32" s="1"/>
  <c r="M20" i="32"/>
  <c r="H20" i="32"/>
  <c r="C20" i="32"/>
  <c r="AD19" i="32"/>
  <c r="J19" i="32" s="1"/>
  <c r="I19" i="32" s="1"/>
  <c r="AB19" i="32"/>
  <c r="Y19" i="32"/>
  <c r="X19" i="32"/>
  <c r="P19" i="32"/>
  <c r="O19" i="32"/>
  <c r="Q19" i="32" s="1"/>
  <c r="M19" i="32"/>
  <c r="H19" i="32"/>
  <c r="C19" i="32"/>
  <c r="AD18" i="32"/>
  <c r="J18" i="32" s="1"/>
  <c r="I18" i="32" s="1"/>
  <c r="AB18" i="32"/>
  <c r="Y18" i="32"/>
  <c r="X18" i="32"/>
  <c r="Q18" i="32"/>
  <c r="P18" i="32"/>
  <c r="O18" i="32"/>
  <c r="M18" i="32"/>
  <c r="K18" i="32"/>
  <c r="H18" i="32"/>
  <c r="C18" i="32"/>
  <c r="AB17" i="32"/>
  <c r="AD17" i="32" s="1"/>
  <c r="J17" i="32" s="1"/>
  <c r="Y17" i="32"/>
  <c r="X17" i="32"/>
  <c r="P17" i="32"/>
  <c r="O17" i="32"/>
  <c r="Q17" i="32" s="1"/>
  <c r="M17" i="32"/>
  <c r="H17" i="32"/>
  <c r="C17" i="32"/>
  <c r="AB16" i="32"/>
  <c r="AD16" i="32" s="1"/>
  <c r="Y16" i="32"/>
  <c r="X16" i="32"/>
  <c r="P16" i="32"/>
  <c r="O16" i="32"/>
  <c r="Q16" i="32" s="1"/>
  <c r="M16" i="32"/>
  <c r="J16" i="32"/>
  <c r="H16" i="32"/>
  <c r="C16" i="32"/>
  <c r="AB15" i="32"/>
  <c r="AD15" i="32" s="1"/>
  <c r="J15" i="32" s="1"/>
  <c r="Y15" i="32"/>
  <c r="X15" i="32"/>
  <c r="Q15" i="32"/>
  <c r="P15" i="32"/>
  <c r="O15" i="32"/>
  <c r="M15" i="32"/>
  <c r="H15" i="32"/>
  <c r="C15" i="32"/>
  <c r="AD14" i="32"/>
  <c r="J14" i="32" s="1"/>
  <c r="AB14" i="32"/>
  <c r="Y14" i="32"/>
  <c r="X14" i="32"/>
  <c r="Q14" i="32"/>
  <c r="P14" i="32"/>
  <c r="O14" i="32"/>
  <c r="M14" i="32"/>
  <c r="H14" i="32"/>
  <c r="C14" i="32"/>
  <c r="AB13" i="32"/>
  <c r="AD13" i="32" s="1"/>
  <c r="J13" i="32" s="1"/>
  <c r="Y13" i="32"/>
  <c r="X13" i="32"/>
  <c r="P13" i="32"/>
  <c r="Q13" i="32" s="1"/>
  <c r="O13" i="32"/>
  <c r="M13" i="32"/>
  <c r="H13" i="32"/>
  <c r="C13" i="32"/>
  <c r="AD12" i="32"/>
  <c r="J12" i="32" s="1"/>
  <c r="K12" i="32" s="1"/>
  <c r="AB12" i="32"/>
  <c r="Y12" i="32"/>
  <c r="X12" i="32"/>
  <c r="P12" i="32"/>
  <c r="O12" i="32"/>
  <c r="Q12" i="32" s="1"/>
  <c r="M12" i="32"/>
  <c r="I12" i="32"/>
  <c r="H12" i="32"/>
  <c r="C12" i="32"/>
  <c r="AD11" i="32"/>
  <c r="J11" i="32" s="1"/>
  <c r="I11" i="32" s="1"/>
  <c r="AB11" i="32"/>
  <c r="Y11" i="32"/>
  <c r="X11" i="32"/>
  <c r="P11" i="32"/>
  <c r="Q11" i="32" s="1"/>
  <c r="O11" i="32"/>
  <c r="M11" i="32"/>
  <c r="H11" i="32"/>
  <c r="C11" i="32"/>
  <c r="AD10" i="32"/>
  <c r="J10" i="32" s="1"/>
  <c r="I10" i="32" s="1"/>
  <c r="AB10" i="32"/>
  <c r="Y10" i="32"/>
  <c r="X10" i="32"/>
  <c r="Q10" i="32"/>
  <c r="P10" i="32"/>
  <c r="O10" i="32"/>
  <c r="M10" i="32"/>
  <c r="K10" i="32"/>
  <c r="H10" i="32"/>
  <c r="C10" i="32"/>
  <c r="AB9" i="32"/>
  <c r="AD9" i="32" s="1"/>
  <c r="J9" i="32" s="1"/>
  <c r="Y9" i="32"/>
  <c r="X9" i="32"/>
  <c r="P9" i="32"/>
  <c r="O9" i="32"/>
  <c r="Q9" i="32" s="1"/>
  <c r="M9" i="32"/>
  <c r="H9" i="32"/>
  <c r="C9" i="32"/>
  <c r="AB8" i="32"/>
  <c r="AD8" i="32" s="1"/>
  <c r="J8" i="32" s="1"/>
  <c r="Y8" i="32"/>
  <c r="X8" i="32"/>
  <c r="P8" i="32"/>
  <c r="O8" i="32"/>
  <c r="Q8" i="32" s="1"/>
  <c r="M8" i="32"/>
  <c r="H8" i="32"/>
  <c r="C8" i="32"/>
  <c r="AB7" i="32"/>
  <c r="AD7" i="32" s="1"/>
  <c r="J7" i="32" s="1"/>
  <c r="Y7" i="32"/>
  <c r="X7" i="32"/>
  <c r="Q7" i="32"/>
  <c r="P7" i="32"/>
  <c r="O7" i="32"/>
  <c r="M7" i="32"/>
  <c r="H7" i="32"/>
  <c r="C7" i="32"/>
  <c r="AD6" i="32"/>
  <c r="J6" i="32" s="1"/>
  <c r="AB6" i="32"/>
  <c r="Y6" i="32"/>
  <c r="X6" i="32"/>
  <c r="Q6" i="32"/>
  <c r="P6" i="32"/>
  <c r="O6" i="32"/>
  <c r="M6" i="32"/>
  <c r="H6" i="32"/>
  <c r="C6" i="32"/>
  <c r="AB5" i="32"/>
  <c r="AD5" i="32" s="1"/>
  <c r="J5" i="32" s="1"/>
  <c r="K5" i="32" s="1"/>
  <c r="Y5" i="32"/>
  <c r="X5" i="32"/>
  <c r="P5" i="32"/>
  <c r="Q5" i="32" s="1"/>
  <c r="O5" i="32"/>
  <c r="M5" i="32"/>
  <c r="I5" i="32"/>
  <c r="H5" i="32"/>
  <c r="C5" i="32"/>
  <c r="AD4" i="32"/>
  <c r="AB4" i="32"/>
  <c r="Y4" i="32"/>
  <c r="X4" i="32"/>
  <c r="P4" i="32"/>
  <c r="O4" i="32"/>
  <c r="Q4" i="32" s="1"/>
  <c r="M4" i="32"/>
  <c r="H4" i="32"/>
  <c r="C4" i="32"/>
  <c r="AG3" i="32"/>
  <c r="AF3" i="32"/>
  <c r="X3" i="32"/>
  <c r="W3" i="32"/>
  <c r="V3" i="32"/>
  <c r="U3" i="32"/>
  <c r="T3" i="32"/>
  <c r="O3" i="32"/>
  <c r="G3" i="32"/>
  <c r="H3" i="32" s="1"/>
  <c r="F3" i="32"/>
  <c r="D3" i="32"/>
  <c r="C3" i="32"/>
  <c r="A2" i="32"/>
  <c r="A1" i="32"/>
  <c r="AD32" i="31"/>
  <c r="AB32" i="31"/>
  <c r="Y32" i="31"/>
  <c r="X32" i="31"/>
  <c r="V32" i="31"/>
  <c r="U32" i="31"/>
  <c r="T32" i="31"/>
  <c r="P32" i="31"/>
  <c r="O32" i="31"/>
  <c r="Q32" i="31" s="1"/>
  <c r="M32" i="31"/>
  <c r="J32" i="31"/>
  <c r="H32" i="31"/>
  <c r="C32" i="31"/>
  <c r="AB31" i="31"/>
  <c r="AD31" i="31" s="1"/>
  <c r="J31" i="31" s="1"/>
  <c r="Y31" i="31"/>
  <c r="X31" i="31"/>
  <c r="Q31" i="31"/>
  <c r="P31" i="31"/>
  <c r="O31" i="31"/>
  <c r="M31" i="31"/>
  <c r="H31" i="31"/>
  <c r="C31" i="31"/>
  <c r="AD30" i="31"/>
  <c r="J30" i="31" s="1"/>
  <c r="AB30" i="31"/>
  <c r="Y30" i="31"/>
  <c r="X30" i="31"/>
  <c r="Q30" i="31"/>
  <c r="P30" i="31"/>
  <c r="O30" i="31"/>
  <c r="M30" i="31"/>
  <c r="H30" i="31"/>
  <c r="C30" i="31"/>
  <c r="AB29" i="31"/>
  <c r="AD29" i="31" s="1"/>
  <c r="J29" i="31" s="1"/>
  <c r="Y29" i="31"/>
  <c r="X29" i="31"/>
  <c r="P29" i="31"/>
  <c r="Q29" i="31" s="1"/>
  <c r="O29" i="31"/>
  <c r="M29" i="31"/>
  <c r="H29" i="31"/>
  <c r="C29" i="31"/>
  <c r="AD28" i="31"/>
  <c r="J28" i="31" s="1"/>
  <c r="K28" i="31" s="1"/>
  <c r="AB28" i="31"/>
  <c r="Y28" i="31"/>
  <c r="X28" i="31"/>
  <c r="P28" i="31"/>
  <c r="O28" i="31"/>
  <c r="Q28" i="31" s="1"/>
  <c r="M28" i="31"/>
  <c r="I28" i="31"/>
  <c r="H28" i="31"/>
  <c r="C28" i="31"/>
  <c r="AD27" i="31"/>
  <c r="J27" i="31" s="1"/>
  <c r="I27" i="31" s="1"/>
  <c r="AB27" i="31"/>
  <c r="Y27" i="31"/>
  <c r="X27" i="31"/>
  <c r="P27" i="31"/>
  <c r="Q27" i="31" s="1"/>
  <c r="O27" i="31"/>
  <c r="M27" i="31"/>
  <c r="H27" i="31"/>
  <c r="C27" i="31"/>
  <c r="AD26" i="31"/>
  <c r="J26" i="31" s="1"/>
  <c r="I26" i="31" s="1"/>
  <c r="AB26" i="31"/>
  <c r="Y26" i="31"/>
  <c r="X26" i="31"/>
  <c r="Q26" i="31"/>
  <c r="P26" i="31"/>
  <c r="O26" i="31"/>
  <c r="M26" i="31"/>
  <c r="K26" i="31"/>
  <c r="H26" i="31"/>
  <c r="C26" i="31"/>
  <c r="AB25" i="31"/>
  <c r="AD25" i="31" s="1"/>
  <c r="J25" i="31" s="1"/>
  <c r="Y25" i="31"/>
  <c r="X25" i="31"/>
  <c r="P25" i="31"/>
  <c r="O25" i="31"/>
  <c r="Q25" i="31" s="1"/>
  <c r="M25" i="31"/>
  <c r="H25" i="31"/>
  <c r="C25" i="31"/>
  <c r="AB24" i="31"/>
  <c r="AD24" i="31" s="1"/>
  <c r="J24" i="31" s="1"/>
  <c r="Y24" i="31"/>
  <c r="X24" i="31"/>
  <c r="P24" i="31"/>
  <c r="O24" i="31"/>
  <c r="Q24" i="31" s="1"/>
  <c r="M24" i="31"/>
  <c r="H24" i="31"/>
  <c r="C24" i="31"/>
  <c r="AB23" i="31"/>
  <c r="AD23" i="31" s="1"/>
  <c r="J23" i="31" s="1"/>
  <c r="Y23" i="31"/>
  <c r="X23" i="31"/>
  <c r="Q23" i="31"/>
  <c r="P23" i="31"/>
  <c r="O23" i="31"/>
  <c r="M23" i="31"/>
  <c r="H23" i="31"/>
  <c r="C23" i="31"/>
  <c r="AD22" i="31"/>
  <c r="J22" i="31" s="1"/>
  <c r="AB22" i="31"/>
  <c r="Y22" i="31"/>
  <c r="X22" i="31"/>
  <c r="Q22" i="31"/>
  <c r="P22" i="31"/>
  <c r="O22" i="31"/>
  <c r="M22" i="31"/>
  <c r="H22" i="31"/>
  <c r="C22" i="31"/>
  <c r="AB21" i="31"/>
  <c r="AD21" i="31" s="1"/>
  <c r="J21" i="31" s="1"/>
  <c r="K21" i="31" s="1"/>
  <c r="Y21" i="31"/>
  <c r="X21" i="31"/>
  <c r="P21" i="31"/>
  <c r="Q21" i="31" s="1"/>
  <c r="O21" i="31"/>
  <c r="M21" i="31"/>
  <c r="I21" i="31"/>
  <c r="H21" i="31"/>
  <c r="C21" i="31"/>
  <c r="AD20" i="31"/>
  <c r="J20" i="31" s="1"/>
  <c r="K20" i="31" s="1"/>
  <c r="AB20" i="31"/>
  <c r="Y20" i="31"/>
  <c r="X20" i="31"/>
  <c r="P20" i="31"/>
  <c r="O20" i="31"/>
  <c r="Q20" i="31" s="1"/>
  <c r="M20" i="31"/>
  <c r="H20" i="31"/>
  <c r="C20" i="31"/>
  <c r="AD19" i="31"/>
  <c r="J19" i="31" s="1"/>
  <c r="AB19" i="31"/>
  <c r="Y19" i="31"/>
  <c r="X19" i="31"/>
  <c r="P19" i="31"/>
  <c r="Q19" i="31" s="1"/>
  <c r="O19" i="31"/>
  <c r="M19" i="31"/>
  <c r="H19" i="31"/>
  <c r="C19" i="31"/>
  <c r="AD18" i="31"/>
  <c r="J18" i="31" s="1"/>
  <c r="I18" i="31" s="1"/>
  <c r="AB18" i="31"/>
  <c r="Y18" i="31"/>
  <c r="X18" i="31"/>
  <c r="Q18" i="31"/>
  <c r="P18" i="31"/>
  <c r="O18" i="31"/>
  <c r="M18" i="31"/>
  <c r="K18" i="31"/>
  <c r="H18" i="31"/>
  <c r="C18" i="31"/>
  <c r="AB17" i="31"/>
  <c r="AD17" i="31" s="1"/>
  <c r="J17" i="31" s="1"/>
  <c r="Y17" i="31"/>
  <c r="X17" i="31"/>
  <c r="P17" i="31"/>
  <c r="O17" i="31"/>
  <c r="Q17" i="31" s="1"/>
  <c r="M17" i="31"/>
  <c r="H17" i="31"/>
  <c r="C17" i="31"/>
  <c r="AB16" i="31"/>
  <c r="AD16" i="31" s="1"/>
  <c r="Y16" i="31"/>
  <c r="X16" i="31"/>
  <c r="P16" i="31"/>
  <c r="O16" i="31"/>
  <c r="Q16" i="31" s="1"/>
  <c r="M16" i="31"/>
  <c r="J16" i="31"/>
  <c r="H16" i="31"/>
  <c r="C16" i="31"/>
  <c r="AB15" i="31"/>
  <c r="AD15" i="31" s="1"/>
  <c r="J15" i="31" s="1"/>
  <c r="Y15" i="31"/>
  <c r="X15" i="31"/>
  <c r="Q15" i="31"/>
  <c r="P15" i="31"/>
  <c r="O15" i="31"/>
  <c r="M15" i="31"/>
  <c r="H15" i="31"/>
  <c r="C15" i="31"/>
  <c r="AD14" i="31"/>
  <c r="J14" i="31" s="1"/>
  <c r="I14" i="31" s="1"/>
  <c r="AB14" i="31"/>
  <c r="Y14" i="31"/>
  <c r="X14" i="31"/>
  <c r="Q14" i="31"/>
  <c r="P14" i="31"/>
  <c r="O14" i="31"/>
  <c r="M14" i="31"/>
  <c r="K14" i="31"/>
  <c r="H14" i="31"/>
  <c r="C14" i="31"/>
  <c r="AB13" i="31"/>
  <c r="AD13" i="31" s="1"/>
  <c r="J13" i="31" s="1"/>
  <c r="K13" i="31" s="1"/>
  <c r="Y13" i="31"/>
  <c r="X13" i="31"/>
  <c r="P13" i="31"/>
  <c r="Q13" i="31" s="1"/>
  <c r="O13" i="31"/>
  <c r="M13" i="31"/>
  <c r="I13" i="31"/>
  <c r="H13" i="31"/>
  <c r="C13" i="31"/>
  <c r="AD12" i="31"/>
  <c r="J12" i="31" s="1"/>
  <c r="K12" i="31" s="1"/>
  <c r="AB12" i="31"/>
  <c r="Y12" i="31"/>
  <c r="X12" i="31"/>
  <c r="P12" i="31"/>
  <c r="O12" i="31"/>
  <c r="M12" i="31"/>
  <c r="I12" i="31"/>
  <c r="H12" i="31"/>
  <c r="C12" i="31"/>
  <c r="AB11" i="31"/>
  <c r="AD11" i="31" s="1"/>
  <c r="J11" i="31" s="1"/>
  <c r="Y11" i="31"/>
  <c r="X11" i="31"/>
  <c r="P11" i="31"/>
  <c r="Q11" i="31" s="1"/>
  <c r="O11" i="31"/>
  <c r="M11" i="31"/>
  <c r="H11" i="31"/>
  <c r="C11" i="31"/>
  <c r="AD10" i="31"/>
  <c r="J10" i="31" s="1"/>
  <c r="I10" i="31" s="1"/>
  <c r="AB10" i="31"/>
  <c r="Y10" i="31"/>
  <c r="X10" i="31"/>
  <c r="P10" i="31"/>
  <c r="O10" i="31"/>
  <c r="Q10" i="31" s="1"/>
  <c r="M10" i="31"/>
  <c r="K10" i="31"/>
  <c r="H10" i="31"/>
  <c r="C10" i="31"/>
  <c r="AB9" i="31"/>
  <c r="AD9" i="31" s="1"/>
  <c r="Y9" i="31"/>
  <c r="X9" i="31"/>
  <c r="P9" i="31"/>
  <c r="O9" i="31"/>
  <c r="Q9" i="31" s="1"/>
  <c r="M9" i="31"/>
  <c r="J9" i="31"/>
  <c r="H9" i="31"/>
  <c r="C9" i="31"/>
  <c r="AD8" i="31"/>
  <c r="J8" i="31" s="1"/>
  <c r="K8" i="31" s="1"/>
  <c r="AB8" i="31"/>
  <c r="Y8" i="31"/>
  <c r="X8" i="31"/>
  <c r="P8" i="31"/>
  <c r="O8" i="31"/>
  <c r="Q8" i="31" s="1"/>
  <c r="M8" i="31"/>
  <c r="I8" i="31"/>
  <c r="H8" i="31"/>
  <c r="C8" i="31"/>
  <c r="AB7" i="31"/>
  <c r="AD7" i="31" s="1"/>
  <c r="J7" i="31" s="1"/>
  <c r="Y7" i="31"/>
  <c r="X7" i="31"/>
  <c r="Q7" i="31"/>
  <c r="P7" i="31"/>
  <c r="O7" i="31"/>
  <c r="M7" i="31"/>
  <c r="H7" i="31"/>
  <c r="C7" i="31"/>
  <c r="AD6" i="31"/>
  <c r="J6" i="31" s="1"/>
  <c r="AB6" i="31"/>
  <c r="Y6" i="31"/>
  <c r="X6" i="31"/>
  <c r="Q6" i="31"/>
  <c r="P6" i="31"/>
  <c r="O6" i="31"/>
  <c r="M6" i="31"/>
  <c r="K6" i="31"/>
  <c r="I6" i="31"/>
  <c r="H6" i="31"/>
  <c r="C6" i="31"/>
  <c r="AB5" i="31"/>
  <c r="AD5" i="31" s="1"/>
  <c r="J5" i="31" s="1"/>
  <c r="K5" i="31" s="1"/>
  <c r="Y5" i="31"/>
  <c r="X5" i="31"/>
  <c r="P5" i="31"/>
  <c r="Q5" i="31" s="1"/>
  <c r="O5" i="31"/>
  <c r="M5" i="31"/>
  <c r="H5" i="31"/>
  <c r="C5" i="31"/>
  <c r="AD4" i="31"/>
  <c r="J4" i="31" s="1"/>
  <c r="AB4" i="31"/>
  <c r="Y4" i="31"/>
  <c r="X4" i="31"/>
  <c r="P4" i="31"/>
  <c r="O4" i="31"/>
  <c r="M4" i="31"/>
  <c r="K4" i="31"/>
  <c r="I4" i="31"/>
  <c r="H4" i="31"/>
  <c r="C4" i="31"/>
  <c r="AG3" i="31"/>
  <c r="AF3" i="31"/>
  <c r="W3" i="31"/>
  <c r="V3" i="31"/>
  <c r="U3" i="31"/>
  <c r="T3" i="31"/>
  <c r="O3" i="31"/>
  <c r="G3" i="31"/>
  <c r="H3" i="31" s="1"/>
  <c r="F3" i="31"/>
  <c r="D3" i="31"/>
  <c r="X3" i="31" s="1"/>
  <c r="C3" i="31"/>
  <c r="A2" i="31"/>
  <c r="A1" i="31"/>
  <c r="AD32" i="30"/>
  <c r="J32" i="30" s="1"/>
  <c r="AB32" i="30"/>
  <c r="Y32" i="30"/>
  <c r="X32" i="30"/>
  <c r="V32" i="30"/>
  <c r="U32" i="30"/>
  <c r="T32" i="30"/>
  <c r="Q32" i="30"/>
  <c r="P32" i="30"/>
  <c r="O32" i="30"/>
  <c r="M32" i="30"/>
  <c r="H32" i="30"/>
  <c r="C32" i="30"/>
  <c r="AB31" i="30"/>
  <c r="AD31" i="30" s="1"/>
  <c r="Y31" i="30"/>
  <c r="X31" i="30"/>
  <c r="P31" i="30"/>
  <c r="Q31" i="30" s="1"/>
  <c r="O31" i="30"/>
  <c r="M31" i="30"/>
  <c r="J31" i="30"/>
  <c r="H31" i="30"/>
  <c r="C31" i="30"/>
  <c r="AD30" i="30"/>
  <c r="J30" i="30" s="1"/>
  <c r="AB30" i="30"/>
  <c r="Y30" i="30"/>
  <c r="X30" i="30"/>
  <c r="Q30" i="30"/>
  <c r="P30" i="30"/>
  <c r="O30" i="30"/>
  <c r="M30" i="30"/>
  <c r="H30" i="30"/>
  <c r="C30" i="30"/>
  <c r="AB29" i="30"/>
  <c r="AD29" i="30" s="1"/>
  <c r="J29" i="30" s="1"/>
  <c r="K29" i="30" s="1"/>
  <c r="Y29" i="30"/>
  <c r="X29" i="30"/>
  <c r="Q29" i="30"/>
  <c r="P29" i="30"/>
  <c r="O29" i="30"/>
  <c r="M29" i="30"/>
  <c r="H29" i="30"/>
  <c r="C29" i="30"/>
  <c r="AD28" i="30"/>
  <c r="J28" i="30" s="1"/>
  <c r="I28" i="30" s="1"/>
  <c r="AB28" i="30"/>
  <c r="Y28" i="30"/>
  <c r="X28" i="30"/>
  <c r="P28" i="30"/>
  <c r="Q28" i="30" s="1"/>
  <c r="O28" i="30"/>
  <c r="M28" i="30"/>
  <c r="K28" i="30"/>
  <c r="H28" i="30"/>
  <c r="C28" i="30"/>
  <c r="AB27" i="30"/>
  <c r="AD27" i="30" s="1"/>
  <c r="J27" i="30" s="1"/>
  <c r="Y27" i="30"/>
  <c r="X27" i="30"/>
  <c r="P27" i="30"/>
  <c r="Q27" i="30" s="1"/>
  <c r="O27" i="30"/>
  <c r="M27" i="30"/>
  <c r="H27" i="30"/>
  <c r="C27" i="30"/>
  <c r="AD26" i="30"/>
  <c r="J26" i="30" s="1"/>
  <c r="I26" i="30" s="1"/>
  <c r="AB26" i="30"/>
  <c r="Y26" i="30"/>
  <c r="X26" i="30"/>
  <c r="Q26" i="30"/>
  <c r="P26" i="30"/>
  <c r="O26" i="30"/>
  <c r="M26" i="30"/>
  <c r="K26" i="30"/>
  <c r="H26" i="30"/>
  <c r="C26" i="30"/>
  <c r="AB25" i="30"/>
  <c r="AD25" i="30" s="1"/>
  <c r="J25" i="30" s="1"/>
  <c r="Y25" i="30"/>
  <c r="X25" i="30"/>
  <c r="P25" i="30"/>
  <c r="O25" i="30"/>
  <c r="M25" i="30"/>
  <c r="H25" i="30"/>
  <c r="C25" i="30"/>
  <c r="AB24" i="30"/>
  <c r="AD24" i="30" s="1"/>
  <c r="J24" i="30" s="1"/>
  <c r="Y24" i="30"/>
  <c r="X24" i="30"/>
  <c r="P24" i="30"/>
  <c r="O24" i="30"/>
  <c r="Q24" i="30" s="1"/>
  <c r="M24" i="30"/>
  <c r="H24" i="30"/>
  <c r="C24" i="30"/>
  <c r="AB23" i="30"/>
  <c r="AD23" i="30" s="1"/>
  <c r="J23" i="30" s="1"/>
  <c r="Y23" i="30"/>
  <c r="X23" i="30"/>
  <c r="Q23" i="30"/>
  <c r="P23" i="30"/>
  <c r="O23" i="30"/>
  <c r="M23" i="30"/>
  <c r="H23" i="30"/>
  <c r="C23" i="30"/>
  <c r="AB22" i="30"/>
  <c r="AD22" i="30" s="1"/>
  <c r="J22" i="30" s="1"/>
  <c r="Y22" i="30"/>
  <c r="X22" i="30"/>
  <c r="Q22" i="30"/>
  <c r="P22" i="30"/>
  <c r="O22" i="30"/>
  <c r="M22" i="30"/>
  <c r="H22" i="30"/>
  <c r="C22" i="30"/>
  <c r="AB21" i="30"/>
  <c r="AD21" i="30" s="1"/>
  <c r="J21" i="30" s="1"/>
  <c r="Y21" i="30"/>
  <c r="X21" i="30"/>
  <c r="P21" i="30"/>
  <c r="O21" i="30"/>
  <c r="Q21" i="30" s="1"/>
  <c r="M21" i="30"/>
  <c r="H21" i="30"/>
  <c r="C21" i="30"/>
  <c r="AB20" i="30"/>
  <c r="AD20" i="30" s="1"/>
  <c r="J20" i="30" s="1"/>
  <c r="Y20" i="30"/>
  <c r="X20" i="30"/>
  <c r="P20" i="30"/>
  <c r="Q20" i="30" s="1"/>
  <c r="O20" i="30"/>
  <c r="M20" i="30"/>
  <c r="H20" i="30"/>
  <c r="C20" i="30"/>
  <c r="AD19" i="30"/>
  <c r="J19" i="30" s="1"/>
  <c r="AB19" i="30"/>
  <c r="Y19" i="30"/>
  <c r="X19" i="30"/>
  <c r="P19" i="30"/>
  <c r="Q19" i="30" s="1"/>
  <c r="O19" i="30"/>
  <c r="M19" i="30"/>
  <c r="H19" i="30"/>
  <c r="C19" i="30"/>
  <c r="AD18" i="30"/>
  <c r="J18" i="30" s="1"/>
  <c r="I18" i="30" s="1"/>
  <c r="AB18" i="30"/>
  <c r="Y18" i="30"/>
  <c r="X18" i="30"/>
  <c r="P18" i="30"/>
  <c r="Q18" i="30" s="1"/>
  <c r="O18" i="30"/>
  <c r="M18" i="30"/>
  <c r="H18" i="30"/>
  <c r="C18" i="30"/>
  <c r="AD17" i="30"/>
  <c r="J17" i="30" s="1"/>
  <c r="K17" i="30" s="1"/>
  <c r="AB17" i="30"/>
  <c r="Y17" i="30"/>
  <c r="X17" i="30"/>
  <c r="P17" i="30"/>
  <c r="O17" i="30"/>
  <c r="Q17" i="30" s="1"/>
  <c r="M17" i="30"/>
  <c r="I17" i="30"/>
  <c r="H17" i="30"/>
  <c r="C17" i="30"/>
  <c r="AB16" i="30"/>
  <c r="AD16" i="30" s="1"/>
  <c r="J16" i="30" s="1"/>
  <c r="Y16" i="30"/>
  <c r="X16" i="30"/>
  <c r="P16" i="30"/>
  <c r="O16" i="30"/>
  <c r="Q16" i="30" s="1"/>
  <c r="M16" i="30"/>
  <c r="H16" i="30"/>
  <c r="C16" i="30"/>
  <c r="AD15" i="30"/>
  <c r="J15" i="30" s="1"/>
  <c r="AB15" i="30"/>
  <c r="Y15" i="30"/>
  <c r="X15" i="30"/>
  <c r="Q15" i="30"/>
  <c r="P15" i="30"/>
  <c r="O15" i="30"/>
  <c r="M15" i="30"/>
  <c r="H15" i="30"/>
  <c r="C15" i="30"/>
  <c r="AB14" i="30"/>
  <c r="AD14" i="30" s="1"/>
  <c r="J14" i="30" s="1"/>
  <c r="Y14" i="30"/>
  <c r="X14" i="30"/>
  <c r="Q14" i="30"/>
  <c r="P14" i="30"/>
  <c r="O14" i="30"/>
  <c r="M14" i="30"/>
  <c r="H14" i="30"/>
  <c r="C14" i="30"/>
  <c r="AB13" i="30"/>
  <c r="AD13" i="30" s="1"/>
  <c r="J13" i="30" s="1"/>
  <c r="Y13" i="30"/>
  <c r="X13" i="30"/>
  <c r="P13" i="30"/>
  <c r="O13" i="30"/>
  <c r="Q13" i="30" s="1"/>
  <c r="M13" i="30"/>
  <c r="H13" i="30"/>
  <c r="C13" i="30"/>
  <c r="AB12" i="30"/>
  <c r="AD12" i="30" s="1"/>
  <c r="J12" i="30" s="1"/>
  <c r="Y12" i="30"/>
  <c r="X12" i="30"/>
  <c r="P12" i="30"/>
  <c r="Q12" i="30" s="1"/>
  <c r="O12" i="30"/>
  <c r="M12" i="30"/>
  <c r="H12" i="30"/>
  <c r="C12" i="30"/>
  <c r="AD11" i="30"/>
  <c r="J11" i="30" s="1"/>
  <c r="AB11" i="30"/>
  <c r="Y11" i="30"/>
  <c r="X11" i="30"/>
  <c r="P11" i="30"/>
  <c r="Q11" i="30" s="1"/>
  <c r="O11" i="30"/>
  <c r="M11" i="30"/>
  <c r="H11" i="30"/>
  <c r="C11" i="30"/>
  <c r="AD10" i="30"/>
  <c r="J10" i="30" s="1"/>
  <c r="I10" i="30" s="1"/>
  <c r="AB10" i="30"/>
  <c r="Y10" i="30"/>
  <c r="X10" i="30"/>
  <c r="P10" i="30"/>
  <c r="Q10" i="30" s="1"/>
  <c r="O10" i="30"/>
  <c r="M10" i="30"/>
  <c r="K10" i="30"/>
  <c r="H10" i="30"/>
  <c r="C10" i="30"/>
  <c r="AD9" i="30"/>
  <c r="J9" i="30" s="1"/>
  <c r="K9" i="30" s="1"/>
  <c r="AB9" i="30"/>
  <c r="Y9" i="30"/>
  <c r="X9" i="30"/>
  <c r="P9" i="30"/>
  <c r="O9" i="30"/>
  <c r="Q9" i="30" s="1"/>
  <c r="M9" i="30"/>
  <c r="I9" i="30"/>
  <c r="H9" i="30"/>
  <c r="C9" i="30"/>
  <c r="AB8" i="30"/>
  <c r="AD8" i="30" s="1"/>
  <c r="J8" i="30" s="1"/>
  <c r="Y8" i="30"/>
  <c r="X8" i="30"/>
  <c r="P8" i="30"/>
  <c r="O8" i="30"/>
  <c r="M8" i="30"/>
  <c r="H8" i="30"/>
  <c r="C8" i="30"/>
  <c r="AD7" i="30"/>
  <c r="J7" i="30" s="1"/>
  <c r="I7" i="30" s="1"/>
  <c r="AB7" i="30"/>
  <c r="Y7" i="30"/>
  <c r="X7" i="30"/>
  <c r="Q7" i="30"/>
  <c r="P7" i="30"/>
  <c r="O7" i="30"/>
  <c r="M7" i="30"/>
  <c r="H7" i="30"/>
  <c r="C7" i="30"/>
  <c r="AB6" i="30"/>
  <c r="AD6" i="30" s="1"/>
  <c r="J6" i="30" s="1"/>
  <c r="Y6" i="30"/>
  <c r="X6" i="30"/>
  <c r="Q6" i="30"/>
  <c r="P6" i="30"/>
  <c r="O6" i="30"/>
  <c r="M6" i="30"/>
  <c r="H6" i="30"/>
  <c r="C6" i="30"/>
  <c r="AB5" i="30"/>
  <c r="AD5" i="30" s="1"/>
  <c r="J5" i="30" s="1"/>
  <c r="Y5" i="30"/>
  <c r="X5" i="30"/>
  <c r="P5" i="30"/>
  <c r="O5" i="30"/>
  <c r="Q5" i="30" s="1"/>
  <c r="M5" i="30"/>
  <c r="H5" i="30"/>
  <c r="C5" i="30"/>
  <c r="AB4" i="30"/>
  <c r="AD4" i="30" s="1"/>
  <c r="Y4" i="30"/>
  <c r="X4" i="30"/>
  <c r="P4" i="30"/>
  <c r="Q4" i="30" s="1"/>
  <c r="O4" i="30"/>
  <c r="M4" i="30"/>
  <c r="H4" i="30"/>
  <c r="C4" i="30"/>
  <c r="AG3" i="30"/>
  <c r="AF3" i="30"/>
  <c r="W3" i="30"/>
  <c r="X3" i="30" s="1"/>
  <c r="V3" i="30"/>
  <c r="U3" i="30"/>
  <c r="T3" i="30"/>
  <c r="O3" i="30"/>
  <c r="G3" i="30"/>
  <c r="H3" i="30" s="1"/>
  <c r="F3" i="30"/>
  <c r="D3" i="30"/>
  <c r="C3" i="30"/>
  <c r="A2" i="30"/>
  <c r="A1" i="30"/>
  <c r="AB32" i="29"/>
  <c r="AD32" i="29" s="1"/>
  <c r="J32" i="29" s="1"/>
  <c r="Y32" i="29"/>
  <c r="X32" i="29"/>
  <c r="V32" i="29"/>
  <c r="U32" i="29"/>
  <c r="T32" i="29"/>
  <c r="P32" i="29"/>
  <c r="O32" i="29"/>
  <c r="Q32" i="29" s="1"/>
  <c r="M32" i="29"/>
  <c r="H32" i="29"/>
  <c r="C32" i="29"/>
  <c r="AB31" i="29"/>
  <c r="AD31" i="29" s="1"/>
  <c r="J31" i="29" s="1"/>
  <c r="Y31" i="29"/>
  <c r="X31" i="29"/>
  <c r="Q31" i="29"/>
  <c r="P31" i="29"/>
  <c r="O31" i="29"/>
  <c r="M31" i="29"/>
  <c r="H31" i="29"/>
  <c r="C31" i="29"/>
  <c r="AB30" i="29"/>
  <c r="AD30" i="29" s="1"/>
  <c r="J30" i="29" s="1"/>
  <c r="Y30" i="29"/>
  <c r="X30" i="29"/>
  <c r="Q30" i="29"/>
  <c r="P30" i="29"/>
  <c r="O30" i="29"/>
  <c r="M30" i="29"/>
  <c r="H30" i="29"/>
  <c r="C30" i="29"/>
  <c r="AB29" i="29"/>
  <c r="AD29" i="29" s="1"/>
  <c r="J29" i="29" s="1"/>
  <c r="Y29" i="29"/>
  <c r="X29" i="29"/>
  <c r="P29" i="29"/>
  <c r="O29" i="29"/>
  <c r="Q29" i="29" s="1"/>
  <c r="M29" i="29"/>
  <c r="H29" i="29"/>
  <c r="C29" i="29"/>
  <c r="AB28" i="29"/>
  <c r="AD28" i="29" s="1"/>
  <c r="J28" i="29" s="1"/>
  <c r="Y28" i="29"/>
  <c r="X28" i="29"/>
  <c r="P28" i="29"/>
  <c r="Q28" i="29" s="1"/>
  <c r="O28" i="29"/>
  <c r="M28" i="29"/>
  <c r="H28" i="29"/>
  <c r="C28" i="29"/>
  <c r="AD27" i="29"/>
  <c r="J27" i="29" s="1"/>
  <c r="AB27" i="29"/>
  <c r="Y27" i="29"/>
  <c r="X27" i="29"/>
  <c r="P27" i="29"/>
  <c r="Q27" i="29" s="1"/>
  <c r="O27" i="29"/>
  <c r="M27" i="29"/>
  <c r="H27" i="29"/>
  <c r="C27" i="29"/>
  <c r="AD26" i="29"/>
  <c r="J26" i="29" s="1"/>
  <c r="I26" i="29" s="1"/>
  <c r="AB26" i="29"/>
  <c r="Y26" i="29"/>
  <c r="X26" i="29"/>
  <c r="P26" i="29"/>
  <c r="Q26" i="29" s="1"/>
  <c r="O26" i="29"/>
  <c r="M26" i="29"/>
  <c r="H26" i="29"/>
  <c r="C26" i="29"/>
  <c r="AD25" i="29"/>
  <c r="J25" i="29" s="1"/>
  <c r="K25" i="29" s="1"/>
  <c r="AB25" i="29"/>
  <c r="Y25" i="29"/>
  <c r="X25" i="29"/>
  <c r="P25" i="29"/>
  <c r="O25" i="29"/>
  <c r="Q25" i="29" s="1"/>
  <c r="M25" i="29"/>
  <c r="I25" i="29"/>
  <c r="H25" i="29"/>
  <c r="C25" i="29"/>
  <c r="AB24" i="29"/>
  <c r="AD24" i="29" s="1"/>
  <c r="J24" i="29" s="1"/>
  <c r="Y24" i="29"/>
  <c r="X24" i="29"/>
  <c r="P24" i="29"/>
  <c r="O24" i="29"/>
  <c r="Q24" i="29" s="1"/>
  <c r="M24" i="29"/>
  <c r="H24" i="29"/>
  <c r="C24" i="29"/>
  <c r="AB23" i="29"/>
  <c r="AD23" i="29" s="1"/>
  <c r="J23" i="29" s="1"/>
  <c r="Y23" i="29"/>
  <c r="X23" i="29"/>
  <c r="Q23" i="29"/>
  <c r="P23" i="29"/>
  <c r="O23" i="29"/>
  <c r="M23" i="29"/>
  <c r="H23" i="29"/>
  <c r="C23" i="29"/>
  <c r="AB22" i="29"/>
  <c r="AD22" i="29" s="1"/>
  <c r="J22" i="29" s="1"/>
  <c r="Y22" i="29"/>
  <c r="X22" i="29"/>
  <c r="Q22" i="29"/>
  <c r="P22" i="29"/>
  <c r="O22" i="29"/>
  <c r="M22" i="29"/>
  <c r="H22" i="29"/>
  <c r="C22" i="29"/>
  <c r="AB21" i="29"/>
  <c r="AD21" i="29" s="1"/>
  <c r="J21" i="29" s="1"/>
  <c r="Y21" i="29"/>
  <c r="X21" i="29"/>
  <c r="P21" i="29"/>
  <c r="O21" i="29"/>
  <c r="Q21" i="29" s="1"/>
  <c r="M21" i="29"/>
  <c r="H21" i="29"/>
  <c r="C21" i="29"/>
  <c r="AB20" i="29"/>
  <c r="AD20" i="29" s="1"/>
  <c r="Y20" i="29"/>
  <c r="X20" i="29"/>
  <c r="P20" i="29"/>
  <c r="Q20" i="29" s="1"/>
  <c r="O20" i="29"/>
  <c r="M20" i="29"/>
  <c r="J20" i="29"/>
  <c r="K20" i="29" s="1"/>
  <c r="I20" i="29"/>
  <c r="H20" i="29"/>
  <c r="C20" i="29"/>
  <c r="AD19" i="29"/>
  <c r="J19" i="29" s="1"/>
  <c r="AB19" i="29"/>
  <c r="Y19" i="29"/>
  <c r="X19" i="29"/>
  <c r="P19" i="29"/>
  <c r="Q19" i="29" s="1"/>
  <c r="O19" i="29"/>
  <c r="M19" i="29"/>
  <c r="H19" i="29"/>
  <c r="C19" i="29"/>
  <c r="AD18" i="29"/>
  <c r="J18" i="29" s="1"/>
  <c r="I18" i="29" s="1"/>
  <c r="AB18" i="29"/>
  <c r="Y18" i="29"/>
  <c r="X18" i="29"/>
  <c r="P18" i="29"/>
  <c r="Q18" i="29" s="1"/>
  <c r="O18" i="29"/>
  <c r="M18" i="29"/>
  <c r="H18" i="29"/>
  <c r="C18" i="29"/>
  <c r="AD17" i="29"/>
  <c r="J17" i="29" s="1"/>
  <c r="K17" i="29" s="1"/>
  <c r="AB17" i="29"/>
  <c r="Y17" i="29"/>
  <c r="X17" i="29"/>
  <c r="P17" i="29"/>
  <c r="O17" i="29"/>
  <c r="Q17" i="29" s="1"/>
  <c r="M17" i="29"/>
  <c r="I17" i="29"/>
  <c r="H17" i="29"/>
  <c r="C17" i="29"/>
  <c r="AB16" i="29"/>
  <c r="AD16" i="29" s="1"/>
  <c r="J16" i="29" s="1"/>
  <c r="Y16" i="29"/>
  <c r="X16" i="29"/>
  <c r="P16" i="29"/>
  <c r="O16" i="29"/>
  <c r="Q16" i="29" s="1"/>
  <c r="M16" i="29"/>
  <c r="H16" i="29"/>
  <c r="C16" i="29"/>
  <c r="AD15" i="29"/>
  <c r="J15" i="29" s="1"/>
  <c r="AB15" i="29"/>
  <c r="Y15" i="29"/>
  <c r="X15" i="29"/>
  <c r="Q15" i="29"/>
  <c r="P15" i="29"/>
  <c r="O15" i="29"/>
  <c r="M15" i="29"/>
  <c r="H15" i="29"/>
  <c r="C15" i="29"/>
  <c r="AB14" i="29"/>
  <c r="AD14" i="29" s="1"/>
  <c r="J14" i="29" s="1"/>
  <c r="Y14" i="29"/>
  <c r="X14" i="29"/>
  <c r="Q14" i="29"/>
  <c r="P14" i="29"/>
  <c r="O14" i="29"/>
  <c r="M14" i="29"/>
  <c r="H14" i="29"/>
  <c r="C14" i="29"/>
  <c r="AB13" i="29"/>
  <c r="AD13" i="29" s="1"/>
  <c r="J13" i="29" s="1"/>
  <c r="Y13" i="29"/>
  <c r="X13" i="29"/>
  <c r="P13" i="29"/>
  <c r="O13" i="29"/>
  <c r="Q13" i="29" s="1"/>
  <c r="M13" i="29"/>
  <c r="H13" i="29"/>
  <c r="C13" i="29"/>
  <c r="AB12" i="29"/>
  <c r="AD12" i="29" s="1"/>
  <c r="J12" i="29" s="1"/>
  <c r="Y12" i="29"/>
  <c r="X12" i="29"/>
  <c r="P12" i="29"/>
  <c r="O12" i="29"/>
  <c r="Q12" i="29" s="1"/>
  <c r="M12" i="29"/>
  <c r="H12" i="29"/>
  <c r="C12" i="29"/>
  <c r="AD11" i="29"/>
  <c r="J11" i="29" s="1"/>
  <c r="AB11" i="29"/>
  <c r="Y11" i="29"/>
  <c r="X11" i="29"/>
  <c r="P11" i="29"/>
  <c r="Q11" i="29" s="1"/>
  <c r="O11" i="29"/>
  <c r="M11" i="29"/>
  <c r="H11" i="29"/>
  <c r="C11" i="29"/>
  <c r="AD10" i="29"/>
  <c r="J10" i="29" s="1"/>
  <c r="I10" i="29" s="1"/>
  <c r="AB10" i="29"/>
  <c r="Y10" i="29"/>
  <c r="X10" i="29"/>
  <c r="Q10" i="29"/>
  <c r="P10" i="29"/>
  <c r="O10" i="29"/>
  <c r="M10" i="29"/>
  <c r="K10" i="29"/>
  <c r="H10" i="29"/>
  <c r="C10" i="29"/>
  <c r="AD9" i="29"/>
  <c r="J9" i="29" s="1"/>
  <c r="K9" i="29" s="1"/>
  <c r="AB9" i="29"/>
  <c r="Y9" i="29"/>
  <c r="X9" i="29"/>
  <c r="P9" i="29"/>
  <c r="O9" i="29"/>
  <c r="Q9" i="29" s="1"/>
  <c r="M9" i="29"/>
  <c r="H9" i="29"/>
  <c r="C9" i="29"/>
  <c r="AB8" i="29"/>
  <c r="AD8" i="29" s="1"/>
  <c r="J8" i="29" s="1"/>
  <c r="Y8" i="29"/>
  <c r="X8" i="29"/>
  <c r="P8" i="29"/>
  <c r="O8" i="29"/>
  <c r="Q8" i="29" s="1"/>
  <c r="M8" i="29"/>
  <c r="H8" i="29"/>
  <c r="C8" i="29"/>
  <c r="AB7" i="29"/>
  <c r="AD7" i="29" s="1"/>
  <c r="J7" i="29" s="1"/>
  <c r="Y7" i="29"/>
  <c r="X7" i="29"/>
  <c r="Q7" i="29"/>
  <c r="P7" i="29"/>
  <c r="O7" i="29"/>
  <c r="M7" i="29"/>
  <c r="H7" i="29"/>
  <c r="C7" i="29"/>
  <c r="AD6" i="29"/>
  <c r="J6" i="29" s="1"/>
  <c r="AB6" i="29"/>
  <c r="Y6" i="29"/>
  <c r="X6" i="29"/>
  <c r="Q6" i="29"/>
  <c r="P6" i="29"/>
  <c r="O6" i="29"/>
  <c r="M6" i="29"/>
  <c r="H6" i="29"/>
  <c r="C6" i="29"/>
  <c r="AB5" i="29"/>
  <c r="AD5" i="29" s="1"/>
  <c r="J5" i="29" s="1"/>
  <c r="Y5" i="29"/>
  <c r="X5" i="29"/>
  <c r="P5" i="29"/>
  <c r="O5" i="29"/>
  <c r="Q5" i="29" s="1"/>
  <c r="M5" i="29"/>
  <c r="H5" i="29"/>
  <c r="C5" i="29"/>
  <c r="AB4" i="29"/>
  <c r="AD4" i="29" s="1"/>
  <c r="Y4" i="29"/>
  <c r="X4" i="29"/>
  <c r="Q4" i="29"/>
  <c r="P4" i="29"/>
  <c r="O4" i="29"/>
  <c r="M4" i="29"/>
  <c r="H4" i="29"/>
  <c r="C4" i="29"/>
  <c r="AG3" i="29"/>
  <c r="AF3" i="29"/>
  <c r="W3" i="29"/>
  <c r="X3" i="29" s="1"/>
  <c r="V3" i="29"/>
  <c r="U3" i="29"/>
  <c r="T3" i="29"/>
  <c r="O3" i="29"/>
  <c r="G3" i="29"/>
  <c r="H3" i="29" s="1"/>
  <c r="F3" i="29"/>
  <c r="D3" i="29"/>
  <c r="C3" i="29"/>
  <c r="A2" i="29"/>
  <c r="A1" i="29"/>
  <c r="AB32" i="28"/>
  <c r="AD32" i="28" s="1"/>
  <c r="J32" i="28" s="1"/>
  <c r="Y32" i="28"/>
  <c r="X32" i="28"/>
  <c r="V32" i="28"/>
  <c r="U32" i="28"/>
  <c r="T32" i="28"/>
  <c r="P32" i="28"/>
  <c r="O32" i="28"/>
  <c r="Q32" i="28" s="1"/>
  <c r="M32" i="28"/>
  <c r="H32" i="28"/>
  <c r="C32" i="28"/>
  <c r="AB31" i="28"/>
  <c r="AD31" i="28" s="1"/>
  <c r="J31" i="28" s="1"/>
  <c r="Y31" i="28"/>
  <c r="X31" i="28"/>
  <c r="Q31" i="28"/>
  <c r="P31" i="28"/>
  <c r="O31" i="28"/>
  <c r="M31" i="28"/>
  <c r="H31" i="28"/>
  <c r="C31" i="28"/>
  <c r="AD30" i="28"/>
  <c r="AB30" i="28"/>
  <c r="Y30" i="28"/>
  <c r="X30" i="28"/>
  <c r="Q30" i="28"/>
  <c r="P30" i="28"/>
  <c r="O30" i="28"/>
  <c r="M30" i="28"/>
  <c r="J30" i="28"/>
  <c r="K30" i="28" s="1"/>
  <c r="H30" i="28"/>
  <c r="C30" i="28"/>
  <c r="AB29" i="28"/>
  <c r="AD29" i="28" s="1"/>
  <c r="J29" i="28" s="1"/>
  <c r="Y29" i="28"/>
  <c r="X29" i="28"/>
  <c r="P29" i="28"/>
  <c r="O29" i="28"/>
  <c r="Q29" i="28" s="1"/>
  <c r="M29" i="28"/>
  <c r="H29" i="28"/>
  <c r="C29" i="28"/>
  <c r="AB28" i="28"/>
  <c r="AD28" i="28" s="1"/>
  <c r="Y28" i="28"/>
  <c r="X28" i="28"/>
  <c r="Q28" i="28"/>
  <c r="P28" i="28"/>
  <c r="O28" i="28"/>
  <c r="M28" i="28"/>
  <c r="J28" i="28"/>
  <c r="K28" i="28" s="1"/>
  <c r="H28" i="28"/>
  <c r="C28" i="28"/>
  <c r="AD27" i="28"/>
  <c r="J27" i="28" s="1"/>
  <c r="AB27" i="28"/>
  <c r="Y27" i="28"/>
  <c r="X27" i="28"/>
  <c r="Q27" i="28"/>
  <c r="P27" i="28"/>
  <c r="O27" i="28"/>
  <c r="M27" i="28"/>
  <c r="H27" i="28"/>
  <c r="C27" i="28"/>
  <c r="AD26" i="28"/>
  <c r="J26" i="28" s="1"/>
  <c r="I26" i="28" s="1"/>
  <c r="AB26" i="28"/>
  <c r="Y26" i="28"/>
  <c r="X26" i="28"/>
  <c r="Q26" i="28"/>
  <c r="P26" i="28"/>
  <c r="O26" i="28"/>
  <c r="M26" i="28"/>
  <c r="H26" i="28"/>
  <c r="C26" i="28"/>
  <c r="AD25" i="28"/>
  <c r="J25" i="28" s="1"/>
  <c r="K25" i="28" s="1"/>
  <c r="AB25" i="28"/>
  <c r="Y25" i="28"/>
  <c r="X25" i="28"/>
  <c r="P25" i="28"/>
  <c r="O25" i="28"/>
  <c r="Q25" i="28" s="1"/>
  <c r="M25" i="28"/>
  <c r="I25" i="28"/>
  <c r="H25" i="28"/>
  <c r="C25" i="28"/>
  <c r="AD24" i="28"/>
  <c r="J24" i="28" s="1"/>
  <c r="AB24" i="28"/>
  <c r="Y24" i="28"/>
  <c r="X24" i="28"/>
  <c r="P24" i="28"/>
  <c r="O24" i="28"/>
  <c r="Q24" i="28" s="1"/>
  <c r="M24" i="28"/>
  <c r="H24" i="28"/>
  <c r="C24" i="28"/>
  <c r="AB23" i="28"/>
  <c r="AD23" i="28" s="1"/>
  <c r="J23" i="28" s="1"/>
  <c r="Y23" i="28"/>
  <c r="X23" i="28"/>
  <c r="Q23" i="28"/>
  <c r="P23" i="28"/>
  <c r="O23" i="28"/>
  <c r="M23" i="28"/>
  <c r="H23" i="28"/>
  <c r="C23" i="28"/>
  <c r="AD22" i="28"/>
  <c r="J22" i="28" s="1"/>
  <c r="AB22" i="28"/>
  <c r="Y22" i="28"/>
  <c r="X22" i="28"/>
  <c r="Q22" i="28"/>
  <c r="P22" i="28"/>
  <c r="O22" i="28"/>
  <c r="M22" i="28"/>
  <c r="H22" i="28"/>
  <c r="C22" i="28"/>
  <c r="AB21" i="28"/>
  <c r="AD21" i="28" s="1"/>
  <c r="J21" i="28" s="1"/>
  <c r="Y21" i="28"/>
  <c r="X21" i="28"/>
  <c r="P21" i="28"/>
  <c r="O21" i="28"/>
  <c r="Q21" i="28" s="1"/>
  <c r="M21" i="28"/>
  <c r="H21" i="28"/>
  <c r="C21" i="28"/>
  <c r="AB20" i="28"/>
  <c r="AD20" i="28" s="1"/>
  <c r="J20" i="28" s="1"/>
  <c r="Y20" i="28"/>
  <c r="X20" i="28"/>
  <c r="Q20" i="28"/>
  <c r="P20" i="28"/>
  <c r="O20" i="28"/>
  <c r="M20" i="28"/>
  <c r="H20" i="28"/>
  <c r="C20" i="28"/>
  <c r="AD19" i="28"/>
  <c r="J19" i="28" s="1"/>
  <c r="AB19" i="28"/>
  <c r="Y19" i="28"/>
  <c r="X19" i="28"/>
  <c r="P19" i="28"/>
  <c r="Q19" i="28" s="1"/>
  <c r="O19" i="28"/>
  <c r="M19" i="28"/>
  <c r="H19" i="28"/>
  <c r="C19" i="28"/>
  <c r="AD18" i="28"/>
  <c r="J18" i="28" s="1"/>
  <c r="I18" i="28" s="1"/>
  <c r="AB18" i="28"/>
  <c r="Y18" i="28"/>
  <c r="X18" i="28"/>
  <c r="Q18" i="28"/>
  <c r="P18" i="28"/>
  <c r="O18" i="28"/>
  <c r="M18" i="28"/>
  <c r="K18" i="28"/>
  <c r="H18" i="28"/>
  <c r="C18" i="28"/>
  <c r="AD17" i="28"/>
  <c r="J17" i="28" s="1"/>
  <c r="K17" i="28" s="1"/>
  <c r="AB17" i="28"/>
  <c r="Y17" i="28"/>
  <c r="X17" i="28"/>
  <c r="P17" i="28"/>
  <c r="O17" i="28"/>
  <c r="Q17" i="28" s="1"/>
  <c r="M17" i="28"/>
  <c r="H17" i="28"/>
  <c r="C17" i="28"/>
  <c r="AD16" i="28"/>
  <c r="J16" i="28" s="1"/>
  <c r="AB16" i="28"/>
  <c r="Y16" i="28"/>
  <c r="X16" i="28"/>
  <c r="P16" i="28"/>
  <c r="O16" i="28"/>
  <c r="M16" i="28"/>
  <c r="H16" i="28"/>
  <c r="C16" i="28"/>
  <c r="AB15" i="28"/>
  <c r="AD15" i="28" s="1"/>
  <c r="J15" i="28" s="1"/>
  <c r="Y15" i="28"/>
  <c r="X15" i="28"/>
  <c r="Q15" i="28"/>
  <c r="P15" i="28"/>
  <c r="O15" i="28"/>
  <c r="M15" i="28"/>
  <c r="H15" i="28"/>
  <c r="C15" i="28"/>
  <c r="AD14" i="28"/>
  <c r="J14" i="28" s="1"/>
  <c r="AB14" i="28"/>
  <c r="Y14" i="28"/>
  <c r="X14" i="28"/>
  <c r="Q14" i="28"/>
  <c r="P14" i="28"/>
  <c r="O14" i="28"/>
  <c r="M14" i="28"/>
  <c r="H14" i="28"/>
  <c r="C14" i="28"/>
  <c r="AB13" i="28"/>
  <c r="AD13" i="28" s="1"/>
  <c r="J13" i="28" s="1"/>
  <c r="Y13" i="28"/>
  <c r="X13" i="28"/>
  <c r="P13" i="28"/>
  <c r="O13" i="28"/>
  <c r="Q13" i="28" s="1"/>
  <c r="M13" i="28"/>
  <c r="H13" i="28"/>
  <c r="C13" i="28"/>
  <c r="AB12" i="28"/>
  <c r="AD12" i="28" s="1"/>
  <c r="J12" i="28" s="1"/>
  <c r="Y12" i="28"/>
  <c r="X12" i="28"/>
  <c r="Q12" i="28"/>
  <c r="P12" i="28"/>
  <c r="O12" i="28"/>
  <c r="M12" i="28"/>
  <c r="H12" i="28"/>
  <c r="C12" i="28"/>
  <c r="AD11" i="28"/>
  <c r="J11" i="28" s="1"/>
  <c r="AB11" i="28"/>
  <c r="Y11" i="28"/>
  <c r="X11" i="28"/>
  <c r="P11" i="28"/>
  <c r="Q11" i="28" s="1"/>
  <c r="O11" i="28"/>
  <c r="M11" i="28"/>
  <c r="H11" i="28"/>
  <c r="C11" i="28"/>
  <c r="AD10" i="28"/>
  <c r="J10" i="28" s="1"/>
  <c r="I10" i="28" s="1"/>
  <c r="AB10" i="28"/>
  <c r="Y10" i="28"/>
  <c r="X10" i="28"/>
  <c r="P10" i="28"/>
  <c r="O10" i="28"/>
  <c r="Q10" i="28" s="1"/>
  <c r="M10" i="28"/>
  <c r="H10" i="28"/>
  <c r="C10" i="28"/>
  <c r="AB9" i="28"/>
  <c r="AD9" i="28" s="1"/>
  <c r="J9" i="28" s="1"/>
  <c r="K9" i="28" s="1"/>
  <c r="Y9" i="28"/>
  <c r="X9" i="28"/>
  <c r="P9" i="28"/>
  <c r="O9" i="28"/>
  <c r="Q9" i="28" s="1"/>
  <c r="M9" i="28"/>
  <c r="I9" i="28"/>
  <c r="H9" i="28"/>
  <c r="C9" i="28"/>
  <c r="AD8" i="28"/>
  <c r="J8" i="28" s="1"/>
  <c r="AB8" i="28"/>
  <c r="Y8" i="28"/>
  <c r="X8" i="28"/>
  <c r="P8" i="28"/>
  <c r="O8" i="28"/>
  <c r="Q8" i="28" s="1"/>
  <c r="M8" i="28"/>
  <c r="H8" i="28"/>
  <c r="C8" i="28"/>
  <c r="AB7" i="28"/>
  <c r="AD7" i="28" s="1"/>
  <c r="J7" i="28" s="1"/>
  <c r="Y7" i="28"/>
  <c r="X7" i="28"/>
  <c r="Q7" i="28"/>
  <c r="P7" i="28"/>
  <c r="O7" i="28"/>
  <c r="M7" i="28"/>
  <c r="H7" i="28"/>
  <c r="C7" i="28"/>
  <c r="AD6" i="28"/>
  <c r="J6" i="28" s="1"/>
  <c r="AB6" i="28"/>
  <c r="Y6" i="28"/>
  <c r="X6" i="28"/>
  <c r="Q6" i="28"/>
  <c r="P6" i="28"/>
  <c r="O6" i="28"/>
  <c r="M6" i="28"/>
  <c r="H6" i="28"/>
  <c r="C6" i="28"/>
  <c r="AB5" i="28"/>
  <c r="AD5" i="28" s="1"/>
  <c r="J5" i="28" s="1"/>
  <c r="Y5" i="28"/>
  <c r="X5" i="28"/>
  <c r="P5" i="28"/>
  <c r="O5" i="28"/>
  <c r="Q5" i="28" s="1"/>
  <c r="M5" i="28"/>
  <c r="H5" i="28"/>
  <c r="C5" i="28"/>
  <c r="AB4" i="28"/>
  <c r="AD4" i="28" s="1"/>
  <c r="Y4" i="28"/>
  <c r="X4" i="28"/>
  <c r="P4" i="28"/>
  <c r="Q4" i="28" s="1"/>
  <c r="O4" i="28"/>
  <c r="M4" i="28"/>
  <c r="J4" i="28"/>
  <c r="I4" i="28" s="1"/>
  <c r="H4" i="28"/>
  <c r="C4" i="28"/>
  <c r="AG3" i="28"/>
  <c r="AF3" i="28"/>
  <c r="W3" i="28"/>
  <c r="X3" i="28" s="1"/>
  <c r="V3" i="28"/>
  <c r="U3" i="28"/>
  <c r="T3" i="28"/>
  <c r="O3" i="28"/>
  <c r="H3" i="28"/>
  <c r="G3" i="28"/>
  <c r="F3" i="28"/>
  <c r="D3" i="28"/>
  <c r="C3" i="28"/>
  <c r="A2" i="28"/>
  <c r="A1" i="28"/>
  <c r="AB32" i="27"/>
  <c r="AD32" i="27" s="1"/>
  <c r="J32" i="27" s="1"/>
  <c r="Y32" i="27"/>
  <c r="X32" i="27"/>
  <c r="V32" i="27"/>
  <c r="U32" i="27"/>
  <c r="T32" i="27"/>
  <c r="P32" i="27"/>
  <c r="O32" i="27"/>
  <c r="Q32" i="27" s="1"/>
  <c r="M32" i="27"/>
  <c r="H32" i="27"/>
  <c r="C32" i="27"/>
  <c r="AD31" i="27"/>
  <c r="J31" i="27" s="1"/>
  <c r="I31" i="27" s="1"/>
  <c r="AB31" i="27"/>
  <c r="Y31" i="27"/>
  <c r="X31" i="27"/>
  <c r="Q31" i="27"/>
  <c r="P31" i="27"/>
  <c r="O31" i="27"/>
  <c r="M31" i="27"/>
  <c r="K31" i="27"/>
  <c r="H31" i="27"/>
  <c r="C31" i="27"/>
  <c r="AD30" i="27"/>
  <c r="J30" i="27" s="1"/>
  <c r="AB30" i="27"/>
  <c r="Y30" i="27"/>
  <c r="X30" i="27"/>
  <c r="Q30" i="27"/>
  <c r="P30" i="27"/>
  <c r="O30" i="27"/>
  <c r="M30" i="27"/>
  <c r="H30" i="27"/>
  <c r="C30" i="27"/>
  <c r="AB29" i="27"/>
  <c r="AD29" i="27" s="1"/>
  <c r="J29" i="27" s="1"/>
  <c r="Y29" i="27"/>
  <c r="X29" i="27"/>
  <c r="P29" i="27"/>
  <c r="O29" i="27"/>
  <c r="Q29" i="27" s="1"/>
  <c r="M29" i="27"/>
  <c r="H29" i="27"/>
  <c r="C29" i="27"/>
  <c r="AB28" i="27"/>
  <c r="AD28" i="27" s="1"/>
  <c r="Y28" i="27"/>
  <c r="X28" i="27"/>
  <c r="P28" i="27"/>
  <c r="Q28" i="27" s="1"/>
  <c r="O28" i="27"/>
  <c r="M28" i="27"/>
  <c r="J28" i="27"/>
  <c r="K28" i="27" s="1"/>
  <c r="H28" i="27"/>
  <c r="C28" i="27"/>
  <c r="AD27" i="27"/>
  <c r="J27" i="27" s="1"/>
  <c r="AB27" i="27"/>
  <c r="Y27" i="27"/>
  <c r="X27" i="27"/>
  <c r="Q27" i="27"/>
  <c r="P27" i="27"/>
  <c r="O27" i="27"/>
  <c r="M27" i="27"/>
  <c r="H27" i="27"/>
  <c r="C27" i="27"/>
  <c r="AD26" i="27"/>
  <c r="J26" i="27" s="1"/>
  <c r="I26" i="27" s="1"/>
  <c r="AB26" i="27"/>
  <c r="Y26" i="27"/>
  <c r="X26" i="27"/>
  <c r="P26" i="27"/>
  <c r="O26" i="27"/>
  <c r="Q26" i="27" s="1"/>
  <c r="M26" i="27"/>
  <c r="H26" i="27"/>
  <c r="C26" i="27"/>
  <c r="AB25" i="27"/>
  <c r="AD25" i="27" s="1"/>
  <c r="J25" i="27" s="1"/>
  <c r="K25" i="27" s="1"/>
  <c r="Y25" i="27"/>
  <c r="X25" i="27"/>
  <c r="P25" i="27"/>
  <c r="O25" i="27"/>
  <c r="Q25" i="27" s="1"/>
  <c r="M25" i="27"/>
  <c r="I25" i="27"/>
  <c r="H25" i="27"/>
  <c r="C25" i="27"/>
  <c r="AB24" i="27"/>
  <c r="AD24" i="27" s="1"/>
  <c r="J24" i="27" s="1"/>
  <c r="Y24" i="27"/>
  <c r="X24" i="27"/>
  <c r="P24" i="27"/>
  <c r="O24" i="27"/>
  <c r="M24" i="27"/>
  <c r="H24" i="27"/>
  <c r="C24" i="27"/>
  <c r="AD23" i="27"/>
  <c r="J23" i="27" s="1"/>
  <c r="AB23" i="27"/>
  <c r="Y23" i="27"/>
  <c r="X23" i="27"/>
  <c r="Q23" i="27"/>
  <c r="P23" i="27"/>
  <c r="O23" i="27"/>
  <c r="M23" i="27"/>
  <c r="H23" i="27"/>
  <c r="C23" i="27"/>
  <c r="AD22" i="27"/>
  <c r="J22" i="27" s="1"/>
  <c r="AB22" i="27"/>
  <c r="Y22" i="27"/>
  <c r="X22" i="27"/>
  <c r="Q22" i="27"/>
  <c r="P22" i="27"/>
  <c r="O22" i="27"/>
  <c r="M22" i="27"/>
  <c r="H22" i="27"/>
  <c r="C22" i="27"/>
  <c r="AB21" i="27"/>
  <c r="AD21" i="27" s="1"/>
  <c r="J21" i="27" s="1"/>
  <c r="Y21" i="27"/>
  <c r="X21" i="27"/>
  <c r="P21" i="27"/>
  <c r="O21" i="27"/>
  <c r="Q21" i="27" s="1"/>
  <c r="M21" i="27"/>
  <c r="H21" i="27"/>
  <c r="C21" i="27"/>
  <c r="AB20" i="27"/>
  <c r="AD20" i="27" s="1"/>
  <c r="Y20" i="27"/>
  <c r="X20" i="27"/>
  <c r="P20" i="27"/>
  <c r="Q20" i="27" s="1"/>
  <c r="O20" i="27"/>
  <c r="M20" i="27"/>
  <c r="J20" i="27"/>
  <c r="K20" i="27" s="1"/>
  <c r="I20" i="27"/>
  <c r="H20" i="27"/>
  <c r="C20" i="27"/>
  <c r="AD19" i="27"/>
  <c r="J19" i="27" s="1"/>
  <c r="AB19" i="27"/>
  <c r="Y19" i="27"/>
  <c r="X19" i="27"/>
  <c r="P19" i="27"/>
  <c r="Q19" i="27" s="1"/>
  <c r="O19" i="27"/>
  <c r="M19" i="27"/>
  <c r="H19" i="27"/>
  <c r="C19" i="27"/>
  <c r="AD18" i="27"/>
  <c r="J18" i="27" s="1"/>
  <c r="I18" i="27" s="1"/>
  <c r="AB18" i="27"/>
  <c r="Y18" i="27"/>
  <c r="X18" i="27"/>
  <c r="P18" i="27"/>
  <c r="O18" i="27"/>
  <c r="Q18" i="27" s="1"/>
  <c r="M18" i="27"/>
  <c r="H18" i="27"/>
  <c r="C18" i="27"/>
  <c r="AB17" i="27"/>
  <c r="AD17" i="27" s="1"/>
  <c r="J17" i="27" s="1"/>
  <c r="K17" i="27" s="1"/>
  <c r="Y17" i="27"/>
  <c r="X17" i="27"/>
  <c r="P17" i="27"/>
  <c r="O17" i="27"/>
  <c r="Q17" i="27" s="1"/>
  <c r="M17" i="27"/>
  <c r="I17" i="27"/>
  <c r="H17" i="27"/>
  <c r="C17" i="27"/>
  <c r="AB16" i="27"/>
  <c r="AD16" i="27" s="1"/>
  <c r="J16" i="27" s="1"/>
  <c r="Y16" i="27"/>
  <c r="X16" i="27"/>
  <c r="P16" i="27"/>
  <c r="O16" i="27"/>
  <c r="M16" i="27"/>
  <c r="H16" i="27"/>
  <c r="C16" i="27"/>
  <c r="AD15" i="27"/>
  <c r="J15" i="27" s="1"/>
  <c r="AB15" i="27"/>
  <c r="Y15" i="27"/>
  <c r="X15" i="27"/>
  <c r="Q15" i="27"/>
  <c r="P15" i="27"/>
  <c r="O15" i="27"/>
  <c r="M15" i="27"/>
  <c r="H15" i="27"/>
  <c r="C15" i="27"/>
  <c r="AD14" i="27"/>
  <c r="J14" i="27" s="1"/>
  <c r="AB14" i="27"/>
  <c r="Y14" i="27"/>
  <c r="X14" i="27"/>
  <c r="Q14" i="27"/>
  <c r="P14" i="27"/>
  <c r="O14" i="27"/>
  <c r="M14" i="27"/>
  <c r="H14" i="27"/>
  <c r="C14" i="27"/>
  <c r="AB13" i="27"/>
  <c r="AD13" i="27" s="1"/>
  <c r="J13" i="27" s="1"/>
  <c r="Y13" i="27"/>
  <c r="X13" i="27"/>
  <c r="P13" i="27"/>
  <c r="O13" i="27"/>
  <c r="Q13" i="27" s="1"/>
  <c r="M13" i="27"/>
  <c r="H13" i="27"/>
  <c r="C13" i="27"/>
  <c r="AB12" i="27"/>
  <c r="AD12" i="27" s="1"/>
  <c r="J12" i="27" s="1"/>
  <c r="Y12" i="27"/>
  <c r="X12" i="27"/>
  <c r="P12" i="27"/>
  <c r="Q12" i="27" s="1"/>
  <c r="O12" i="27"/>
  <c r="M12" i="27"/>
  <c r="H12" i="27"/>
  <c r="C12" i="27"/>
  <c r="AD11" i="27"/>
  <c r="J11" i="27" s="1"/>
  <c r="AB11" i="27"/>
  <c r="Y11" i="27"/>
  <c r="X11" i="27"/>
  <c r="P11" i="27"/>
  <c r="Q11" i="27" s="1"/>
  <c r="O11" i="27"/>
  <c r="M11" i="27"/>
  <c r="H11" i="27"/>
  <c r="C11" i="27"/>
  <c r="AD10" i="27"/>
  <c r="J10" i="27" s="1"/>
  <c r="I10" i="27" s="1"/>
  <c r="AB10" i="27"/>
  <c r="Y10" i="27"/>
  <c r="X10" i="27"/>
  <c r="P10" i="27"/>
  <c r="O10" i="27"/>
  <c r="Q10" i="27" s="1"/>
  <c r="M10" i="27"/>
  <c r="H10" i="27"/>
  <c r="C10" i="27"/>
  <c r="AB9" i="27"/>
  <c r="AD9" i="27" s="1"/>
  <c r="J9" i="27" s="1"/>
  <c r="K9" i="27" s="1"/>
  <c r="Y9" i="27"/>
  <c r="X9" i="27"/>
  <c r="P9" i="27"/>
  <c r="O9" i="27"/>
  <c r="Q9" i="27" s="1"/>
  <c r="M9" i="27"/>
  <c r="I9" i="27"/>
  <c r="H9" i="27"/>
  <c r="C9" i="27"/>
  <c r="AB8" i="27"/>
  <c r="AD8" i="27" s="1"/>
  <c r="J8" i="27" s="1"/>
  <c r="Y8" i="27"/>
  <c r="X8" i="27"/>
  <c r="P8" i="27"/>
  <c r="O8" i="27"/>
  <c r="M8" i="27"/>
  <c r="H8" i="27"/>
  <c r="C8" i="27"/>
  <c r="AB7" i="27"/>
  <c r="AD7" i="27" s="1"/>
  <c r="Y7" i="27"/>
  <c r="X7" i="27"/>
  <c r="Q7" i="27"/>
  <c r="P7" i="27"/>
  <c r="O7" i="27"/>
  <c r="M7" i="27"/>
  <c r="J7" i="27"/>
  <c r="H7" i="27"/>
  <c r="C7" i="27"/>
  <c r="AD6" i="27"/>
  <c r="J6" i="27" s="1"/>
  <c r="AB6" i="27"/>
  <c r="Y6" i="27"/>
  <c r="X6" i="27"/>
  <c r="Q6" i="27"/>
  <c r="P6" i="27"/>
  <c r="O6" i="27"/>
  <c r="M6" i="27"/>
  <c r="H6" i="27"/>
  <c r="C6" i="27"/>
  <c r="AB5" i="27"/>
  <c r="AD5" i="27" s="1"/>
  <c r="J5" i="27" s="1"/>
  <c r="Y5" i="27"/>
  <c r="X5" i="27"/>
  <c r="P5" i="27"/>
  <c r="O5" i="27"/>
  <c r="Q5" i="27" s="1"/>
  <c r="M5" i="27"/>
  <c r="H5" i="27"/>
  <c r="C5" i="27"/>
  <c r="AB4" i="27"/>
  <c r="AD4" i="27" s="1"/>
  <c r="Y4" i="27"/>
  <c r="X4" i="27"/>
  <c r="P4" i="27"/>
  <c r="Q4" i="27" s="1"/>
  <c r="O4" i="27"/>
  <c r="M4" i="27"/>
  <c r="H4" i="27"/>
  <c r="C4" i="27"/>
  <c r="AG3" i="27"/>
  <c r="AF3" i="27"/>
  <c r="W3" i="27"/>
  <c r="X3" i="27" s="1"/>
  <c r="V3" i="27"/>
  <c r="U3" i="27"/>
  <c r="T3" i="27"/>
  <c r="O3" i="27"/>
  <c r="G3" i="27"/>
  <c r="H3" i="27" s="1"/>
  <c r="F3" i="27"/>
  <c r="D3" i="27"/>
  <c r="C3" i="27"/>
  <c r="A2" i="27"/>
  <c r="A1" i="27"/>
  <c r="AB32" i="26"/>
  <c r="AD32" i="26" s="1"/>
  <c r="J32" i="26" s="1"/>
  <c r="Y32" i="26"/>
  <c r="X32" i="26"/>
  <c r="V32" i="26"/>
  <c r="U32" i="26"/>
  <c r="T32" i="26"/>
  <c r="P32" i="26"/>
  <c r="O32" i="26"/>
  <c r="Q32" i="26" s="1"/>
  <c r="M32" i="26"/>
  <c r="H32" i="26"/>
  <c r="C32" i="26"/>
  <c r="AB31" i="26"/>
  <c r="AD31" i="26" s="1"/>
  <c r="J31" i="26" s="1"/>
  <c r="Y31" i="26"/>
  <c r="X31" i="26"/>
  <c r="Q31" i="26"/>
  <c r="P31" i="26"/>
  <c r="O31" i="26"/>
  <c r="M31" i="26"/>
  <c r="H31" i="26"/>
  <c r="C31" i="26"/>
  <c r="AD30" i="26"/>
  <c r="J30" i="26" s="1"/>
  <c r="AB30" i="26"/>
  <c r="Y30" i="26"/>
  <c r="X30" i="26"/>
  <c r="Q30" i="26"/>
  <c r="P30" i="26"/>
  <c r="O30" i="26"/>
  <c r="M30" i="26"/>
  <c r="H30" i="26"/>
  <c r="C30" i="26"/>
  <c r="AB29" i="26"/>
  <c r="AD29" i="26" s="1"/>
  <c r="J29" i="26" s="1"/>
  <c r="Y29" i="26"/>
  <c r="X29" i="26"/>
  <c r="P29" i="26"/>
  <c r="O29" i="26"/>
  <c r="Q29" i="26" s="1"/>
  <c r="M29" i="26"/>
  <c r="H29" i="26"/>
  <c r="C29" i="26"/>
  <c r="AB28" i="26"/>
  <c r="AD28" i="26" s="1"/>
  <c r="J28" i="26" s="1"/>
  <c r="Y28" i="26"/>
  <c r="X28" i="26"/>
  <c r="P28" i="26"/>
  <c r="Q28" i="26" s="1"/>
  <c r="O28" i="26"/>
  <c r="M28" i="26"/>
  <c r="H28" i="26"/>
  <c r="C28" i="26"/>
  <c r="AD27" i="26"/>
  <c r="J27" i="26" s="1"/>
  <c r="AB27" i="26"/>
  <c r="Y27" i="26"/>
  <c r="X27" i="26"/>
  <c r="Q27" i="26"/>
  <c r="P27" i="26"/>
  <c r="O27" i="26"/>
  <c r="M27" i="26"/>
  <c r="H27" i="26"/>
  <c r="C27" i="26"/>
  <c r="AD26" i="26"/>
  <c r="J26" i="26" s="1"/>
  <c r="I26" i="26" s="1"/>
  <c r="AB26" i="26"/>
  <c r="Y26" i="26"/>
  <c r="X26" i="26"/>
  <c r="P26" i="26"/>
  <c r="O26" i="26"/>
  <c r="Q26" i="26" s="1"/>
  <c r="M26" i="26"/>
  <c r="K26" i="26"/>
  <c r="H26" i="26"/>
  <c r="C26" i="26"/>
  <c r="AB25" i="26"/>
  <c r="AD25" i="26" s="1"/>
  <c r="J25" i="26" s="1"/>
  <c r="K25" i="26" s="1"/>
  <c r="Y25" i="26"/>
  <c r="X25" i="26"/>
  <c r="P25" i="26"/>
  <c r="O25" i="26"/>
  <c r="Q25" i="26" s="1"/>
  <c r="M25" i="26"/>
  <c r="H25" i="26"/>
  <c r="C25" i="26"/>
  <c r="AB24" i="26"/>
  <c r="AD24" i="26" s="1"/>
  <c r="J24" i="26" s="1"/>
  <c r="Y24" i="26"/>
  <c r="X24" i="26"/>
  <c r="P24" i="26"/>
  <c r="O24" i="26"/>
  <c r="Q24" i="26" s="1"/>
  <c r="M24" i="26"/>
  <c r="H24" i="26"/>
  <c r="C24" i="26"/>
  <c r="AB23" i="26"/>
  <c r="AD23" i="26" s="1"/>
  <c r="J23" i="26" s="1"/>
  <c r="Y23" i="26"/>
  <c r="X23" i="26"/>
  <c r="Q23" i="26"/>
  <c r="P23" i="26"/>
  <c r="O23" i="26"/>
  <c r="M23" i="26"/>
  <c r="H23" i="26"/>
  <c r="C23" i="26"/>
  <c r="AD22" i="26"/>
  <c r="J22" i="26" s="1"/>
  <c r="AB22" i="26"/>
  <c r="Y22" i="26"/>
  <c r="X22" i="26"/>
  <c r="Q22" i="26"/>
  <c r="P22" i="26"/>
  <c r="O22" i="26"/>
  <c r="M22" i="26"/>
  <c r="H22" i="26"/>
  <c r="C22" i="26"/>
  <c r="AB21" i="26"/>
  <c r="AD21" i="26" s="1"/>
  <c r="J21" i="26" s="1"/>
  <c r="Y21" i="26"/>
  <c r="X21" i="26"/>
  <c r="P21" i="26"/>
  <c r="O21" i="26"/>
  <c r="Q21" i="26" s="1"/>
  <c r="M21" i="26"/>
  <c r="H21" i="26"/>
  <c r="C21" i="26"/>
  <c r="AB20" i="26"/>
  <c r="AD20" i="26" s="1"/>
  <c r="Y20" i="26"/>
  <c r="X20" i="26"/>
  <c r="P20" i="26"/>
  <c r="Q20" i="26" s="1"/>
  <c r="O20" i="26"/>
  <c r="M20" i="26"/>
  <c r="J20" i="26"/>
  <c r="K20" i="26" s="1"/>
  <c r="H20" i="26"/>
  <c r="C20" i="26"/>
  <c r="AD19" i="26"/>
  <c r="J19" i="26" s="1"/>
  <c r="AB19" i="26"/>
  <c r="Y19" i="26"/>
  <c r="X19" i="26"/>
  <c r="Q19" i="26"/>
  <c r="P19" i="26"/>
  <c r="O19" i="26"/>
  <c r="M19" i="26"/>
  <c r="H19" i="26"/>
  <c r="C19" i="26"/>
  <c r="AD18" i="26"/>
  <c r="J18" i="26" s="1"/>
  <c r="AB18" i="26"/>
  <c r="Y18" i="26"/>
  <c r="X18" i="26"/>
  <c r="P18" i="26"/>
  <c r="O18" i="26"/>
  <c r="Q18" i="26" s="1"/>
  <c r="M18" i="26"/>
  <c r="H18" i="26"/>
  <c r="C18" i="26"/>
  <c r="AB17" i="26"/>
  <c r="AD17" i="26" s="1"/>
  <c r="J17" i="26" s="1"/>
  <c r="K17" i="26" s="1"/>
  <c r="Y17" i="26"/>
  <c r="X17" i="26"/>
  <c r="P17" i="26"/>
  <c r="O17" i="26"/>
  <c r="Q17" i="26" s="1"/>
  <c r="M17" i="26"/>
  <c r="I17" i="26"/>
  <c r="H17" i="26"/>
  <c r="C17" i="26"/>
  <c r="AB16" i="26"/>
  <c r="AD16" i="26" s="1"/>
  <c r="J16" i="26" s="1"/>
  <c r="Y16" i="26"/>
  <c r="X16" i="26"/>
  <c r="P16" i="26"/>
  <c r="O16" i="26"/>
  <c r="Q16" i="26" s="1"/>
  <c r="M16" i="26"/>
  <c r="H16" i="26"/>
  <c r="C16" i="26"/>
  <c r="AB15" i="26"/>
  <c r="AD15" i="26" s="1"/>
  <c r="J15" i="26" s="1"/>
  <c r="Y15" i="26"/>
  <c r="X15" i="26"/>
  <c r="Q15" i="26"/>
  <c r="P15" i="26"/>
  <c r="O15" i="26"/>
  <c r="M15" i="26"/>
  <c r="H15" i="26"/>
  <c r="C15" i="26"/>
  <c r="AD14" i="26"/>
  <c r="J14" i="26" s="1"/>
  <c r="AB14" i="26"/>
  <c r="Y14" i="26"/>
  <c r="X14" i="26"/>
  <c r="Q14" i="26"/>
  <c r="P14" i="26"/>
  <c r="O14" i="26"/>
  <c r="M14" i="26"/>
  <c r="H14" i="26"/>
  <c r="C14" i="26"/>
  <c r="AB13" i="26"/>
  <c r="AD13" i="26" s="1"/>
  <c r="J13" i="26" s="1"/>
  <c r="Y13" i="26"/>
  <c r="X13" i="26"/>
  <c r="P13" i="26"/>
  <c r="O13" i="26"/>
  <c r="Q13" i="26" s="1"/>
  <c r="M13" i="26"/>
  <c r="H13" i="26"/>
  <c r="C13" i="26"/>
  <c r="AB12" i="26"/>
  <c r="AD12" i="26" s="1"/>
  <c r="Y12" i="26"/>
  <c r="X12" i="26"/>
  <c r="P12" i="26"/>
  <c r="Q12" i="26" s="1"/>
  <c r="O12" i="26"/>
  <c r="M12" i="26"/>
  <c r="J12" i="26"/>
  <c r="K12" i="26" s="1"/>
  <c r="I12" i="26"/>
  <c r="H12" i="26"/>
  <c r="C12" i="26"/>
  <c r="AD11" i="26"/>
  <c r="J11" i="26" s="1"/>
  <c r="AB11" i="26"/>
  <c r="Y11" i="26"/>
  <c r="X11" i="26"/>
  <c r="P11" i="26"/>
  <c r="Q11" i="26" s="1"/>
  <c r="O11" i="26"/>
  <c r="M11" i="26"/>
  <c r="H11" i="26"/>
  <c r="C11" i="26"/>
  <c r="AD10" i="26"/>
  <c r="J10" i="26" s="1"/>
  <c r="I10" i="26" s="1"/>
  <c r="AB10" i="26"/>
  <c r="Y10" i="26"/>
  <c r="X10" i="26"/>
  <c r="P10" i="26"/>
  <c r="O10" i="26"/>
  <c r="Q10" i="26" s="1"/>
  <c r="M10" i="26"/>
  <c r="H10" i="26"/>
  <c r="C10" i="26"/>
  <c r="AB9" i="26"/>
  <c r="AD9" i="26" s="1"/>
  <c r="J9" i="26" s="1"/>
  <c r="K9" i="26" s="1"/>
  <c r="Y9" i="26"/>
  <c r="X9" i="26"/>
  <c r="P9" i="26"/>
  <c r="O9" i="26"/>
  <c r="Q9" i="26" s="1"/>
  <c r="M9" i="26"/>
  <c r="H9" i="26"/>
  <c r="C9" i="26"/>
  <c r="AB8" i="26"/>
  <c r="AD8" i="26" s="1"/>
  <c r="J8" i="26" s="1"/>
  <c r="Y8" i="26"/>
  <c r="X8" i="26"/>
  <c r="P8" i="26"/>
  <c r="O8" i="26"/>
  <c r="Q8" i="26" s="1"/>
  <c r="M8" i="26"/>
  <c r="H8" i="26"/>
  <c r="C8" i="26"/>
  <c r="AD7" i="26"/>
  <c r="J7" i="26" s="1"/>
  <c r="I7" i="26" s="1"/>
  <c r="AB7" i="26"/>
  <c r="Y7" i="26"/>
  <c r="X7" i="26"/>
  <c r="Q7" i="26"/>
  <c r="P7" i="26"/>
  <c r="O7" i="26"/>
  <c r="M7" i="26"/>
  <c r="K7" i="26"/>
  <c r="H7" i="26"/>
  <c r="C7" i="26"/>
  <c r="AD6" i="26"/>
  <c r="J6" i="26" s="1"/>
  <c r="AB6" i="26"/>
  <c r="Y6" i="26"/>
  <c r="X6" i="26"/>
  <c r="Q6" i="26"/>
  <c r="P6" i="26"/>
  <c r="O6" i="26"/>
  <c r="M6" i="26"/>
  <c r="H6" i="26"/>
  <c r="C6" i="26"/>
  <c r="AB5" i="26"/>
  <c r="AD5" i="26" s="1"/>
  <c r="J5" i="26" s="1"/>
  <c r="Y5" i="26"/>
  <c r="X5" i="26"/>
  <c r="P5" i="26"/>
  <c r="O5" i="26"/>
  <c r="Q5" i="26" s="1"/>
  <c r="M5" i="26"/>
  <c r="H5" i="26"/>
  <c r="C5" i="26"/>
  <c r="AB4" i="26"/>
  <c r="AD4" i="26" s="1"/>
  <c r="Y4" i="26"/>
  <c r="X4" i="26"/>
  <c r="P4" i="26"/>
  <c r="Q4" i="26" s="1"/>
  <c r="O4" i="26"/>
  <c r="M4" i="26"/>
  <c r="J4" i="26"/>
  <c r="I4" i="26" s="1"/>
  <c r="H4" i="26"/>
  <c r="C4" i="26"/>
  <c r="AG3" i="26"/>
  <c r="AF3" i="26"/>
  <c r="W3" i="26"/>
  <c r="X3" i="26" s="1"/>
  <c r="V3" i="26"/>
  <c r="U3" i="26"/>
  <c r="T3" i="26"/>
  <c r="O3" i="26"/>
  <c r="G3" i="26"/>
  <c r="H3" i="26" s="1"/>
  <c r="F3" i="26"/>
  <c r="D3" i="26"/>
  <c r="C3" i="26"/>
  <c r="A2" i="26"/>
  <c r="A1" i="26"/>
  <c r="AB32" i="25"/>
  <c r="AD32" i="25" s="1"/>
  <c r="J32" i="25" s="1"/>
  <c r="Y32" i="25"/>
  <c r="X32" i="25"/>
  <c r="V32" i="25"/>
  <c r="U32" i="25"/>
  <c r="T32" i="25"/>
  <c r="P32" i="25"/>
  <c r="O32" i="25"/>
  <c r="M32" i="25"/>
  <c r="H32" i="25"/>
  <c r="C32" i="25"/>
  <c r="AD31" i="25"/>
  <c r="J31" i="25" s="1"/>
  <c r="AB31" i="25"/>
  <c r="Y31" i="25"/>
  <c r="X31" i="25"/>
  <c r="Q31" i="25"/>
  <c r="P31" i="25"/>
  <c r="O31" i="25"/>
  <c r="M31" i="25"/>
  <c r="H31" i="25"/>
  <c r="C31" i="25"/>
  <c r="AB30" i="25"/>
  <c r="AD30" i="25" s="1"/>
  <c r="J30" i="25" s="1"/>
  <c r="Y30" i="25"/>
  <c r="X30" i="25"/>
  <c r="Q30" i="25"/>
  <c r="P30" i="25"/>
  <c r="O30" i="25"/>
  <c r="M30" i="25"/>
  <c r="H30" i="25"/>
  <c r="C30" i="25"/>
  <c r="AB29" i="25"/>
  <c r="AD29" i="25" s="1"/>
  <c r="J29" i="25" s="1"/>
  <c r="Y29" i="25"/>
  <c r="X29" i="25"/>
  <c r="P29" i="25"/>
  <c r="O29" i="25"/>
  <c r="Q29" i="25" s="1"/>
  <c r="M29" i="25"/>
  <c r="H29" i="25"/>
  <c r="C29" i="25"/>
  <c r="AB28" i="25"/>
  <c r="AD28" i="25" s="1"/>
  <c r="J28" i="25" s="1"/>
  <c r="Y28" i="25"/>
  <c r="X28" i="25"/>
  <c r="P28" i="25"/>
  <c r="Q28" i="25" s="1"/>
  <c r="O28" i="25"/>
  <c r="M28" i="25"/>
  <c r="H28" i="25"/>
  <c r="C28" i="25"/>
  <c r="AD27" i="25"/>
  <c r="J27" i="25" s="1"/>
  <c r="AB27" i="25"/>
  <c r="Y27" i="25"/>
  <c r="X27" i="25"/>
  <c r="Q27" i="25"/>
  <c r="P27" i="25"/>
  <c r="O27" i="25"/>
  <c r="M27" i="25"/>
  <c r="H27" i="25"/>
  <c r="C27" i="25"/>
  <c r="AD26" i="25"/>
  <c r="J26" i="25" s="1"/>
  <c r="I26" i="25" s="1"/>
  <c r="AB26" i="25"/>
  <c r="Y26" i="25"/>
  <c r="X26" i="25"/>
  <c r="P26" i="25"/>
  <c r="O26" i="25"/>
  <c r="Q26" i="25" s="1"/>
  <c r="M26" i="25"/>
  <c r="K26" i="25"/>
  <c r="H26" i="25"/>
  <c r="C26" i="25"/>
  <c r="AB25" i="25"/>
  <c r="AD25" i="25" s="1"/>
  <c r="J25" i="25" s="1"/>
  <c r="K25" i="25" s="1"/>
  <c r="Y25" i="25"/>
  <c r="X25" i="25"/>
  <c r="P25" i="25"/>
  <c r="O25" i="25"/>
  <c r="Q25" i="25" s="1"/>
  <c r="M25" i="25"/>
  <c r="H25" i="25"/>
  <c r="C25" i="25"/>
  <c r="AB24" i="25"/>
  <c r="AD24" i="25" s="1"/>
  <c r="J24" i="25" s="1"/>
  <c r="Y24" i="25"/>
  <c r="X24" i="25"/>
  <c r="P24" i="25"/>
  <c r="O24" i="25"/>
  <c r="Q24" i="25" s="1"/>
  <c r="M24" i="25"/>
  <c r="H24" i="25"/>
  <c r="C24" i="25"/>
  <c r="AB23" i="25"/>
  <c r="AD23" i="25" s="1"/>
  <c r="J23" i="25" s="1"/>
  <c r="Y23" i="25"/>
  <c r="X23" i="25"/>
  <c r="Q23" i="25"/>
  <c r="P23" i="25"/>
  <c r="O23" i="25"/>
  <c r="M23" i="25"/>
  <c r="H23" i="25"/>
  <c r="C23" i="25"/>
  <c r="AB22" i="25"/>
  <c r="AD22" i="25" s="1"/>
  <c r="J22" i="25" s="1"/>
  <c r="Y22" i="25"/>
  <c r="X22" i="25"/>
  <c r="Q22" i="25"/>
  <c r="P22" i="25"/>
  <c r="O22" i="25"/>
  <c r="M22" i="25"/>
  <c r="H22" i="25"/>
  <c r="C22" i="25"/>
  <c r="AB21" i="25"/>
  <c r="AD21" i="25" s="1"/>
  <c r="J21" i="25" s="1"/>
  <c r="Y21" i="25"/>
  <c r="X21" i="25"/>
  <c r="P21" i="25"/>
  <c r="O21" i="25"/>
  <c r="Q21" i="25" s="1"/>
  <c r="M21" i="25"/>
  <c r="H21" i="25"/>
  <c r="C21" i="25"/>
  <c r="AB20" i="25"/>
  <c r="AD20" i="25" s="1"/>
  <c r="J20" i="25" s="1"/>
  <c r="Y20" i="25"/>
  <c r="X20" i="25"/>
  <c r="P20" i="25"/>
  <c r="Q20" i="25" s="1"/>
  <c r="O20" i="25"/>
  <c r="M20" i="25"/>
  <c r="H20" i="25"/>
  <c r="C20" i="25"/>
  <c r="AD19" i="25"/>
  <c r="J19" i="25" s="1"/>
  <c r="AB19" i="25"/>
  <c r="Y19" i="25"/>
  <c r="X19" i="25"/>
  <c r="P19" i="25"/>
  <c r="Q19" i="25" s="1"/>
  <c r="O19" i="25"/>
  <c r="M19" i="25"/>
  <c r="H19" i="25"/>
  <c r="C19" i="25"/>
  <c r="AD18" i="25"/>
  <c r="J18" i="25" s="1"/>
  <c r="I18" i="25" s="1"/>
  <c r="AB18" i="25"/>
  <c r="Y18" i="25"/>
  <c r="X18" i="25"/>
  <c r="P18" i="25"/>
  <c r="O18" i="25"/>
  <c r="Q18" i="25" s="1"/>
  <c r="M18" i="25"/>
  <c r="H18" i="25"/>
  <c r="C18" i="25"/>
  <c r="AB17" i="25"/>
  <c r="AD17" i="25" s="1"/>
  <c r="J17" i="25" s="1"/>
  <c r="K17" i="25" s="1"/>
  <c r="Y17" i="25"/>
  <c r="X17" i="25"/>
  <c r="P17" i="25"/>
  <c r="O17" i="25"/>
  <c r="Q17" i="25" s="1"/>
  <c r="M17" i="25"/>
  <c r="I17" i="25"/>
  <c r="H17" i="25"/>
  <c r="C17" i="25"/>
  <c r="AB16" i="25"/>
  <c r="AD16" i="25" s="1"/>
  <c r="J16" i="25" s="1"/>
  <c r="Y16" i="25"/>
  <c r="X16" i="25"/>
  <c r="P16" i="25"/>
  <c r="O16" i="25"/>
  <c r="M16" i="25"/>
  <c r="H16" i="25"/>
  <c r="C16" i="25"/>
  <c r="AD15" i="25"/>
  <c r="J15" i="25" s="1"/>
  <c r="AB15" i="25"/>
  <c r="Y15" i="25"/>
  <c r="X15" i="25"/>
  <c r="Q15" i="25"/>
  <c r="P15" i="25"/>
  <c r="O15" i="25"/>
  <c r="M15" i="25"/>
  <c r="H15" i="25"/>
  <c r="C15" i="25"/>
  <c r="AB14" i="25"/>
  <c r="AD14" i="25" s="1"/>
  <c r="J14" i="25" s="1"/>
  <c r="Y14" i="25"/>
  <c r="X14" i="25"/>
  <c r="Q14" i="25"/>
  <c r="P14" i="25"/>
  <c r="O14" i="25"/>
  <c r="M14" i="25"/>
  <c r="H14" i="25"/>
  <c r="C14" i="25"/>
  <c r="AB13" i="25"/>
  <c r="AD13" i="25" s="1"/>
  <c r="J13" i="25" s="1"/>
  <c r="Y13" i="25"/>
  <c r="X13" i="25"/>
  <c r="P13" i="25"/>
  <c r="O13" i="25"/>
  <c r="Q13" i="25" s="1"/>
  <c r="M13" i="25"/>
  <c r="H13" i="25"/>
  <c r="C13" i="25"/>
  <c r="AB12" i="25"/>
  <c r="AD12" i="25" s="1"/>
  <c r="J12" i="25" s="1"/>
  <c r="Y12" i="25"/>
  <c r="X12" i="25"/>
  <c r="P12" i="25"/>
  <c r="Q12" i="25" s="1"/>
  <c r="O12" i="25"/>
  <c r="M12" i="25"/>
  <c r="H12" i="25"/>
  <c r="C12" i="25"/>
  <c r="AD11" i="25"/>
  <c r="J11" i="25" s="1"/>
  <c r="AB11" i="25"/>
  <c r="Y11" i="25"/>
  <c r="X11" i="25"/>
  <c r="Q11" i="25"/>
  <c r="P11" i="25"/>
  <c r="O11" i="25"/>
  <c r="M11" i="25"/>
  <c r="H11" i="25"/>
  <c r="C11" i="25"/>
  <c r="AD10" i="25"/>
  <c r="J10" i="25" s="1"/>
  <c r="I10" i="25" s="1"/>
  <c r="AB10" i="25"/>
  <c r="Y10" i="25"/>
  <c r="X10" i="25"/>
  <c r="P10" i="25"/>
  <c r="O10" i="25"/>
  <c r="Q10" i="25" s="1"/>
  <c r="M10" i="25"/>
  <c r="K10" i="25"/>
  <c r="H10" i="25"/>
  <c r="C10" i="25"/>
  <c r="AB9" i="25"/>
  <c r="AD9" i="25" s="1"/>
  <c r="J9" i="25" s="1"/>
  <c r="K9" i="25" s="1"/>
  <c r="Y9" i="25"/>
  <c r="X9" i="25"/>
  <c r="P9" i="25"/>
  <c r="O9" i="25"/>
  <c r="Q9" i="25" s="1"/>
  <c r="M9" i="25"/>
  <c r="H9" i="25"/>
  <c r="C9" i="25"/>
  <c r="AB8" i="25"/>
  <c r="AD8" i="25" s="1"/>
  <c r="J8" i="25" s="1"/>
  <c r="Y8" i="25"/>
  <c r="X8" i="25"/>
  <c r="P8" i="25"/>
  <c r="O8" i="25"/>
  <c r="Q8" i="25" s="1"/>
  <c r="M8" i="25"/>
  <c r="H8" i="25"/>
  <c r="C8" i="25"/>
  <c r="AB7" i="25"/>
  <c r="AD7" i="25" s="1"/>
  <c r="J7" i="25" s="1"/>
  <c r="Y7" i="25"/>
  <c r="X7" i="25"/>
  <c r="Q7" i="25"/>
  <c r="P7" i="25"/>
  <c r="O7" i="25"/>
  <c r="M7" i="25"/>
  <c r="H7" i="25"/>
  <c r="C7" i="25"/>
  <c r="AB6" i="25"/>
  <c r="AD6" i="25" s="1"/>
  <c r="J6" i="25" s="1"/>
  <c r="Y6" i="25"/>
  <c r="X6" i="25"/>
  <c r="Q6" i="25"/>
  <c r="P6" i="25"/>
  <c r="O6" i="25"/>
  <c r="M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B4" i="25"/>
  <c r="AD4" i="25" s="1"/>
  <c r="Y4" i="25"/>
  <c r="X4" i="25"/>
  <c r="P4" i="25"/>
  <c r="Q4" i="25" s="1"/>
  <c r="O4" i="25"/>
  <c r="M4" i="25"/>
  <c r="H4" i="25"/>
  <c r="C4" i="25"/>
  <c r="AG3" i="25"/>
  <c r="AF3" i="25"/>
  <c r="W3" i="25"/>
  <c r="X3" i="25" s="1"/>
  <c r="V3" i="25"/>
  <c r="U3" i="25"/>
  <c r="T3" i="25"/>
  <c r="O3" i="25"/>
  <c r="G3" i="25"/>
  <c r="H3" i="25" s="1"/>
  <c r="F3" i="25"/>
  <c r="D3" i="25"/>
  <c r="C3" i="25"/>
  <c r="A2" i="25"/>
  <c r="A1" i="25"/>
  <c r="AB32" i="24"/>
  <c r="AD32" i="24" s="1"/>
  <c r="J32" i="24" s="1"/>
  <c r="Y32" i="24"/>
  <c r="X32" i="24"/>
  <c r="V32" i="24"/>
  <c r="U32" i="24"/>
  <c r="T32" i="24"/>
  <c r="P32" i="24"/>
  <c r="O32" i="24"/>
  <c r="M32" i="24"/>
  <c r="H32" i="24"/>
  <c r="C32" i="24"/>
  <c r="AB31" i="24"/>
  <c r="AD31" i="24" s="1"/>
  <c r="Y31" i="24"/>
  <c r="X31" i="24"/>
  <c r="Q31" i="24"/>
  <c r="P31" i="24"/>
  <c r="O31" i="24"/>
  <c r="M31" i="24"/>
  <c r="J31" i="24"/>
  <c r="H31" i="24"/>
  <c r="C31" i="24"/>
  <c r="AB30" i="24"/>
  <c r="AD30" i="24" s="1"/>
  <c r="J30" i="24" s="1"/>
  <c r="Y30" i="24"/>
  <c r="X30" i="24"/>
  <c r="Q30" i="24"/>
  <c r="P30" i="24"/>
  <c r="O30" i="24"/>
  <c r="M30" i="24"/>
  <c r="H30" i="24"/>
  <c r="C30" i="24"/>
  <c r="AB29" i="24"/>
  <c r="AD29" i="24" s="1"/>
  <c r="J29" i="24" s="1"/>
  <c r="Y29" i="24"/>
  <c r="X29" i="24"/>
  <c r="P29" i="24"/>
  <c r="O29" i="24"/>
  <c r="Q29" i="24" s="1"/>
  <c r="M29" i="24"/>
  <c r="H29" i="24"/>
  <c r="C29" i="24"/>
  <c r="AB28" i="24"/>
  <c r="AD28" i="24" s="1"/>
  <c r="Y28" i="24"/>
  <c r="X28" i="24"/>
  <c r="P28" i="24"/>
  <c r="Q28" i="24" s="1"/>
  <c r="O28" i="24"/>
  <c r="M28" i="24"/>
  <c r="J28" i="24"/>
  <c r="K28" i="24" s="1"/>
  <c r="H28" i="24"/>
  <c r="C28" i="24"/>
  <c r="AD27" i="24"/>
  <c r="J27" i="24" s="1"/>
  <c r="AB27" i="24"/>
  <c r="Y27" i="24"/>
  <c r="X27" i="24"/>
  <c r="Q27" i="24"/>
  <c r="P27" i="24"/>
  <c r="O27" i="24"/>
  <c r="M27" i="24"/>
  <c r="H27" i="24"/>
  <c r="C27" i="24"/>
  <c r="AD26" i="24"/>
  <c r="J26" i="24" s="1"/>
  <c r="AB26" i="24"/>
  <c r="Y26" i="24"/>
  <c r="X26" i="24"/>
  <c r="P26" i="24"/>
  <c r="O26" i="24"/>
  <c r="Q26" i="24" s="1"/>
  <c r="M26" i="24"/>
  <c r="H26" i="24"/>
  <c r="C26" i="24"/>
  <c r="AB25" i="24"/>
  <c r="AD25" i="24" s="1"/>
  <c r="J25" i="24" s="1"/>
  <c r="K25" i="24" s="1"/>
  <c r="Y25" i="24"/>
  <c r="X25" i="24"/>
  <c r="P25" i="24"/>
  <c r="O25" i="24"/>
  <c r="Q25" i="24" s="1"/>
  <c r="M25" i="24"/>
  <c r="I25" i="24"/>
  <c r="H25" i="24"/>
  <c r="C25" i="24"/>
  <c r="AB24" i="24"/>
  <c r="AD24" i="24" s="1"/>
  <c r="J24" i="24" s="1"/>
  <c r="Y24" i="24"/>
  <c r="X24" i="24"/>
  <c r="P24" i="24"/>
  <c r="O24" i="24"/>
  <c r="Q24" i="24" s="1"/>
  <c r="M24" i="24"/>
  <c r="H24" i="24"/>
  <c r="C24" i="24"/>
  <c r="AB23" i="24"/>
  <c r="AD23" i="24" s="1"/>
  <c r="J23" i="24" s="1"/>
  <c r="Y23" i="24"/>
  <c r="X23" i="24"/>
  <c r="Q23" i="24"/>
  <c r="P23" i="24"/>
  <c r="O23" i="24"/>
  <c r="M23" i="24"/>
  <c r="H23" i="24"/>
  <c r="C23" i="24"/>
  <c r="AB22" i="24"/>
  <c r="AD22" i="24" s="1"/>
  <c r="J22" i="24" s="1"/>
  <c r="Y22" i="24"/>
  <c r="X22" i="24"/>
  <c r="Q22" i="24"/>
  <c r="P22" i="24"/>
  <c r="O22" i="24"/>
  <c r="M22" i="24"/>
  <c r="H22" i="24"/>
  <c r="C22" i="24"/>
  <c r="AB21" i="24"/>
  <c r="AD21" i="24" s="1"/>
  <c r="J21" i="24" s="1"/>
  <c r="Y21" i="24"/>
  <c r="X21" i="24"/>
  <c r="P21" i="24"/>
  <c r="O21" i="24"/>
  <c r="Q21" i="24" s="1"/>
  <c r="M21" i="24"/>
  <c r="H21" i="24"/>
  <c r="C21" i="24"/>
  <c r="AB20" i="24"/>
  <c r="AD20" i="24" s="1"/>
  <c r="J20" i="24" s="1"/>
  <c r="Y20" i="24"/>
  <c r="X20" i="24"/>
  <c r="P20" i="24"/>
  <c r="Q20" i="24" s="1"/>
  <c r="O20" i="24"/>
  <c r="M20" i="24"/>
  <c r="H20" i="24"/>
  <c r="C20" i="24"/>
  <c r="AD19" i="24"/>
  <c r="J19" i="24" s="1"/>
  <c r="AB19" i="24"/>
  <c r="Y19" i="24"/>
  <c r="X19" i="24"/>
  <c r="P19" i="24"/>
  <c r="Q19" i="24" s="1"/>
  <c r="O19" i="24"/>
  <c r="M19" i="24"/>
  <c r="H19" i="24"/>
  <c r="C19" i="24"/>
  <c r="AD18" i="24"/>
  <c r="J18" i="24" s="1"/>
  <c r="I18" i="24" s="1"/>
  <c r="AB18" i="24"/>
  <c r="Y18" i="24"/>
  <c r="X18" i="24"/>
  <c r="P18" i="24"/>
  <c r="O18" i="24"/>
  <c r="Q18" i="24" s="1"/>
  <c r="M18" i="24"/>
  <c r="H18" i="24"/>
  <c r="C18" i="24"/>
  <c r="AB17" i="24"/>
  <c r="AD17" i="24" s="1"/>
  <c r="J17" i="24" s="1"/>
  <c r="K17" i="24" s="1"/>
  <c r="Y17" i="24"/>
  <c r="X17" i="24"/>
  <c r="P17" i="24"/>
  <c r="O17" i="24"/>
  <c r="Q17" i="24" s="1"/>
  <c r="M17" i="24"/>
  <c r="I17" i="24"/>
  <c r="H17" i="24"/>
  <c r="C17" i="24"/>
  <c r="AB16" i="24"/>
  <c r="AD16" i="24" s="1"/>
  <c r="J16" i="24" s="1"/>
  <c r="Y16" i="24"/>
  <c r="X16" i="24"/>
  <c r="P16" i="24"/>
  <c r="O16" i="24"/>
  <c r="M16" i="24"/>
  <c r="H16" i="24"/>
  <c r="C16" i="24"/>
  <c r="AB15" i="24"/>
  <c r="AD15" i="24" s="1"/>
  <c r="J15" i="24" s="1"/>
  <c r="Y15" i="24"/>
  <c r="X15" i="24"/>
  <c r="Q15" i="24"/>
  <c r="P15" i="24"/>
  <c r="O15" i="24"/>
  <c r="M15" i="24"/>
  <c r="H15" i="24"/>
  <c r="C15" i="24"/>
  <c r="AB14" i="24"/>
  <c r="AD14" i="24" s="1"/>
  <c r="J14" i="24" s="1"/>
  <c r="Y14" i="24"/>
  <c r="X14" i="24"/>
  <c r="Q14" i="24"/>
  <c r="P14" i="24"/>
  <c r="O14" i="24"/>
  <c r="M14" i="24"/>
  <c r="H14" i="24"/>
  <c r="C14" i="24"/>
  <c r="AB13" i="24"/>
  <c r="AD13" i="24" s="1"/>
  <c r="J13" i="24" s="1"/>
  <c r="Y13" i="24"/>
  <c r="X13" i="24"/>
  <c r="P13" i="24"/>
  <c r="O13" i="24"/>
  <c r="Q13" i="24" s="1"/>
  <c r="M13" i="24"/>
  <c r="H13" i="24"/>
  <c r="C13" i="24"/>
  <c r="AD12" i="24"/>
  <c r="AB12" i="24"/>
  <c r="Y12" i="24"/>
  <c r="X12" i="24"/>
  <c r="P12" i="24"/>
  <c r="Q12" i="24" s="1"/>
  <c r="O12" i="24"/>
  <c r="M12" i="24"/>
  <c r="J12" i="24"/>
  <c r="K12" i="24" s="1"/>
  <c r="H12" i="24"/>
  <c r="C12" i="24"/>
  <c r="AD11" i="24"/>
  <c r="J11" i="24" s="1"/>
  <c r="I11" i="24" s="1"/>
  <c r="AB11" i="24"/>
  <c r="Y11" i="24"/>
  <c r="X11" i="24"/>
  <c r="Q11" i="24"/>
  <c r="P11" i="24"/>
  <c r="O11" i="24"/>
  <c r="M11" i="24"/>
  <c r="K11" i="24"/>
  <c r="H11" i="24"/>
  <c r="C11" i="24"/>
  <c r="AD10" i="24"/>
  <c r="J10" i="24" s="1"/>
  <c r="I10" i="24" s="1"/>
  <c r="AB10" i="24"/>
  <c r="Y10" i="24"/>
  <c r="X10" i="24"/>
  <c r="P10" i="24"/>
  <c r="O10" i="24"/>
  <c r="Q10" i="24" s="1"/>
  <c r="M10" i="24"/>
  <c r="K10" i="24"/>
  <c r="H10" i="24"/>
  <c r="C10" i="24"/>
  <c r="AB9" i="24"/>
  <c r="AD9" i="24" s="1"/>
  <c r="J9" i="24" s="1"/>
  <c r="Y9" i="24"/>
  <c r="X9" i="24"/>
  <c r="P9" i="24"/>
  <c r="O9" i="24"/>
  <c r="Q9" i="24" s="1"/>
  <c r="M9" i="24"/>
  <c r="H9" i="24"/>
  <c r="C9" i="24"/>
  <c r="AB8" i="24"/>
  <c r="AD8" i="24" s="1"/>
  <c r="J8" i="24" s="1"/>
  <c r="Y8" i="24"/>
  <c r="X8" i="24"/>
  <c r="Q8" i="24"/>
  <c r="P8" i="24"/>
  <c r="O8" i="24"/>
  <c r="M8" i="24"/>
  <c r="H8" i="24"/>
  <c r="C8" i="24"/>
  <c r="AB7" i="24"/>
  <c r="AD7" i="24" s="1"/>
  <c r="J7" i="24" s="1"/>
  <c r="Y7" i="24"/>
  <c r="X7" i="24"/>
  <c r="Q7" i="24"/>
  <c r="P7" i="24"/>
  <c r="O7" i="24"/>
  <c r="M7" i="24"/>
  <c r="H7" i="24"/>
  <c r="C7" i="24"/>
  <c r="AB6" i="24"/>
  <c r="AD6" i="24" s="1"/>
  <c r="J6" i="24" s="1"/>
  <c r="K6" i="24" s="1"/>
  <c r="Y6" i="24"/>
  <c r="X6" i="24"/>
  <c r="Q6" i="24"/>
  <c r="P6" i="24"/>
  <c r="O6" i="24"/>
  <c r="M6" i="24"/>
  <c r="H6" i="24"/>
  <c r="C6" i="24"/>
  <c r="AB5" i="24"/>
  <c r="AD5" i="24" s="1"/>
  <c r="J5" i="24" s="1"/>
  <c r="K5" i="24" s="1"/>
  <c r="Y5" i="24"/>
  <c r="X5" i="24"/>
  <c r="P5" i="24"/>
  <c r="O5" i="24"/>
  <c r="M5" i="24"/>
  <c r="I5" i="24"/>
  <c r="H5" i="24"/>
  <c r="C5" i="24"/>
  <c r="AD4" i="24"/>
  <c r="AB4" i="24"/>
  <c r="Y4" i="24"/>
  <c r="X4" i="24"/>
  <c r="P4" i="24"/>
  <c r="Q4" i="24" s="1"/>
  <c r="O4" i="24"/>
  <c r="M4" i="24"/>
  <c r="J4" i="24"/>
  <c r="H4" i="24"/>
  <c r="C4" i="24"/>
  <c r="AG3" i="24"/>
  <c r="AF3" i="24"/>
  <c r="W3" i="24"/>
  <c r="V3" i="24"/>
  <c r="U3" i="24"/>
  <c r="T3" i="24"/>
  <c r="O3" i="24"/>
  <c r="H3" i="24"/>
  <c r="G3" i="24"/>
  <c r="F3" i="24"/>
  <c r="D3" i="24"/>
  <c r="C3" i="24"/>
  <c r="A2" i="24"/>
  <c r="A1" i="24"/>
  <c r="AB32" i="23"/>
  <c r="AD32" i="23" s="1"/>
  <c r="J32" i="23" s="1"/>
  <c r="I32" i="23" s="1"/>
  <c r="Y32" i="23"/>
  <c r="X32" i="23"/>
  <c r="V32" i="23"/>
  <c r="U32" i="23"/>
  <c r="T32" i="23"/>
  <c r="P32" i="23"/>
  <c r="O32" i="23"/>
  <c r="Q32" i="23" s="1"/>
  <c r="M32" i="23"/>
  <c r="K32" i="23"/>
  <c r="H32" i="23"/>
  <c r="C32" i="23"/>
  <c r="AB31" i="23"/>
  <c r="AD31" i="23" s="1"/>
  <c r="J31" i="23" s="1"/>
  <c r="Y31" i="23"/>
  <c r="X31" i="23"/>
  <c r="Q31" i="23"/>
  <c r="P31" i="23"/>
  <c r="O31" i="23"/>
  <c r="M31" i="23"/>
  <c r="H31" i="23"/>
  <c r="C31" i="23"/>
  <c r="AB30" i="23"/>
  <c r="AD30" i="23" s="1"/>
  <c r="J30" i="23" s="1"/>
  <c r="Y30" i="23"/>
  <c r="X30" i="23"/>
  <c r="P30" i="23"/>
  <c r="O30" i="23"/>
  <c r="Q30" i="23" s="1"/>
  <c r="M30" i="23"/>
  <c r="H30" i="23"/>
  <c r="C30" i="23"/>
  <c r="AB29" i="23"/>
  <c r="AD29" i="23" s="1"/>
  <c r="Y29" i="23"/>
  <c r="X29" i="23"/>
  <c r="P29" i="23"/>
  <c r="O29" i="23"/>
  <c r="M29" i="23"/>
  <c r="J29" i="23"/>
  <c r="H29" i="23"/>
  <c r="C29" i="23"/>
  <c r="AB28" i="23"/>
  <c r="AD28" i="23" s="1"/>
  <c r="J28" i="23" s="1"/>
  <c r="Y28" i="23"/>
  <c r="X28" i="23"/>
  <c r="Q28" i="23"/>
  <c r="P28" i="23"/>
  <c r="O28" i="23"/>
  <c r="M28" i="23"/>
  <c r="H28" i="23"/>
  <c r="C28" i="23"/>
  <c r="AD27" i="23"/>
  <c r="J27" i="23" s="1"/>
  <c r="I27" i="23" s="1"/>
  <c r="AB27" i="23"/>
  <c r="Y27" i="23"/>
  <c r="X27" i="23"/>
  <c r="Q27" i="23"/>
  <c r="P27" i="23"/>
  <c r="O27" i="23"/>
  <c r="M27" i="23"/>
  <c r="K27" i="23"/>
  <c r="H27" i="23"/>
  <c r="C27" i="23"/>
  <c r="AD26" i="23"/>
  <c r="J26" i="23" s="1"/>
  <c r="K26" i="23" s="1"/>
  <c r="AB26" i="23"/>
  <c r="Y26" i="23"/>
  <c r="X26" i="23"/>
  <c r="P26" i="23"/>
  <c r="O26" i="23"/>
  <c r="Q26" i="23" s="1"/>
  <c r="M26" i="23"/>
  <c r="I26" i="23"/>
  <c r="H26" i="23"/>
  <c r="C26" i="23"/>
  <c r="AB25" i="23"/>
  <c r="AD25" i="23" s="1"/>
  <c r="Y25" i="23"/>
  <c r="X25" i="23"/>
  <c r="P25" i="23"/>
  <c r="O25" i="23"/>
  <c r="M25" i="23"/>
  <c r="J25" i="23"/>
  <c r="K25" i="23" s="1"/>
  <c r="H25" i="23"/>
  <c r="C25" i="23"/>
  <c r="AB24" i="23"/>
  <c r="AD24" i="23" s="1"/>
  <c r="J24" i="23" s="1"/>
  <c r="Y24" i="23"/>
  <c r="X24" i="23"/>
  <c r="Q24" i="23"/>
  <c r="P24" i="23"/>
  <c r="O24" i="23"/>
  <c r="M24" i="23"/>
  <c r="H24" i="23"/>
  <c r="C24" i="23"/>
  <c r="AD23" i="23"/>
  <c r="J23" i="23" s="1"/>
  <c r="AB23" i="23"/>
  <c r="Y23" i="23"/>
  <c r="X23" i="23"/>
  <c r="Q23" i="23"/>
  <c r="P23" i="23"/>
  <c r="O23" i="23"/>
  <c r="M23" i="23"/>
  <c r="H23" i="23"/>
  <c r="C23" i="23"/>
  <c r="AB22" i="23"/>
  <c r="AD22" i="23" s="1"/>
  <c r="J22" i="23" s="1"/>
  <c r="K22" i="23" s="1"/>
  <c r="Y22" i="23"/>
  <c r="X22" i="23"/>
  <c r="P22" i="23"/>
  <c r="O22" i="23"/>
  <c r="Q22" i="23" s="1"/>
  <c r="M22" i="23"/>
  <c r="I22" i="23"/>
  <c r="H22" i="23"/>
  <c r="C22" i="23"/>
  <c r="AB21" i="23"/>
  <c r="AD21" i="23" s="1"/>
  <c r="J21" i="23" s="1"/>
  <c r="Y21" i="23"/>
  <c r="X21" i="23"/>
  <c r="P21" i="23"/>
  <c r="O21" i="23"/>
  <c r="Q21" i="23" s="1"/>
  <c r="M21" i="23"/>
  <c r="H21" i="23"/>
  <c r="C21" i="23"/>
  <c r="AD20" i="23"/>
  <c r="J20" i="23" s="1"/>
  <c r="AB20" i="23"/>
  <c r="Y20" i="23"/>
  <c r="X20" i="23"/>
  <c r="P20" i="23"/>
  <c r="Q20" i="23" s="1"/>
  <c r="O20" i="23"/>
  <c r="M20" i="23"/>
  <c r="H20" i="23"/>
  <c r="C20" i="23"/>
  <c r="AD19" i="23"/>
  <c r="J19" i="23" s="1"/>
  <c r="I19" i="23" s="1"/>
  <c r="AB19" i="23"/>
  <c r="Y19" i="23"/>
  <c r="X19" i="23"/>
  <c r="P19" i="23"/>
  <c r="Q19" i="23" s="1"/>
  <c r="O19" i="23"/>
  <c r="M19" i="23"/>
  <c r="K19" i="23"/>
  <c r="H19" i="23"/>
  <c r="C19" i="23"/>
  <c r="AD18" i="23"/>
  <c r="J18" i="23" s="1"/>
  <c r="K18" i="23" s="1"/>
  <c r="AB18" i="23"/>
  <c r="Y18" i="23"/>
  <c r="X18" i="23"/>
  <c r="P18" i="23"/>
  <c r="O18" i="23"/>
  <c r="Q18" i="23" s="1"/>
  <c r="M18" i="23"/>
  <c r="I18" i="23"/>
  <c r="H18" i="23"/>
  <c r="C18" i="23"/>
  <c r="AB17" i="23"/>
  <c r="AD17" i="23" s="1"/>
  <c r="J17" i="23" s="1"/>
  <c r="Y17" i="23"/>
  <c r="X17" i="23"/>
  <c r="P17" i="23"/>
  <c r="O17" i="23"/>
  <c r="Q17" i="23" s="1"/>
  <c r="M17" i="23"/>
  <c r="H17" i="23"/>
  <c r="C17" i="23"/>
  <c r="AD16" i="23"/>
  <c r="J16" i="23" s="1"/>
  <c r="AB16" i="23"/>
  <c r="Y16" i="23"/>
  <c r="X16" i="23"/>
  <c r="P16" i="23"/>
  <c r="O16" i="23"/>
  <c r="Q16" i="23" s="1"/>
  <c r="M16" i="23"/>
  <c r="H16" i="23"/>
  <c r="C16" i="23"/>
  <c r="AB15" i="23"/>
  <c r="AD15" i="23" s="1"/>
  <c r="J15" i="23" s="1"/>
  <c r="Y15" i="23"/>
  <c r="X15" i="23"/>
  <c r="Q15" i="23"/>
  <c r="P15" i="23"/>
  <c r="O15" i="23"/>
  <c r="M15" i="23"/>
  <c r="H15" i="23"/>
  <c r="C15" i="23"/>
  <c r="AB14" i="23"/>
  <c r="AD14" i="23" s="1"/>
  <c r="J14" i="23" s="1"/>
  <c r="K14" i="23" s="1"/>
  <c r="Y14" i="23"/>
  <c r="X14" i="23"/>
  <c r="Q14" i="23"/>
  <c r="P14" i="23"/>
  <c r="O14" i="23"/>
  <c r="M14" i="23"/>
  <c r="H14" i="23"/>
  <c r="C14" i="23"/>
  <c r="AB13" i="23"/>
  <c r="AD13" i="23" s="1"/>
  <c r="Y13" i="23"/>
  <c r="X13" i="23"/>
  <c r="P13" i="23"/>
  <c r="O13" i="23"/>
  <c r="Q13" i="23" s="1"/>
  <c r="M13" i="23"/>
  <c r="J13" i="23"/>
  <c r="K13" i="23" s="1"/>
  <c r="H13" i="23"/>
  <c r="C13" i="23"/>
  <c r="AB12" i="23"/>
  <c r="AD12" i="23" s="1"/>
  <c r="J12" i="23" s="1"/>
  <c r="K12" i="23" s="1"/>
  <c r="Y12" i="23"/>
  <c r="X12" i="23"/>
  <c r="Q12" i="23"/>
  <c r="P12" i="23"/>
  <c r="O12" i="23"/>
  <c r="M12" i="23"/>
  <c r="I12" i="23"/>
  <c r="H12" i="23"/>
  <c r="C12" i="23"/>
  <c r="AD11" i="23"/>
  <c r="J11" i="23" s="1"/>
  <c r="I11" i="23" s="1"/>
  <c r="AB11" i="23"/>
  <c r="Y11" i="23"/>
  <c r="X11" i="23"/>
  <c r="P11" i="23"/>
  <c r="Q11" i="23" s="1"/>
  <c r="O11" i="23"/>
  <c r="M11" i="23"/>
  <c r="K11" i="23"/>
  <c r="H11" i="23"/>
  <c r="C11" i="23"/>
  <c r="AD10" i="23"/>
  <c r="J10" i="23" s="1"/>
  <c r="AB10" i="23"/>
  <c r="Y10" i="23"/>
  <c r="X10" i="23"/>
  <c r="P10" i="23"/>
  <c r="O10" i="23"/>
  <c r="Q10" i="23" s="1"/>
  <c r="M10" i="23"/>
  <c r="K10" i="23"/>
  <c r="I10" i="23"/>
  <c r="H10" i="23"/>
  <c r="C10" i="23"/>
  <c r="AB9" i="23"/>
  <c r="AD9" i="23" s="1"/>
  <c r="Y9" i="23"/>
  <c r="X9" i="23"/>
  <c r="P9" i="23"/>
  <c r="O9" i="23"/>
  <c r="Q9" i="23" s="1"/>
  <c r="M9" i="23"/>
  <c r="J9" i="23"/>
  <c r="K9" i="23" s="1"/>
  <c r="I9" i="23"/>
  <c r="H9" i="23"/>
  <c r="C9" i="23"/>
  <c r="AB8" i="23"/>
  <c r="AD8" i="23" s="1"/>
  <c r="J8" i="23" s="1"/>
  <c r="Y8" i="23"/>
  <c r="X8" i="23"/>
  <c r="P8" i="23"/>
  <c r="Q8" i="23" s="1"/>
  <c r="O8" i="23"/>
  <c r="M8" i="23"/>
  <c r="H8" i="23"/>
  <c r="C8" i="23"/>
  <c r="AB7" i="23"/>
  <c r="AD7" i="23" s="1"/>
  <c r="J7" i="23" s="1"/>
  <c r="Y7" i="23"/>
  <c r="X7" i="23"/>
  <c r="Q7" i="23"/>
  <c r="P7" i="23"/>
  <c r="O7" i="23"/>
  <c r="M7" i="23"/>
  <c r="H7" i="23"/>
  <c r="C7" i="23"/>
  <c r="AB6" i="23"/>
  <c r="AD6" i="23" s="1"/>
  <c r="J6" i="23" s="1"/>
  <c r="K6" i="23" s="1"/>
  <c r="Y6" i="23"/>
  <c r="X6" i="23"/>
  <c r="P6" i="23"/>
  <c r="O6" i="23"/>
  <c r="Q6" i="23" s="1"/>
  <c r="M6" i="23"/>
  <c r="I6" i="23"/>
  <c r="H6" i="23"/>
  <c r="C6" i="23"/>
  <c r="AB5" i="23"/>
  <c r="AD5" i="23" s="1"/>
  <c r="J5" i="23" s="1"/>
  <c r="Y5" i="23"/>
  <c r="X5" i="23"/>
  <c r="P5" i="23"/>
  <c r="O5" i="23"/>
  <c r="M5" i="23"/>
  <c r="H5" i="23"/>
  <c r="C5" i="23"/>
  <c r="AB4" i="23"/>
  <c r="AD4" i="23" s="1"/>
  <c r="Y4" i="23"/>
  <c r="X4" i="23"/>
  <c r="P4" i="23"/>
  <c r="Q4" i="23" s="1"/>
  <c r="O4" i="23"/>
  <c r="M4" i="23"/>
  <c r="H4" i="23"/>
  <c r="C4" i="23"/>
  <c r="AG3" i="23"/>
  <c r="AF3" i="23"/>
  <c r="W3" i="23"/>
  <c r="V3" i="23"/>
  <c r="U3" i="23"/>
  <c r="T3" i="23"/>
  <c r="O3" i="23"/>
  <c r="H3" i="23"/>
  <c r="G3" i="23"/>
  <c r="F3" i="23"/>
  <c r="D3" i="23"/>
  <c r="C3" i="23"/>
  <c r="A2" i="23"/>
  <c r="A1" i="23"/>
  <c r="AB32" i="22"/>
  <c r="AD32" i="22" s="1"/>
  <c r="J32" i="22" s="1"/>
  <c r="I32" i="22" s="1"/>
  <c r="Y32" i="22"/>
  <c r="X32" i="22"/>
  <c r="V32" i="22"/>
  <c r="U32" i="22"/>
  <c r="T32" i="22"/>
  <c r="P32" i="22"/>
  <c r="O32" i="22"/>
  <c r="Q32" i="22" s="1"/>
  <c r="M32" i="22"/>
  <c r="K32" i="22"/>
  <c r="H32" i="22"/>
  <c r="C32" i="22"/>
  <c r="AB31" i="22"/>
  <c r="AD31" i="22" s="1"/>
  <c r="J31" i="22" s="1"/>
  <c r="Y31" i="22"/>
  <c r="X31" i="22"/>
  <c r="Q31" i="22"/>
  <c r="P31" i="22"/>
  <c r="O31" i="22"/>
  <c r="M31" i="22"/>
  <c r="H31" i="22"/>
  <c r="C31" i="22"/>
  <c r="AB30" i="22"/>
  <c r="AD30" i="22" s="1"/>
  <c r="Y30" i="22"/>
  <c r="X30" i="22"/>
  <c r="P30" i="22"/>
  <c r="O30" i="22"/>
  <c r="Q30" i="22" s="1"/>
  <c r="M30" i="22"/>
  <c r="J30" i="22"/>
  <c r="H30" i="22"/>
  <c r="C30" i="22"/>
  <c r="AB29" i="22"/>
  <c r="AD29" i="22" s="1"/>
  <c r="J29" i="22" s="1"/>
  <c r="Y29" i="22"/>
  <c r="X29" i="22"/>
  <c r="Q29" i="22"/>
  <c r="P29" i="22"/>
  <c r="O29" i="22"/>
  <c r="M29" i="22"/>
  <c r="H29" i="22"/>
  <c r="C29" i="22"/>
  <c r="AB28" i="22"/>
  <c r="AD28" i="22" s="1"/>
  <c r="J28" i="22" s="1"/>
  <c r="Y28" i="22"/>
  <c r="X28" i="22"/>
  <c r="Q28" i="22"/>
  <c r="P28" i="22"/>
  <c r="O28" i="22"/>
  <c r="M28" i="22"/>
  <c r="H28" i="22"/>
  <c r="C28" i="22"/>
  <c r="AD27" i="22"/>
  <c r="J27" i="22" s="1"/>
  <c r="AB27" i="22"/>
  <c r="Y27" i="22"/>
  <c r="X27" i="22"/>
  <c r="Q27" i="22"/>
  <c r="P27" i="22"/>
  <c r="O27" i="22"/>
  <c r="M27" i="22"/>
  <c r="K27" i="22"/>
  <c r="I27" i="22"/>
  <c r="H27" i="22"/>
  <c r="C27" i="22"/>
  <c r="AD26" i="22"/>
  <c r="AB26" i="22"/>
  <c r="Y26" i="22"/>
  <c r="X26" i="22"/>
  <c r="P26" i="22"/>
  <c r="O26" i="22"/>
  <c r="Q26" i="22" s="1"/>
  <c r="M26" i="22"/>
  <c r="J26" i="22"/>
  <c r="K26" i="22" s="1"/>
  <c r="H26" i="22"/>
  <c r="C26" i="22"/>
  <c r="AB25" i="22"/>
  <c r="AD25" i="22" s="1"/>
  <c r="J25" i="22" s="1"/>
  <c r="K25" i="22" s="1"/>
  <c r="Y25" i="22"/>
  <c r="X25" i="22"/>
  <c r="Q25" i="22"/>
  <c r="P25" i="22"/>
  <c r="O25" i="22"/>
  <c r="M25" i="22"/>
  <c r="I25" i="22"/>
  <c r="H25" i="22"/>
  <c r="C25" i="22"/>
  <c r="AB24" i="22"/>
  <c r="AD24" i="22" s="1"/>
  <c r="J24" i="22" s="1"/>
  <c r="Y24" i="22"/>
  <c r="X24" i="22"/>
  <c r="P24" i="22"/>
  <c r="O24" i="22"/>
  <c r="M24" i="22"/>
  <c r="H24" i="22"/>
  <c r="C24" i="22"/>
  <c r="AB23" i="22"/>
  <c r="AD23" i="22" s="1"/>
  <c r="AD3" i="22" s="1"/>
  <c r="Y23" i="22"/>
  <c r="X23" i="22"/>
  <c r="P23" i="22"/>
  <c r="O23" i="22"/>
  <c r="Q23" i="22" s="1"/>
  <c r="M23" i="22"/>
  <c r="H23" i="22"/>
  <c r="C23" i="22"/>
  <c r="AG3" i="22"/>
  <c r="AF3" i="22"/>
  <c r="W3" i="22"/>
  <c r="X3" i="22" s="1"/>
  <c r="V3" i="22"/>
  <c r="U3" i="22"/>
  <c r="T3" i="22"/>
  <c r="O3" i="22"/>
  <c r="H3" i="22"/>
  <c r="G3" i="22"/>
  <c r="F3" i="22"/>
  <c r="D3" i="22"/>
  <c r="C3" i="22"/>
  <c r="A2" i="22"/>
  <c r="A1" i="22"/>
  <c r="AB32" i="21"/>
  <c r="AD32" i="21" s="1"/>
  <c r="J32" i="21" s="1"/>
  <c r="Y32" i="21"/>
  <c r="X32" i="21"/>
  <c r="V32" i="21"/>
  <c r="U32" i="21"/>
  <c r="T32" i="21"/>
  <c r="P32" i="21"/>
  <c r="O32" i="21"/>
  <c r="Q32" i="21" s="1"/>
  <c r="M32" i="21"/>
  <c r="H32" i="21"/>
  <c r="C32" i="21"/>
  <c r="AD31" i="21"/>
  <c r="J31" i="21" s="1"/>
  <c r="I31" i="21" s="1"/>
  <c r="AB31" i="21"/>
  <c r="Y31" i="21"/>
  <c r="X31" i="21"/>
  <c r="P31" i="21"/>
  <c r="O31" i="21"/>
  <c r="Q31" i="21" s="1"/>
  <c r="M31" i="21"/>
  <c r="H31" i="21"/>
  <c r="C31" i="21"/>
  <c r="AD30" i="21"/>
  <c r="J30" i="21" s="1"/>
  <c r="AB30" i="21"/>
  <c r="Y30" i="21"/>
  <c r="X30" i="21"/>
  <c r="P30" i="21"/>
  <c r="Q30" i="21" s="1"/>
  <c r="O30" i="21"/>
  <c r="M30" i="21"/>
  <c r="H30" i="21"/>
  <c r="C30" i="21"/>
  <c r="AD29" i="21"/>
  <c r="J29" i="21" s="1"/>
  <c r="AB29" i="21"/>
  <c r="Y29" i="21"/>
  <c r="X29" i="21"/>
  <c r="P29" i="21"/>
  <c r="O29" i="21"/>
  <c r="Q29" i="21" s="1"/>
  <c r="M29" i="21"/>
  <c r="H29" i="21"/>
  <c r="C29" i="21"/>
  <c r="AB28" i="21"/>
  <c r="AD28" i="21" s="1"/>
  <c r="Y28" i="21"/>
  <c r="X28" i="21"/>
  <c r="P28" i="21"/>
  <c r="O28" i="21"/>
  <c r="Q28" i="21" s="1"/>
  <c r="M28" i="21"/>
  <c r="J28" i="21"/>
  <c r="H28" i="21"/>
  <c r="C28" i="21"/>
  <c r="AB27" i="21"/>
  <c r="AD27" i="21" s="1"/>
  <c r="J27" i="21" s="1"/>
  <c r="Y27" i="21"/>
  <c r="X27" i="21"/>
  <c r="Q27" i="21"/>
  <c r="P27" i="21"/>
  <c r="O27" i="21"/>
  <c r="M27" i="21"/>
  <c r="H27" i="21"/>
  <c r="C27" i="21"/>
  <c r="AB26" i="21"/>
  <c r="AD26" i="21" s="1"/>
  <c r="J26" i="21" s="1"/>
  <c r="Y26" i="21"/>
  <c r="X26" i="21"/>
  <c r="Q26" i="21"/>
  <c r="P26" i="21"/>
  <c r="O26" i="21"/>
  <c r="M26" i="21"/>
  <c r="H26" i="21"/>
  <c r="C26" i="21"/>
  <c r="AD25" i="21"/>
  <c r="J25" i="21" s="1"/>
  <c r="K25" i="21" s="1"/>
  <c r="AB25" i="21"/>
  <c r="Y25" i="21"/>
  <c r="X25" i="21"/>
  <c r="Q25" i="21"/>
  <c r="P25" i="21"/>
  <c r="O25" i="21"/>
  <c r="M25" i="21"/>
  <c r="I25" i="21"/>
  <c r="H25" i="21"/>
  <c r="C25" i="21"/>
  <c r="AB24" i="21"/>
  <c r="AD24" i="21" s="1"/>
  <c r="J24" i="21" s="1"/>
  <c r="Y24" i="21"/>
  <c r="X24" i="21"/>
  <c r="P24" i="21"/>
  <c r="O24" i="21"/>
  <c r="M24" i="21"/>
  <c r="H24" i="21"/>
  <c r="C24" i="21"/>
  <c r="AD23" i="21"/>
  <c r="J23" i="21" s="1"/>
  <c r="AB23" i="21"/>
  <c r="Y23" i="21"/>
  <c r="X23" i="21"/>
  <c r="P23" i="21"/>
  <c r="O23" i="21"/>
  <c r="Q23" i="21" s="1"/>
  <c r="M23" i="21"/>
  <c r="H23" i="21"/>
  <c r="C23" i="21"/>
  <c r="AD22" i="21"/>
  <c r="J22" i="21" s="1"/>
  <c r="AB22" i="21"/>
  <c r="Y22" i="21"/>
  <c r="X22" i="21"/>
  <c r="P22" i="21"/>
  <c r="Q22" i="21" s="1"/>
  <c r="O22" i="21"/>
  <c r="M22" i="21"/>
  <c r="H22" i="21"/>
  <c r="C22" i="21"/>
  <c r="AD21" i="21"/>
  <c r="J21" i="21" s="1"/>
  <c r="AB21" i="21"/>
  <c r="Y21" i="21"/>
  <c r="X21" i="21"/>
  <c r="P21" i="21"/>
  <c r="O21" i="21"/>
  <c r="Q21" i="21" s="1"/>
  <c r="M21" i="21"/>
  <c r="H21" i="21"/>
  <c r="C21" i="21"/>
  <c r="AB20" i="21"/>
  <c r="AD20" i="21" s="1"/>
  <c r="Y20" i="21"/>
  <c r="X20" i="21"/>
  <c r="P20" i="21"/>
  <c r="O20" i="21"/>
  <c r="Q20" i="21" s="1"/>
  <c r="M20" i="21"/>
  <c r="J20" i="21"/>
  <c r="H20" i="21"/>
  <c r="C20" i="21"/>
  <c r="AB19" i="21"/>
  <c r="AD19" i="21" s="1"/>
  <c r="J19" i="21" s="1"/>
  <c r="Y19" i="21"/>
  <c r="X19" i="21"/>
  <c r="Q19" i="21"/>
  <c r="P19" i="21"/>
  <c r="O19" i="21"/>
  <c r="M19" i="21"/>
  <c r="H19" i="21"/>
  <c r="C19" i="21"/>
  <c r="AB18" i="21"/>
  <c r="AD18" i="21" s="1"/>
  <c r="J18" i="21" s="1"/>
  <c r="Y18" i="21"/>
  <c r="X18" i="21"/>
  <c r="Q18" i="21"/>
  <c r="P18" i="21"/>
  <c r="O18" i="21"/>
  <c r="M18" i="21"/>
  <c r="H18" i="21"/>
  <c r="C18" i="21"/>
  <c r="AD17" i="21"/>
  <c r="J17" i="21" s="1"/>
  <c r="K17" i="21" s="1"/>
  <c r="AB17" i="21"/>
  <c r="Y17" i="21"/>
  <c r="X17" i="21"/>
  <c r="Q17" i="21"/>
  <c r="P17" i="21"/>
  <c r="O17" i="21"/>
  <c r="M17" i="21"/>
  <c r="I17" i="21"/>
  <c r="H17" i="21"/>
  <c r="C17" i="21"/>
  <c r="AB16" i="21"/>
  <c r="AD16" i="21" s="1"/>
  <c r="J16" i="21" s="1"/>
  <c r="Y16" i="21"/>
  <c r="X16" i="21"/>
  <c r="P16" i="21"/>
  <c r="O16" i="21"/>
  <c r="Q16" i="21" s="1"/>
  <c r="M16" i="21"/>
  <c r="H16" i="21"/>
  <c r="C16" i="21"/>
  <c r="AD15" i="21"/>
  <c r="J15" i="21" s="1"/>
  <c r="I15" i="21" s="1"/>
  <c r="AB15" i="21"/>
  <c r="Y15" i="21"/>
  <c r="X15" i="21"/>
  <c r="P15" i="21"/>
  <c r="O15" i="21"/>
  <c r="Q15" i="21" s="1"/>
  <c r="M15" i="21"/>
  <c r="H15" i="21"/>
  <c r="C15" i="21"/>
  <c r="AD14" i="21"/>
  <c r="J14" i="21" s="1"/>
  <c r="AB14" i="21"/>
  <c r="Y14" i="21"/>
  <c r="X14" i="21"/>
  <c r="P14" i="21"/>
  <c r="Q14" i="21" s="1"/>
  <c r="O14" i="21"/>
  <c r="M14" i="21"/>
  <c r="H14" i="21"/>
  <c r="C14" i="21"/>
  <c r="AD13" i="21"/>
  <c r="J13" i="21" s="1"/>
  <c r="AB13" i="21"/>
  <c r="Y13" i="21"/>
  <c r="X13" i="21"/>
  <c r="P13" i="21"/>
  <c r="O13" i="21"/>
  <c r="Q13" i="21" s="1"/>
  <c r="M13" i="21"/>
  <c r="H13" i="21"/>
  <c r="C13" i="21"/>
  <c r="AB12" i="21"/>
  <c r="AD12" i="21" s="1"/>
  <c r="J12" i="21" s="1"/>
  <c r="Y12" i="21"/>
  <c r="X12" i="21"/>
  <c r="P12" i="21"/>
  <c r="O12" i="21"/>
  <c r="Q12" i="21" s="1"/>
  <c r="M12" i="21"/>
  <c r="H12" i="21"/>
  <c r="C12" i="21"/>
  <c r="AB11" i="21"/>
  <c r="AD11" i="21" s="1"/>
  <c r="J11" i="21" s="1"/>
  <c r="Y11" i="21"/>
  <c r="X11" i="21"/>
  <c r="Q11" i="21"/>
  <c r="P11" i="21"/>
  <c r="O11" i="21"/>
  <c r="M11" i="21"/>
  <c r="H11" i="21"/>
  <c r="C11" i="21"/>
  <c r="AB10" i="21"/>
  <c r="AD10" i="21" s="1"/>
  <c r="J10" i="21" s="1"/>
  <c r="Y10" i="21"/>
  <c r="X10" i="21"/>
  <c r="Q10" i="21"/>
  <c r="P10" i="21"/>
  <c r="O10" i="21"/>
  <c r="M10" i="21"/>
  <c r="H10" i="21"/>
  <c r="C10" i="21"/>
  <c r="AD9" i="21"/>
  <c r="J9" i="21" s="1"/>
  <c r="K9" i="21" s="1"/>
  <c r="AB9" i="21"/>
  <c r="Y9" i="21"/>
  <c r="X9" i="21"/>
  <c r="Q9" i="21"/>
  <c r="P9" i="21"/>
  <c r="O9" i="21"/>
  <c r="M9" i="21"/>
  <c r="I9" i="21"/>
  <c r="H9" i="21"/>
  <c r="C9" i="21"/>
  <c r="AB8" i="21"/>
  <c r="AD8" i="21" s="1"/>
  <c r="J8" i="21" s="1"/>
  <c r="Y8" i="21"/>
  <c r="X8" i="21"/>
  <c r="P8" i="21"/>
  <c r="O8" i="21"/>
  <c r="Q8" i="21" s="1"/>
  <c r="M8" i="21"/>
  <c r="H8" i="21"/>
  <c r="C8" i="21"/>
  <c r="AD7" i="21"/>
  <c r="J7" i="21" s="1"/>
  <c r="I7" i="21" s="1"/>
  <c r="AB7" i="21"/>
  <c r="Y7" i="21"/>
  <c r="X7" i="21"/>
  <c r="P7" i="21"/>
  <c r="O7" i="21"/>
  <c r="Q7" i="21" s="1"/>
  <c r="M7" i="21"/>
  <c r="K7" i="21"/>
  <c r="H7" i="21"/>
  <c r="C7" i="21"/>
  <c r="AD6" i="21"/>
  <c r="J6" i="21" s="1"/>
  <c r="AB6" i="21"/>
  <c r="Y6" i="21"/>
  <c r="X6" i="21"/>
  <c r="P6" i="21"/>
  <c r="Q6" i="21" s="1"/>
  <c r="O6" i="21"/>
  <c r="M6" i="21"/>
  <c r="H6" i="21"/>
  <c r="C6" i="21"/>
  <c r="AD5" i="21"/>
  <c r="J5" i="21" s="1"/>
  <c r="AB5" i="21"/>
  <c r="Y5" i="21"/>
  <c r="X5" i="21"/>
  <c r="P5" i="21"/>
  <c r="O5" i="21"/>
  <c r="Q5" i="21" s="1"/>
  <c r="M5" i="21"/>
  <c r="H5" i="21"/>
  <c r="C5" i="21"/>
  <c r="AB4" i="21"/>
  <c r="AD4" i="21" s="1"/>
  <c r="Y4" i="21"/>
  <c r="X4" i="21"/>
  <c r="P4" i="21"/>
  <c r="O4" i="21"/>
  <c r="Q4" i="21" s="1"/>
  <c r="M4" i="21"/>
  <c r="H4" i="21"/>
  <c r="C4" i="21"/>
  <c r="AG3" i="21"/>
  <c r="AF3" i="21"/>
  <c r="W3" i="21"/>
  <c r="X3" i="21" s="1"/>
  <c r="V3" i="21"/>
  <c r="U3" i="21"/>
  <c r="T3" i="21"/>
  <c r="O3" i="21"/>
  <c r="H3" i="21"/>
  <c r="G3" i="21"/>
  <c r="F3" i="21"/>
  <c r="D3" i="21"/>
  <c r="C3" i="21"/>
  <c r="A2" i="21"/>
  <c r="A1" i="21"/>
  <c r="AB32" i="20"/>
  <c r="AD32" i="20" s="1"/>
  <c r="J32" i="20" s="1"/>
  <c r="Y32" i="20"/>
  <c r="X32" i="20"/>
  <c r="V32" i="20"/>
  <c r="U32" i="20"/>
  <c r="T32" i="20"/>
  <c r="P32" i="20"/>
  <c r="O32" i="20"/>
  <c r="M32" i="20"/>
  <c r="H32" i="20"/>
  <c r="C32" i="20"/>
  <c r="AD31" i="20"/>
  <c r="J31" i="20" s="1"/>
  <c r="I31" i="20" s="1"/>
  <c r="AB31" i="20"/>
  <c r="Y31" i="20"/>
  <c r="X31" i="20"/>
  <c r="P31" i="20"/>
  <c r="Q31" i="20" s="1"/>
  <c r="O31" i="20"/>
  <c r="M31" i="20"/>
  <c r="H31" i="20"/>
  <c r="C31" i="20"/>
  <c r="AD30" i="20"/>
  <c r="J30" i="20" s="1"/>
  <c r="AB30" i="20"/>
  <c r="Y30" i="20"/>
  <c r="X30" i="20"/>
  <c r="P30" i="20"/>
  <c r="Q30" i="20" s="1"/>
  <c r="O30" i="20"/>
  <c r="M30" i="20"/>
  <c r="H30" i="20"/>
  <c r="C30" i="20"/>
  <c r="AD29" i="20"/>
  <c r="J29" i="20" s="1"/>
  <c r="AB29" i="20"/>
  <c r="Y29" i="20"/>
  <c r="X29" i="20"/>
  <c r="P29" i="20"/>
  <c r="O29" i="20"/>
  <c r="Q29" i="20" s="1"/>
  <c r="M29" i="20"/>
  <c r="H29" i="20"/>
  <c r="C29" i="20"/>
  <c r="AB28" i="20"/>
  <c r="AD28" i="20" s="1"/>
  <c r="Y28" i="20"/>
  <c r="X28" i="20"/>
  <c r="P28" i="20"/>
  <c r="O28" i="20"/>
  <c r="Q28" i="20" s="1"/>
  <c r="M28" i="20"/>
  <c r="J28" i="20"/>
  <c r="H28" i="20"/>
  <c r="C28" i="20"/>
  <c r="AB27" i="20"/>
  <c r="AD27" i="20" s="1"/>
  <c r="J27" i="20" s="1"/>
  <c r="Y27" i="20"/>
  <c r="X27" i="20"/>
  <c r="Q27" i="20"/>
  <c r="P27" i="20"/>
  <c r="O27" i="20"/>
  <c r="M27" i="20"/>
  <c r="H27" i="20"/>
  <c r="C27" i="20"/>
  <c r="AB26" i="20"/>
  <c r="AD26" i="20" s="1"/>
  <c r="J26" i="20" s="1"/>
  <c r="Y26" i="20"/>
  <c r="X26" i="20"/>
  <c r="Q26" i="20"/>
  <c r="P26" i="20"/>
  <c r="O26" i="20"/>
  <c r="M26" i="20"/>
  <c r="H26" i="20"/>
  <c r="C26" i="20"/>
  <c r="AD25" i="20"/>
  <c r="J25" i="20" s="1"/>
  <c r="K25" i="20" s="1"/>
  <c r="AB25" i="20"/>
  <c r="Y25" i="20"/>
  <c r="X25" i="20"/>
  <c r="Q25" i="20"/>
  <c r="P25" i="20"/>
  <c r="O25" i="20"/>
  <c r="M25" i="20"/>
  <c r="I25" i="20"/>
  <c r="H25" i="20"/>
  <c r="C25" i="20"/>
  <c r="AB24" i="20"/>
  <c r="AD24" i="20" s="1"/>
  <c r="J24" i="20" s="1"/>
  <c r="Y24" i="20"/>
  <c r="X24" i="20"/>
  <c r="P24" i="20"/>
  <c r="O24" i="20"/>
  <c r="M24" i="20"/>
  <c r="H24" i="20"/>
  <c r="C24" i="20"/>
  <c r="AD23" i="20"/>
  <c r="J23" i="20" s="1"/>
  <c r="I23" i="20" s="1"/>
  <c r="AB23" i="20"/>
  <c r="Y23" i="20"/>
  <c r="X23" i="20"/>
  <c r="P23" i="20"/>
  <c r="Q23" i="20" s="1"/>
  <c r="O23" i="20"/>
  <c r="M23" i="20"/>
  <c r="H23" i="20"/>
  <c r="C23" i="20"/>
  <c r="AD22" i="20"/>
  <c r="J22" i="20" s="1"/>
  <c r="AB22" i="20"/>
  <c r="Y22" i="20"/>
  <c r="X22" i="20"/>
  <c r="P22" i="20"/>
  <c r="Q22" i="20" s="1"/>
  <c r="O22" i="20"/>
  <c r="M22" i="20"/>
  <c r="H22" i="20"/>
  <c r="C22" i="20"/>
  <c r="AD21" i="20"/>
  <c r="J21" i="20" s="1"/>
  <c r="AB21" i="20"/>
  <c r="Y21" i="20"/>
  <c r="X21" i="20"/>
  <c r="P21" i="20"/>
  <c r="O21" i="20"/>
  <c r="Q21" i="20" s="1"/>
  <c r="M21" i="20"/>
  <c r="H21" i="20"/>
  <c r="C21" i="20"/>
  <c r="AB20" i="20"/>
  <c r="AD20" i="20" s="1"/>
  <c r="J20" i="20" s="1"/>
  <c r="Y20" i="20"/>
  <c r="X20" i="20"/>
  <c r="P20" i="20"/>
  <c r="O20" i="20"/>
  <c r="Q20" i="20" s="1"/>
  <c r="M20" i="20"/>
  <c r="H20" i="20"/>
  <c r="C20" i="20"/>
  <c r="AB19" i="20"/>
  <c r="AD19" i="20" s="1"/>
  <c r="J19" i="20" s="1"/>
  <c r="Y19" i="20"/>
  <c r="X19" i="20"/>
  <c r="Q19" i="20"/>
  <c r="P19" i="20"/>
  <c r="O19" i="20"/>
  <c r="M19" i="20"/>
  <c r="H19" i="20"/>
  <c r="C19" i="20"/>
  <c r="AB18" i="20"/>
  <c r="AD18" i="20" s="1"/>
  <c r="J18" i="20" s="1"/>
  <c r="Y18" i="20"/>
  <c r="X18" i="20"/>
  <c r="Q18" i="20"/>
  <c r="P18" i="20"/>
  <c r="O18" i="20"/>
  <c r="M18" i="20"/>
  <c r="H18" i="20"/>
  <c r="C18" i="20"/>
  <c r="AD17" i="20"/>
  <c r="J17" i="20" s="1"/>
  <c r="K17" i="20" s="1"/>
  <c r="AB17" i="20"/>
  <c r="Y17" i="20"/>
  <c r="X17" i="20"/>
  <c r="Q17" i="20"/>
  <c r="P17" i="20"/>
  <c r="O17" i="20"/>
  <c r="M17" i="20"/>
  <c r="I17" i="20"/>
  <c r="H17" i="20"/>
  <c r="C17" i="20"/>
  <c r="AB16" i="20"/>
  <c r="AD16" i="20" s="1"/>
  <c r="J16" i="20" s="1"/>
  <c r="Y16" i="20"/>
  <c r="X16" i="20"/>
  <c r="P16" i="20"/>
  <c r="O16" i="20"/>
  <c r="Q16" i="20" s="1"/>
  <c r="M16" i="20"/>
  <c r="H16" i="20"/>
  <c r="C16" i="20"/>
  <c r="AD15" i="20"/>
  <c r="J15" i="20" s="1"/>
  <c r="I15" i="20" s="1"/>
  <c r="AB15" i="20"/>
  <c r="Y15" i="20"/>
  <c r="X15" i="20"/>
  <c r="P15" i="20"/>
  <c r="Q15" i="20" s="1"/>
  <c r="O15" i="20"/>
  <c r="M15" i="20"/>
  <c r="K15" i="20"/>
  <c r="H15" i="20"/>
  <c r="C15" i="20"/>
  <c r="AD14" i="20"/>
  <c r="J14" i="20" s="1"/>
  <c r="AB14" i="20"/>
  <c r="Y14" i="20"/>
  <c r="X14" i="20"/>
  <c r="P14" i="20"/>
  <c r="Q14" i="20" s="1"/>
  <c r="O14" i="20"/>
  <c r="M14" i="20"/>
  <c r="H14" i="20"/>
  <c r="C14" i="20"/>
  <c r="AD13" i="20"/>
  <c r="J13" i="20" s="1"/>
  <c r="AB13" i="20"/>
  <c r="Y13" i="20"/>
  <c r="X13" i="20"/>
  <c r="P13" i="20"/>
  <c r="O13" i="20"/>
  <c r="Q13" i="20" s="1"/>
  <c r="M13" i="20"/>
  <c r="H13" i="20"/>
  <c r="C13" i="20"/>
  <c r="AB12" i="20"/>
  <c r="AD12" i="20" s="1"/>
  <c r="J12" i="20" s="1"/>
  <c r="Y12" i="20"/>
  <c r="X12" i="20"/>
  <c r="P12" i="20"/>
  <c r="O12" i="20"/>
  <c r="Q12" i="20" s="1"/>
  <c r="M12" i="20"/>
  <c r="H12" i="20"/>
  <c r="C12" i="20"/>
  <c r="AB11" i="20"/>
  <c r="AD11" i="20" s="1"/>
  <c r="J11" i="20" s="1"/>
  <c r="Y11" i="20"/>
  <c r="X11" i="20"/>
  <c r="Q11" i="20"/>
  <c r="P11" i="20"/>
  <c r="O11" i="20"/>
  <c r="M11" i="20"/>
  <c r="H11" i="20"/>
  <c r="C11" i="20"/>
  <c r="AB10" i="20"/>
  <c r="AD10" i="20" s="1"/>
  <c r="J10" i="20" s="1"/>
  <c r="Y10" i="20"/>
  <c r="X10" i="20"/>
  <c r="Q10" i="20"/>
  <c r="P10" i="20"/>
  <c r="O10" i="20"/>
  <c r="M10" i="20"/>
  <c r="H10" i="20"/>
  <c r="C10" i="20"/>
  <c r="AD9" i="20"/>
  <c r="J9" i="20" s="1"/>
  <c r="K9" i="20" s="1"/>
  <c r="AB9" i="20"/>
  <c r="Y9" i="20"/>
  <c r="X9" i="20"/>
  <c r="Q9" i="20"/>
  <c r="P9" i="20"/>
  <c r="O9" i="20"/>
  <c r="M9" i="20"/>
  <c r="I9" i="20"/>
  <c r="H9" i="20"/>
  <c r="C9" i="20"/>
  <c r="AB8" i="20"/>
  <c r="AD8" i="20" s="1"/>
  <c r="J8" i="20" s="1"/>
  <c r="Y8" i="20"/>
  <c r="X8" i="20"/>
  <c r="P8" i="20"/>
  <c r="O8" i="20"/>
  <c r="Q8" i="20" s="1"/>
  <c r="M8" i="20"/>
  <c r="H8" i="20"/>
  <c r="C8" i="20"/>
  <c r="AD7" i="20"/>
  <c r="J7" i="20" s="1"/>
  <c r="I7" i="20" s="1"/>
  <c r="AB7" i="20"/>
  <c r="Y7" i="20"/>
  <c r="X7" i="20"/>
  <c r="P7" i="20"/>
  <c r="Q7" i="20" s="1"/>
  <c r="O7" i="20"/>
  <c r="M7" i="20"/>
  <c r="K7" i="20"/>
  <c r="H7" i="20"/>
  <c r="C7" i="20"/>
  <c r="AD6" i="20"/>
  <c r="J6" i="20" s="1"/>
  <c r="AB6" i="20"/>
  <c r="Y6" i="20"/>
  <c r="X6" i="20"/>
  <c r="P6" i="20"/>
  <c r="Q6" i="20" s="1"/>
  <c r="O6" i="20"/>
  <c r="M6" i="20"/>
  <c r="H6" i="20"/>
  <c r="C6" i="20"/>
  <c r="AD5" i="20"/>
  <c r="J5" i="20" s="1"/>
  <c r="AB5" i="20"/>
  <c r="Y5" i="20"/>
  <c r="X5" i="20"/>
  <c r="P5" i="20"/>
  <c r="O5" i="20"/>
  <c r="Q5" i="20" s="1"/>
  <c r="M5" i="20"/>
  <c r="H5" i="20"/>
  <c r="C5" i="20"/>
  <c r="AB4" i="20"/>
  <c r="AD4" i="20" s="1"/>
  <c r="Y4" i="20"/>
  <c r="X4" i="20"/>
  <c r="P4" i="20"/>
  <c r="O4" i="20"/>
  <c r="Q4" i="20" s="1"/>
  <c r="M4" i="20"/>
  <c r="J4" i="20"/>
  <c r="H4" i="20"/>
  <c r="C4" i="20"/>
  <c r="AG3" i="20"/>
  <c r="AF3" i="20"/>
  <c r="W3" i="20"/>
  <c r="X3" i="20" s="1"/>
  <c r="V3" i="20"/>
  <c r="U3" i="20"/>
  <c r="T3" i="20"/>
  <c r="O3" i="20"/>
  <c r="H3" i="20"/>
  <c r="G3" i="20"/>
  <c r="F3" i="20"/>
  <c r="D3" i="20"/>
  <c r="C3" i="20"/>
  <c r="A2" i="20"/>
  <c r="A1" i="20"/>
  <c r="AB32" i="19"/>
  <c r="AD32" i="19" s="1"/>
  <c r="J32" i="19" s="1"/>
  <c r="Y32" i="19"/>
  <c r="X32" i="19"/>
  <c r="V32" i="19"/>
  <c r="U32" i="19"/>
  <c r="T32" i="19"/>
  <c r="P32" i="19"/>
  <c r="O32" i="19"/>
  <c r="M32" i="19"/>
  <c r="H32" i="19"/>
  <c r="C32" i="19"/>
  <c r="AD31" i="19"/>
  <c r="J31" i="19" s="1"/>
  <c r="AB31" i="19"/>
  <c r="Y31" i="19"/>
  <c r="X31" i="19"/>
  <c r="P31" i="19"/>
  <c r="Q31" i="19" s="1"/>
  <c r="O31" i="19"/>
  <c r="M31" i="19"/>
  <c r="H31" i="19"/>
  <c r="C31" i="19"/>
  <c r="AD30" i="19"/>
  <c r="J30" i="19" s="1"/>
  <c r="AB30" i="19"/>
  <c r="Y30" i="19"/>
  <c r="X30" i="19"/>
  <c r="P30" i="19"/>
  <c r="Q30" i="19" s="1"/>
  <c r="O30" i="19"/>
  <c r="M30" i="19"/>
  <c r="H30" i="19"/>
  <c r="C30" i="19"/>
  <c r="AD29" i="19"/>
  <c r="J29" i="19" s="1"/>
  <c r="AB29" i="19"/>
  <c r="Y29" i="19"/>
  <c r="X29" i="19"/>
  <c r="P29" i="19"/>
  <c r="O29" i="19"/>
  <c r="Q29" i="19" s="1"/>
  <c r="M29" i="19"/>
  <c r="H29" i="19"/>
  <c r="C29" i="19"/>
  <c r="AB28" i="19"/>
  <c r="AD28" i="19" s="1"/>
  <c r="J28" i="19" s="1"/>
  <c r="Y28" i="19"/>
  <c r="X28" i="19"/>
  <c r="P28" i="19"/>
  <c r="O28" i="19"/>
  <c r="Q28" i="19" s="1"/>
  <c r="M28" i="19"/>
  <c r="H28" i="19"/>
  <c r="C28" i="19"/>
  <c r="AB27" i="19"/>
  <c r="AD27" i="19" s="1"/>
  <c r="J27" i="19" s="1"/>
  <c r="Y27" i="19"/>
  <c r="X27" i="19"/>
  <c r="Q27" i="19"/>
  <c r="P27" i="19"/>
  <c r="O27" i="19"/>
  <c r="M27" i="19"/>
  <c r="H27" i="19"/>
  <c r="C27" i="19"/>
  <c r="AB26" i="19"/>
  <c r="AD26" i="19" s="1"/>
  <c r="J26" i="19" s="1"/>
  <c r="Y26" i="19"/>
  <c r="X26" i="19"/>
  <c r="Q26" i="19"/>
  <c r="P26" i="19"/>
  <c r="O26" i="19"/>
  <c r="M26" i="19"/>
  <c r="H26" i="19"/>
  <c r="C26" i="19"/>
  <c r="AD25" i="19"/>
  <c r="J25" i="19" s="1"/>
  <c r="K25" i="19" s="1"/>
  <c r="AB25" i="19"/>
  <c r="Y25" i="19"/>
  <c r="X25" i="19"/>
  <c r="Q25" i="19"/>
  <c r="P25" i="19"/>
  <c r="O25" i="19"/>
  <c r="M25" i="19"/>
  <c r="I25" i="19"/>
  <c r="H25" i="19"/>
  <c r="C25" i="19"/>
  <c r="AB24" i="19"/>
  <c r="AD24" i="19" s="1"/>
  <c r="J24" i="19" s="1"/>
  <c r="Y24" i="19"/>
  <c r="X24" i="19"/>
  <c r="P24" i="19"/>
  <c r="O24" i="19"/>
  <c r="Q24" i="19" s="1"/>
  <c r="M24" i="19"/>
  <c r="H24" i="19"/>
  <c r="C24" i="19"/>
  <c r="AD23" i="19"/>
  <c r="J23" i="19" s="1"/>
  <c r="I23" i="19" s="1"/>
  <c r="AB23" i="19"/>
  <c r="Y23" i="19"/>
  <c r="X23" i="19"/>
  <c r="P23" i="19"/>
  <c r="Q23" i="19" s="1"/>
  <c r="O23" i="19"/>
  <c r="M23" i="19"/>
  <c r="H23" i="19"/>
  <c r="C23" i="19"/>
  <c r="AD22" i="19"/>
  <c r="J22" i="19" s="1"/>
  <c r="AB22" i="19"/>
  <c r="Y22" i="19"/>
  <c r="X22" i="19"/>
  <c r="P22" i="19"/>
  <c r="Q22" i="19" s="1"/>
  <c r="O22" i="19"/>
  <c r="M22" i="19"/>
  <c r="H22" i="19"/>
  <c r="C22" i="19"/>
  <c r="AD21" i="19"/>
  <c r="J21" i="19" s="1"/>
  <c r="AB21" i="19"/>
  <c r="Y21" i="19"/>
  <c r="X21" i="19"/>
  <c r="P21" i="19"/>
  <c r="O21" i="19"/>
  <c r="Q21" i="19" s="1"/>
  <c r="M21" i="19"/>
  <c r="H21" i="19"/>
  <c r="C21" i="19"/>
  <c r="AB20" i="19"/>
  <c r="AD20" i="19" s="1"/>
  <c r="J20" i="19" s="1"/>
  <c r="Y20" i="19"/>
  <c r="X20" i="19"/>
  <c r="P20" i="19"/>
  <c r="O20" i="19"/>
  <c r="Q20" i="19" s="1"/>
  <c r="M20" i="19"/>
  <c r="H20" i="19"/>
  <c r="C20" i="19"/>
  <c r="AB19" i="19"/>
  <c r="AD19" i="19" s="1"/>
  <c r="J19" i="19" s="1"/>
  <c r="Y19" i="19"/>
  <c r="X19" i="19"/>
  <c r="Q19" i="19"/>
  <c r="P19" i="19"/>
  <c r="O19" i="19"/>
  <c r="M19" i="19"/>
  <c r="H19" i="19"/>
  <c r="C19" i="19"/>
  <c r="AB18" i="19"/>
  <c r="AD18" i="19" s="1"/>
  <c r="J18" i="19" s="1"/>
  <c r="Y18" i="19"/>
  <c r="X18" i="19"/>
  <c r="Q18" i="19"/>
  <c r="P18" i="19"/>
  <c r="O18" i="19"/>
  <c r="M18" i="19"/>
  <c r="H18" i="19"/>
  <c r="C18" i="19"/>
  <c r="AD17" i="19"/>
  <c r="J17" i="19" s="1"/>
  <c r="K17" i="19" s="1"/>
  <c r="AB17" i="19"/>
  <c r="Y17" i="19"/>
  <c r="X17" i="19"/>
  <c r="Q17" i="19"/>
  <c r="P17" i="19"/>
  <c r="O17" i="19"/>
  <c r="M17" i="19"/>
  <c r="I17" i="19"/>
  <c r="H17" i="19"/>
  <c r="C17" i="19"/>
  <c r="AB16" i="19"/>
  <c r="AD16" i="19" s="1"/>
  <c r="J16" i="19" s="1"/>
  <c r="Y16" i="19"/>
  <c r="X16" i="19"/>
  <c r="P16" i="19"/>
  <c r="O16" i="19"/>
  <c r="Q16" i="19" s="1"/>
  <c r="M16" i="19"/>
  <c r="H16" i="19"/>
  <c r="C16" i="19"/>
  <c r="AD15" i="19"/>
  <c r="J15" i="19" s="1"/>
  <c r="I15" i="19" s="1"/>
  <c r="AB15" i="19"/>
  <c r="Y15" i="19"/>
  <c r="X15" i="19"/>
  <c r="P15" i="19"/>
  <c r="Q15" i="19" s="1"/>
  <c r="O15" i="19"/>
  <c r="M15" i="19"/>
  <c r="K15" i="19"/>
  <c r="H15" i="19"/>
  <c r="C15" i="19"/>
  <c r="AD14" i="19"/>
  <c r="J14" i="19" s="1"/>
  <c r="AB14" i="19"/>
  <c r="Y14" i="19"/>
  <c r="X14" i="19"/>
  <c r="P14" i="19"/>
  <c r="Q14" i="19" s="1"/>
  <c r="O14" i="19"/>
  <c r="M14" i="19"/>
  <c r="H14" i="19"/>
  <c r="C14" i="19"/>
  <c r="AD13" i="19"/>
  <c r="J13" i="19" s="1"/>
  <c r="I13" i="19" s="1"/>
  <c r="AB13" i="19"/>
  <c r="Y13" i="19"/>
  <c r="X13" i="19"/>
  <c r="P13" i="19"/>
  <c r="O13" i="19"/>
  <c r="Q13" i="19" s="1"/>
  <c r="M13" i="19"/>
  <c r="K13" i="19"/>
  <c r="H13" i="19"/>
  <c r="C13" i="19"/>
  <c r="AB12" i="19"/>
  <c r="AD12" i="19" s="1"/>
  <c r="J12" i="19" s="1"/>
  <c r="Y12" i="19"/>
  <c r="X12" i="19"/>
  <c r="P12" i="19"/>
  <c r="O12" i="19"/>
  <c r="Q12" i="19" s="1"/>
  <c r="M12" i="19"/>
  <c r="H12" i="19"/>
  <c r="C12" i="19"/>
  <c r="AB11" i="19"/>
  <c r="AD11" i="19" s="1"/>
  <c r="J11" i="19" s="1"/>
  <c r="Y11" i="19"/>
  <c r="X11" i="19"/>
  <c r="Q11" i="19"/>
  <c r="P11" i="19"/>
  <c r="O11" i="19"/>
  <c r="M11" i="19"/>
  <c r="H11" i="19"/>
  <c r="C11" i="19"/>
  <c r="AB10" i="19"/>
  <c r="AD10" i="19" s="1"/>
  <c r="J10" i="19" s="1"/>
  <c r="Y10" i="19"/>
  <c r="X10" i="19"/>
  <c r="Q10" i="19"/>
  <c r="P10" i="19"/>
  <c r="O10" i="19"/>
  <c r="M10" i="19"/>
  <c r="H10" i="19"/>
  <c r="C10" i="19"/>
  <c r="AD9" i="19"/>
  <c r="J9" i="19" s="1"/>
  <c r="K9" i="19" s="1"/>
  <c r="AB9" i="19"/>
  <c r="Y9" i="19"/>
  <c r="X9" i="19"/>
  <c r="Q9" i="19"/>
  <c r="P9" i="19"/>
  <c r="O9" i="19"/>
  <c r="M9" i="19"/>
  <c r="I9" i="19"/>
  <c r="H9" i="19"/>
  <c r="C9" i="19"/>
  <c r="AB8" i="19"/>
  <c r="AD8" i="19" s="1"/>
  <c r="J8" i="19" s="1"/>
  <c r="Y8" i="19"/>
  <c r="X8" i="19"/>
  <c r="P8" i="19"/>
  <c r="O8" i="19"/>
  <c r="M8" i="19"/>
  <c r="H8" i="19"/>
  <c r="C8" i="19"/>
  <c r="AD7" i="19"/>
  <c r="J7" i="19" s="1"/>
  <c r="K7" i="19" s="1"/>
  <c r="AB7" i="19"/>
  <c r="Y7" i="19"/>
  <c r="X7" i="19"/>
  <c r="P7" i="19"/>
  <c r="Q7" i="19" s="1"/>
  <c r="O7" i="19"/>
  <c r="M7" i="19"/>
  <c r="I7" i="19"/>
  <c r="H7" i="19"/>
  <c r="C7" i="19"/>
  <c r="AD6" i="19"/>
  <c r="J6" i="19" s="1"/>
  <c r="AB6" i="19"/>
  <c r="Y6" i="19"/>
  <c r="X6" i="19"/>
  <c r="P6" i="19"/>
  <c r="Q6" i="19" s="1"/>
  <c r="O6" i="19"/>
  <c r="M6" i="19"/>
  <c r="H6" i="19"/>
  <c r="C6" i="19"/>
  <c r="AD5" i="19"/>
  <c r="J5" i="19" s="1"/>
  <c r="I5" i="19" s="1"/>
  <c r="AB5" i="19"/>
  <c r="Y5" i="19"/>
  <c r="X5" i="19"/>
  <c r="P5" i="19"/>
  <c r="O5" i="19"/>
  <c r="Q5" i="19" s="1"/>
  <c r="M5" i="19"/>
  <c r="K5" i="19"/>
  <c r="H5" i="19"/>
  <c r="C5" i="19"/>
  <c r="AB4" i="19"/>
  <c r="AD4" i="19" s="1"/>
  <c r="Y4" i="19"/>
  <c r="X4" i="19"/>
  <c r="P4" i="19"/>
  <c r="O4" i="19"/>
  <c r="Q4" i="19" s="1"/>
  <c r="M4" i="19"/>
  <c r="H4" i="19"/>
  <c r="C4" i="19"/>
  <c r="AG3" i="19"/>
  <c r="AF3" i="19"/>
  <c r="W3" i="19"/>
  <c r="X3" i="19" s="1"/>
  <c r="V3" i="19"/>
  <c r="U3" i="19"/>
  <c r="T3" i="19"/>
  <c r="O3" i="19"/>
  <c r="G3" i="19"/>
  <c r="F3" i="19"/>
  <c r="H3" i="19" s="1"/>
  <c r="D3" i="19"/>
  <c r="C3" i="19"/>
  <c r="A2" i="19"/>
  <c r="A1" i="19"/>
  <c r="AB32" i="18"/>
  <c r="AD32" i="18" s="1"/>
  <c r="J32" i="18" s="1"/>
  <c r="Y32" i="18"/>
  <c r="X32" i="18"/>
  <c r="V32" i="18"/>
  <c r="U32" i="18"/>
  <c r="T32" i="18"/>
  <c r="P32" i="18"/>
  <c r="O32" i="18"/>
  <c r="Q32" i="18" s="1"/>
  <c r="M32" i="18"/>
  <c r="H32" i="18"/>
  <c r="C32" i="18"/>
  <c r="AD31" i="18"/>
  <c r="J31" i="18" s="1"/>
  <c r="AB31" i="18"/>
  <c r="Y31" i="18"/>
  <c r="X31" i="18"/>
  <c r="P31" i="18"/>
  <c r="Q31" i="18" s="1"/>
  <c r="O31" i="18"/>
  <c r="M31" i="18"/>
  <c r="K31" i="18"/>
  <c r="I31" i="18"/>
  <c r="H31" i="18"/>
  <c r="C31" i="18"/>
  <c r="AD30" i="18"/>
  <c r="J30" i="18" s="1"/>
  <c r="AB30" i="18"/>
  <c r="Y30" i="18"/>
  <c r="X30" i="18"/>
  <c r="P30" i="18"/>
  <c r="Q30" i="18" s="1"/>
  <c r="O30" i="18"/>
  <c r="M30" i="18"/>
  <c r="H30" i="18"/>
  <c r="C30" i="18"/>
  <c r="AD29" i="18"/>
  <c r="J29" i="18" s="1"/>
  <c r="I29" i="18" s="1"/>
  <c r="AB29" i="18"/>
  <c r="Y29" i="18"/>
  <c r="X29" i="18"/>
  <c r="P29" i="18"/>
  <c r="O29" i="18"/>
  <c r="Q29" i="18" s="1"/>
  <c r="M29" i="18"/>
  <c r="H29" i="18"/>
  <c r="C29" i="18"/>
  <c r="AB28" i="18"/>
  <c r="AD28" i="18" s="1"/>
  <c r="Y28" i="18"/>
  <c r="X28" i="18"/>
  <c r="P28" i="18"/>
  <c r="O28" i="18"/>
  <c r="Q28" i="18" s="1"/>
  <c r="M28" i="18"/>
  <c r="J28" i="18"/>
  <c r="H28" i="18"/>
  <c r="C28" i="18"/>
  <c r="AB27" i="18"/>
  <c r="AD27" i="18" s="1"/>
  <c r="J27" i="18" s="1"/>
  <c r="Y27" i="18"/>
  <c r="X27" i="18"/>
  <c r="Q27" i="18"/>
  <c r="P27" i="18"/>
  <c r="O27" i="18"/>
  <c r="M27" i="18"/>
  <c r="H27" i="18"/>
  <c r="C27" i="18"/>
  <c r="AB26" i="18"/>
  <c r="AD26" i="18" s="1"/>
  <c r="Y26" i="18"/>
  <c r="X26" i="18"/>
  <c r="Q26" i="18"/>
  <c r="P26" i="18"/>
  <c r="O26" i="18"/>
  <c r="M26" i="18"/>
  <c r="J26" i="18"/>
  <c r="H26" i="18"/>
  <c r="C26" i="18"/>
  <c r="AD25" i="18"/>
  <c r="J25" i="18" s="1"/>
  <c r="K25" i="18" s="1"/>
  <c r="AB25" i="18"/>
  <c r="Y25" i="18"/>
  <c r="X25" i="18"/>
  <c r="Q25" i="18"/>
  <c r="P25" i="18"/>
  <c r="O25" i="18"/>
  <c r="M25" i="18"/>
  <c r="I25" i="18"/>
  <c r="H25" i="18"/>
  <c r="C25" i="18"/>
  <c r="AB24" i="18"/>
  <c r="AD24" i="18" s="1"/>
  <c r="J24" i="18" s="1"/>
  <c r="Y24" i="18"/>
  <c r="X24" i="18"/>
  <c r="P24" i="18"/>
  <c r="O24" i="18"/>
  <c r="M24" i="18"/>
  <c r="H24" i="18"/>
  <c r="C24" i="18"/>
  <c r="AD23" i="18"/>
  <c r="J23" i="18" s="1"/>
  <c r="K23" i="18" s="1"/>
  <c r="AB23" i="18"/>
  <c r="Y23" i="18"/>
  <c r="X23" i="18"/>
  <c r="P23" i="18"/>
  <c r="Q23" i="18" s="1"/>
  <c r="O23" i="18"/>
  <c r="M23" i="18"/>
  <c r="I23" i="18"/>
  <c r="H23" i="18"/>
  <c r="C23" i="18"/>
  <c r="AD22" i="18"/>
  <c r="J22" i="18" s="1"/>
  <c r="AB22" i="18"/>
  <c r="Y22" i="18"/>
  <c r="X22" i="18"/>
  <c r="P22" i="18"/>
  <c r="Q22" i="18" s="1"/>
  <c r="O22" i="18"/>
  <c r="M22" i="18"/>
  <c r="H22" i="18"/>
  <c r="C22" i="18"/>
  <c r="AD21" i="18"/>
  <c r="J21" i="18" s="1"/>
  <c r="I21" i="18" s="1"/>
  <c r="AB21" i="18"/>
  <c r="Y21" i="18"/>
  <c r="X21" i="18"/>
  <c r="P21" i="18"/>
  <c r="O21" i="18"/>
  <c r="Q21" i="18" s="1"/>
  <c r="M21" i="18"/>
  <c r="K21" i="18"/>
  <c r="H21" i="18"/>
  <c r="C21" i="18"/>
  <c r="AB20" i="18"/>
  <c r="AD20" i="18" s="1"/>
  <c r="Y20" i="18"/>
  <c r="X20" i="18"/>
  <c r="P20" i="18"/>
  <c r="O20" i="18"/>
  <c r="Q20" i="18" s="1"/>
  <c r="M20" i="18"/>
  <c r="J20" i="18"/>
  <c r="H20" i="18"/>
  <c r="C20" i="18"/>
  <c r="AB19" i="18"/>
  <c r="AD19" i="18" s="1"/>
  <c r="J19" i="18" s="1"/>
  <c r="Y19" i="18"/>
  <c r="X19" i="18"/>
  <c r="Q19" i="18"/>
  <c r="P19" i="18"/>
  <c r="O19" i="18"/>
  <c r="M19" i="18"/>
  <c r="H19" i="18"/>
  <c r="C19" i="18"/>
  <c r="AB18" i="18"/>
  <c r="AD18" i="18" s="1"/>
  <c r="J18" i="18" s="1"/>
  <c r="Y18" i="18"/>
  <c r="X18" i="18"/>
  <c r="Q18" i="18"/>
  <c r="P18" i="18"/>
  <c r="O18" i="18"/>
  <c r="M18" i="18"/>
  <c r="H18" i="18"/>
  <c r="C18" i="18"/>
  <c r="AD17" i="18"/>
  <c r="J17" i="18" s="1"/>
  <c r="K17" i="18" s="1"/>
  <c r="AB17" i="18"/>
  <c r="Y17" i="18"/>
  <c r="X17" i="18"/>
  <c r="Q17" i="18"/>
  <c r="P17" i="18"/>
  <c r="O17" i="18"/>
  <c r="M17" i="18"/>
  <c r="I17" i="18"/>
  <c r="H17" i="18"/>
  <c r="C17" i="18"/>
  <c r="AB16" i="18"/>
  <c r="AD16" i="18" s="1"/>
  <c r="J16" i="18" s="1"/>
  <c r="Y16" i="18"/>
  <c r="X16" i="18"/>
  <c r="P16" i="18"/>
  <c r="O16" i="18"/>
  <c r="M16" i="18"/>
  <c r="H16" i="18"/>
  <c r="C16" i="18"/>
  <c r="AD15" i="18"/>
  <c r="J15" i="18" s="1"/>
  <c r="K15" i="18" s="1"/>
  <c r="AB15" i="18"/>
  <c r="Y15" i="18"/>
  <c r="X15" i="18"/>
  <c r="P15" i="18"/>
  <c r="Q15" i="18" s="1"/>
  <c r="O15" i="18"/>
  <c r="M15" i="18"/>
  <c r="I15" i="18"/>
  <c r="H15" i="18"/>
  <c r="C15" i="18"/>
  <c r="AD14" i="18"/>
  <c r="J14" i="18" s="1"/>
  <c r="AB14" i="18"/>
  <c r="Y14" i="18"/>
  <c r="X14" i="18"/>
  <c r="P14" i="18"/>
  <c r="Q14" i="18" s="1"/>
  <c r="O14" i="18"/>
  <c r="M14" i="18"/>
  <c r="H14" i="18"/>
  <c r="C14" i="18"/>
  <c r="AD13" i="18"/>
  <c r="J13" i="18" s="1"/>
  <c r="I13" i="18" s="1"/>
  <c r="AB13" i="18"/>
  <c r="Y13" i="18"/>
  <c r="X13" i="18"/>
  <c r="P13" i="18"/>
  <c r="O13" i="18"/>
  <c r="Q13" i="18" s="1"/>
  <c r="M13" i="18"/>
  <c r="K13" i="18"/>
  <c r="H13" i="18"/>
  <c r="C13" i="18"/>
  <c r="AB12" i="18"/>
  <c r="AD12" i="18" s="1"/>
  <c r="J12" i="18" s="1"/>
  <c r="Y12" i="18"/>
  <c r="X12" i="18"/>
  <c r="P12" i="18"/>
  <c r="O12" i="18"/>
  <c r="Q12" i="18" s="1"/>
  <c r="M12" i="18"/>
  <c r="H12" i="18"/>
  <c r="C12" i="18"/>
  <c r="AB11" i="18"/>
  <c r="AD11" i="18" s="1"/>
  <c r="J11" i="18" s="1"/>
  <c r="Y11" i="18"/>
  <c r="X11" i="18"/>
  <c r="Q11" i="18"/>
  <c r="P11" i="18"/>
  <c r="O11" i="18"/>
  <c r="M11" i="18"/>
  <c r="H11" i="18"/>
  <c r="C11" i="18"/>
  <c r="AB10" i="18"/>
  <c r="AD10" i="18" s="1"/>
  <c r="J10" i="18" s="1"/>
  <c r="Y10" i="18"/>
  <c r="X10" i="18"/>
  <c r="Q10" i="18"/>
  <c r="P10" i="18"/>
  <c r="O10" i="18"/>
  <c r="M10" i="18"/>
  <c r="H10" i="18"/>
  <c r="C10" i="18"/>
  <c r="AD9" i="18"/>
  <c r="J9" i="18" s="1"/>
  <c r="K9" i="18" s="1"/>
  <c r="AB9" i="18"/>
  <c r="Y9" i="18"/>
  <c r="X9" i="18"/>
  <c r="Q9" i="18"/>
  <c r="P9" i="18"/>
  <c r="O9" i="18"/>
  <c r="M9" i="18"/>
  <c r="I9" i="18"/>
  <c r="H9" i="18"/>
  <c r="C9" i="18"/>
  <c r="AB8" i="18"/>
  <c r="AD8" i="18" s="1"/>
  <c r="J8" i="18" s="1"/>
  <c r="Y8" i="18"/>
  <c r="X8" i="18"/>
  <c r="P8" i="18"/>
  <c r="O8" i="18"/>
  <c r="M8" i="18"/>
  <c r="H8" i="18"/>
  <c r="C8" i="18"/>
  <c r="AD7" i="18"/>
  <c r="J7" i="18" s="1"/>
  <c r="AB7" i="18"/>
  <c r="Y7" i="18"/>
  <c r="X7" i="18"/>
  <c r="P7" i="18"/>
  <c r="Q7" i="18" s="1"/>
  <c r="O7" i="18"/>
  <c r="M7" i="18"/>
  <c r="H7" i="18"/>
  <c r="C7" i="18"/>
  <c r="AD6" i="18"/>
  <c r="J6" i="18" s="1"/>
  <c r="AB6" i="18"/>
  <c r="Y6" i="18"/>
  <c r="X6" i="18"/>
  <c r="Q6" i="18"/>
  <c r="P6" i="18"/>
  <c r="O6" i="18"/>
  <c r="M6" i="18"/>
  <c r="H6" i="18"/>
  <c r="C6" i="18"/>
  <c r="AD5" i="18"/>
  <c r="J5" i="18" s="1"/>
  <c r="I5" i="18" s="1"/>
  <c r="AB5" i="18"/>
  <c r="Y5" i="18"/>
  <c r="X5" i="18"/>
  <c r="P5" i="18"/>
  <c r="O5" i="18"/>
  <c r="Q5" i="18" s="1"/>
  <c r="M5" i="18"/>
  <c r="H5" i="18"/>
  <c r="C5" i="18"/>
  <c r="AB4" i="18"/>
  <c r="AD4" i="18" s="1"/>
  <c r="Y4" i="18"/>
  <c r="X4" i="18"/>
  <c r="P4" i="18"/>
  <c r="O4" i="18"/>
  <c r="Q4" i="18" s="1"/>
  <c r="M4" i="18"/>
  <c r="H4" i="18"/>
  <c r="C4" i="18"/>
  <c r="AG3" i="18"/>
  <c r="AF3" i="18"/>
  <c r="W3" i="18"/>
  <c r="X3" i="18" s="1"/>
  <c r="V3" i="18"/>
  <c r="U3" i="18"/>
  <c r="T3" i="18"/>
  <c r="O3" i="18"/>
  <c r="G3" i="18"/>
  <c r="H3" i="18" s="1"/>
  <c r="F3" i="18"/>
  <c r="D3" i="18"/>
  <c r="C3" i="18"/>
  <c r="A2" i="18"/>
  <c r="A1" i="18"/>
  <c r="AB32" i="17"/>
  <c r="AD32" i="17" s="1"/>
  <c r="J32" i="17" s="1"/>
  <c r="Y32" i="17"/>
  <c r="X32" i="17"/>
  <c r="V32" i="17"/>
  <c r="U32" i="17"/>
  <c r="T32" i="17"/>
  <c r="P32" i="17"/>
  <c r="O32" i="17"/>
  <c r="Q32" i="17" s="1"/>
  <c r="M32" i="17"/>
  <c r="H32" i="17"/>
  <c r="C32" i="17"/>
  <c r="AB31" i="17"/>
  <c r="AD31" i="17" s="1"/>
  <c r="J31" i="17" s="1"/>
  <c r="Y31" i="17"/>
  <c r="X31" i="17"/>
  <c r="P31" i="17"/>
  <c r="Q31" i="17" s="1"/>
  <c r="O31" i="17"/>
  <c r="M31" i="17"/>
  <c r="H31" i="17"/>
  <c r="C31" i="17"/>
  <c r="AD30" i="17"/>
  <c r="J30" i="17" s="1"/>
  <c r="AB30" i="17"/>
  <c r="Y30" i="17"/>
  <c r="X30" i="17"/>
  <c r="P30" i="17"/>
  <c r="Q30" i="17" s="1"/>
  <c r="O30" i="17"/>
  <c r="M30" i="17"/>
  <c r="H30" i="17"/>
  <c r="C30" i="17"/>
  <c r="AD29" i="17"/>
  <c r="J29" i="17" s="1"/>
  <c r="I29" i="17" s="1"/>
  <c r="AB29" i="17"/>
  <c r="Y29" i="17"/>
  <c r="X29" i="17"/>
  <c r="P29" i="17"/>
  <c r="O29" i="17"/>
  <c r="Q29" i="17" s="1"/>
  <c r="M29" i="17"/>
  <c r="H29" i="17"/>
  <c r="C29" i="17"/>
  <c r="AB28" i="17"/>
  <c r="AD28" i="17" s="1"/>
  <c r="Y28" i="17"/>
  <c r="X28" i="17"/>
  <c r="P28" i="17"/>
  <c r="O28" i="17"/>
  <c r="Q28" i="17" s="1"/>
  <c r="M28" i="17"/>
  <c r="J28" i="17"/>
  <c r="K28" i="17" s="1"/>
  <c r="I28" i="17"/>
  <c r="H28" i="17"/>
  <c r="C28" i="17"/>
  <c r="AB27" i="17"/>
  <c r="AD27" i="17" s="1"/>
  <c r="J27" i="17" s="1"/>
  <c r="Y27" i="17"/>
  <c r="X27" i="17"/>
  <c r="P27" i="17"/>
  <c r="O27" i="17"/>
  <c r="Q27" i="17" s="1"/>
  <c r="M27" i="17"/>
  <c r="H27" i="17"/>
  <c r="C27" i="17"/>
  <c r="AB26" i="17"/>
  <c r="AD26" i="17" s="1"/>
  <c r="J26" i="17" s="1"/>
  <c r="Y26" i="17"/>
  <c r="X26" i="17"/>
  <c r="Q26" i="17"/>
  <c r="P26" i="17"/>
  <c r="O26" i="17"/>
  <c r="M26" i="17"/>
  <c r="H26" i="17"/>
  <c r="C26" i="17"/>
  <c r="AD25" i="17"/>
  <c r="J25" i="17" s="1"/>
  <c r="K25" i="17" s="1"/>
  <c r="AB25" i="17"/>
  <c r="Y25" i="17"/>
  <c r="X25" i="17"/>
  <c r="Q25" i="17"/>
  <c r="P25" i="17"/>
  <c r="O25" i="17"/>
  <c r="M25" i="17"/>
  <c r="I25" i="17"/>
  <c r="H25" i="17"/>
  <c r="C25" i="17"/>
  <c r="AB24" i="17"/>
  <c r="AD24" i="17" s="1"/>
  <c r="J24" i="17" s="1"/>
  <c r="Y24" i="17"/>
  <c r="X24" i="17"/>
  <c r="P24" i="17"/>
  <c r="O24" i="17"/>
  <c r="Q24" i="17" s="1"/>
  <c r="M24" i="17"/>
  <c r="H24" i="17"/>
  <c r="C24" i="17"/>
  <c r="AD23" i="17"/>
  <c r="AB23" i="17"/>
  <c r="Y23" i="17"/>
  <c r="X23" i="17"/>
  <c r="P23" i="17"/>
  <c r="Q23" i="17" s="1"/>
  <c r="O23" i="17"/>
  <c r="M23" i="17"/>
  <c r="J23" i="17"/>
  <c r="I23" i="17" s="1"/>
  <c r="H23" i="17"/>
  <c r="C23" i="17"/>
  <c r="AD22" i="17"/>
  <c r="J22" i="17" s="1"/>
  <c r="AB22" i="17"/>
  <c r="Y22" i="17"/>
  <c r="X22" i="17"/>
  <c r="Q22" i="17"/>
  <c r="P22" i="17"/>
  <c r="O22" i="17"/>
  <c r="M22" i="17"/>
  <c r="H22" i="17"/>
  <c r="C22" i="17"/>
  <c r="AD21" i="17"/>
  <c r="J21" i="17" s="1"/>
  <c r="I21" i="17" s="1"/>
  <c r="AB21" i="17"/>
  <c r="Y21" i="17"/>
  <c r="X21" i="17"/>
  <c r="P21" i="17"/>
  <c r="O21" i="17"/>
  <c r="Q21" i="17" s="1"/>
  <c r="M21" i="17"/>
  <c r="K21" i="17"/>
  <c r="H21" i="17"/>
  <c r="C21" i="17"/>
  <c r="AB20" i="17"/>
  <c r="AD20" i="17" s="1"/>
  <c r="J20" i="17" s="1"/>
  <c r="Y20" i="17"/>
  <c r="X20" i="17"/>
  <c r="P20" i="17"/>
  <c r="O20" i="17"/>
  <c r="Q20" i="17" s="1"/>
  <c r="M20" i="17"/>
  <c r="H20" i="17"/>
  <c r="C20" i="17"/>
  <c r="AB19" i="17"/>
  <c r="AD19" i="17" s="1"/>
  <c r="J19" i="17" s="1"/>
  <c r="Y19" i="17"/>
  <c r="X19" i="17"/>
  <c r="Q19" i="17"/>
  <c r="P19" i="17"/>
  <c r="O19" i="17"/>
  <c r="M19" i="17"/>
  <c r="H19" i="17"/>
  <c r="C19" i="17"/>
  <c r="AB18" i="17"/>
  <c r="AD18" i="17" s="1"/>
  <c r="J18" i="17" s="1"/>
  <c r="Y18" i="17"/>
  <c r="X18" i="17"/>
  <c r="Q18" i="17"/>
  <c r="P18" i="17"/>
  <c r="O18" i="17"/>
  <c r="M18" i="17"/>
  <c r="H18" i="17"/>
  <c r="C18" i="17"/>
  <c r="AD17" i="17"/>
  <c r="J17" i="17" s="1"/>
  <c r="K17" i="17" s="1"/>
  <c r="AB17" i="17"/>
  <c r="Y17" i="17"/>
  <c r="X17" i="17"/>
  <c r="Q17" i="17"/>
  <c r="P17" i="17"/>
  <c r="O17" i="17"/>
  <c r="M17" i="17"/>
  <c r="I17" i="17"/>
  <c r="H17" i="17"/>
  <c r="C17" i="17"/>
  <c r="AB16" i="17"/>
  <c r="AD16" i="17" s="1"/>
  <c r="J16" i="17" s="1"/>
  <c r="Y16" i="17"/>
  <c r="X16" i="17"/>
  <c r="P16" i="17"/>
  <c r="O16" i="17"/>
  <c r="M16" i="17"/>
  <c r="H16" i="17"/>
  <c r="C16" i="17"/>
  <c r="AD15" i="17"/>
  <c r="J15" i="17" s="1"/>
  <c r="AB15" i="17"/>
  <c r="Y15" i="17"/>
  <c r="X15" i="17"/>
  <c r="P15" i="17"/>
  <c r="Q15" i="17" s="1"/>
  <c r="O15" i="17"/>
  <c r="M15" i="17"/>
  <c r="H15" i="17"/>
  <c r="C15" i="17"/>
  <c r="AD14" i="17"/>
  <c r="J14" i="17" s="1"/>
  <c r="AB14" i="17"/>
  <c r="Y14" i="17"/>
  <c r="X14" i="17"/>
  <c r="Q14" i="17"/>
  <c r="P14" i="17"/>
  <c r="O14" i="17"/>
  <c r="M14" i="17"/>
  <c r="H14" i="17"/>
  <c r="C14" i="17"/>
  <c r="AD13" i="17"/>
  <c r="J13" i="17" s="1"/>
  <c r="I13" i="17" s="1"/>
  <c r="AB13" i="17"/>
  <c r="Y13" i="17"/>
  <c r="X13" i="17"/>
  <c r="P13" i="17"/>
  <c r="O13" i="17"/>
  <c r="Q13" i="17" s="1"/>
  <c r="M13" i="17"/>
  <c r="H13" i="17"/>
  <c r="C13" i="17"/>
  <c r="AB12" i="17"/>
  <c r="AD12" i="17" s="1"/>
  <c r="J12" i="17" s="1"/>
  <c r="Y12" i="17"/>
  <c r="X12" i="17"/>
  <c r="P12" i="17"/>
  <c r="O12" i="17"/>
  <c r="Q12" i="17" s="1"/>
  <c r="M12" i="17"/>
  <c r="H12" i="17"/>
  <c r="C12" i="17"/>
  <c r="AB11" i="17"/>
  <c r="AD11" i="17" s="1"/>
  <c r="J11" i="17" s="1"/>
  <c r="Y11" i="17"/>
  <c r="X11" i="17"/>
  <c r="P11" i="17"/>
  <c r="Q11" i="17" s="1"/>
  <c r="O11" i="17"/>
  <c r="M11" i="17"/>
  <c r="H11" i="17"/>
  <c r="C11" i="17"/>
  <c r="AD10" i="17"/>
  <c r="J10" i="17" s="1"/>
  <c r="AB10" i="17"/>
  <c r="Y10" i="17"/>
  <c r="X10" i="17"/>
  <c r="Q10" i="17"/>
  <c r="P10" i="17"/>
  <c r="O10" i="17"/>
  <c r="M10" i="17"/>
  <c r="H10" i="17"/>
  <c r="C10" i="17"/>
  <c r="AD9" i="17"/>
  <c r="J9" i="17" s="1"/>
  <c r="K9" i="17" s="1"/>
  <c r="AB9" i="17"/>
  <c r="Y9" i="17"/>
  <c r="X9" i="17"/>
  <c r="Q9" i="17"/>
  <c r="P9" i="17"/>
  <c r="O9" i="17"/>
  <c r="M9" i="17"/>
  <c r="I9" i="17"/>
  <c r="H9" i="17"/>
  <c r="C9" i="17"/>
  <c r="AB8" i="17"/>
  <c r="AD8" i="17" s="1"/>
  <c r="J8" i="17" s="1"/>
  <c r="K8" i="17" s="1"/>
  <c r="Y8" i="17"/>
  <c r="X8" i="17"/>
  <c r="P8" i="17"/>
  <c r="O8" i="17"/>
  <c r="Q8" i="17" s="1"/>
  <c r="M8" i="17"/>
  <c r="I8" i="17"/>
  <c r="H8" i="17"/>
  <c r="C8" i="17"/>
  <c r="AD7" i="17"/>
  <c r="AB7" i="17"/>
  <c r="Y7" i="17"/>
  <c r="X7" i="17"/>
  <c r="P7" i="17"/>
  <c r="Q7" i="17" s="1"/>
  <c r="O7" i="17"/>
  <c r="M7" i="17"/>
  <c r="J7" i="17"/>
  <c r="K7" i="17" s="1"/>
  <c r="H7" i="17"/>
  <c r="C7" i="17"/>
  <c r="AD6" i="17"/>
  <c r="J6" i="17" s="1"/>
  <c r="I6" i="17" s="1"/>
  <c r="AB6" i="17"/>
  <c r="Y6" i="17"/>
  <c r="X6" i="17"/>
  <c r="Q6" i="17"/>
  <c r="P6" i="17"/>
  <c r="O6" i="17"/>
  <c r="M6" i="17"/>
  <c r="K6" i="17"/>
  <c r="H6" i="17"/>
  <c r="C6" i="17"/>
  <c r="AD5" i="17"/>
  <c r="J5" i="17" s="1"/>
  <c r="I5" i="17" s="1"/>
  <c r="AB5" i="17"/>
  <c r="Y5" i="17"/>
  <c r="X5" i="17"/>
  <c r="P5" i="17"/>
  <c r="O5" i="17"/>
  <c r="Q5" i="17" s="1"/>
  <c r="M5" i="17"/>
  <c r="H5" i="17"/>
  <c r="C5" i="17"/>
  <c r="AB4" i="17"/>
  <c r="AD4" i="17" s="1"/>
  <c r="Y4" i="17"/>
  <c r="X4" i="17"/>
  <c r="P4" i="17"/>
  <c r="O4" i="17"/>
  <c r="Q4" i="17" s="1"/>
  <c r="M4" i="17"/>
  <c r="J4" i="17"/>
  <c r="K4" i="17" s="1"/>
  <c r="I4" i="17"/>
  <c r="H4" i="17"/>
  <c r="C4" i="17"/>
  <c r="AG3" i="17"/>
  <c r="W3" i="17"/>
  <c r="V3" i="17"/>
  <c r="U3" i="17"/>
  <c r="T3" i="17"/>
  <c r="O3" i="17"/>
  <c r="G3" i="17"/>
  <c r="H3" i="17" s="1"/>
  <c r="F3" i="17"/>
  <c r="D3" i="17"/>
  <c r="X3" i="17" s="1"/>
  <c r="C3" i="17"/>
  <c r="A2" i="17"/>
  <c r="A1" i="17"/>
  <c r="AD32" i="16"/>
  <c r="AB32" i="16"/>
  <c r="Y32" i="16"/>
  <c r="X32" i="16"/>
  <c r="V32" i="16"/>
  <c r="U32" i="16"/>
  <c r="T32" i="16"/>
  <c r="P32" i="16"/>
  <c r="O32" i="16"/>
  <c r="Q32" i="16" s="1"/>
  <c r="M32" i="16"/>
  <c r="K32" i="16"/>
  <c r="J32" i="16"/>
  <c r="I32" i="16"/>
  <c r="H32" i="16"/>
  <c r="C32" i="16"/>
  <c r="AB31" i="16"/>
  <c r="AD31" i="16" s="1"/>
  <c r="Y31" i="16"/>
  <c r="X31" i="16"/>
  <c r="P31" i="16"/>
  <c r="O31" i="16"/>
  <c r="Q31" i="16" s="1"/>
  <c r="M31" i="16"/>
  <c r="J31" i="16"/>
  <c r="K31" i="16" s="1"/>
  <c r="I31" i="16"/>
  <c r="H31" i="16"/>
  <c r="C31" i="16"/>
  <c r="AD30" i="16"/>
  <c r="J30" i="16" s="1"/>
  <c r="AB30" i="16"/>
  <c r="Y30" i="16"/>
  <c r="X30" i="16"/>
  <c r="P30" i="16"/>
  <c r="Q30" i="16" s="1"/>
  <c r="O30" i="16"/>
  <c r="M30" i="16"/>
  <c r="H30" i="16"/>
  <c r="C30" i="16"/>
  <c r="AB29" i="16"/>
  <c r="AD29" i="16" s="1"/>
  <c r="J29" i="16" s="1"/>
  <c r="Y29" i="16"/>
  <c r="X29" i="16"/>
  <c r="Q29" i="16"/>
  <c r="P29" i="16"/>
  <c r="O29" i="16"/>
  <c r="M29" i="16"/>
  <c r="H29" i="16"/>
  <c r="C29" i="16"/>
  <c r="AD28" i="16"/>
  <c r="J28" i="16" s="1"/>
  <c r="K28" i="16" s="1"/>
  <c r="AB28" i="16"/>
  <c r="Y28" i="16"/>
  <c r="X28" i="16"/>
  <c r="Q28" i="16"/>
  <c r="P28" i="16"/>
  <c r="O28" i="16"/>
  <c r="M28" i="16"/>
  <c r="I28" i="16"/>
  <c r="H28" i="16"/>
  <c r="C28" i="16"/>
  <c r="AB27" i="16"/>
  <c r="AD27" i="16" s="1"/>
  <c r="Y27" i="16"/>
  <c r="X27" i="16"/>
  <c r="P27" i="16"/>
  <c r="O27" i="16"/>
  <c r="Q27" i="16" s="1"/>
  <c r="M27" i="16"/>
  <c r="J27" i="16"/>
  <c r="K27" i="16" s="1"/>
  <c r="I27" i="16"/>
  <c r="H27" i="16"/>
  <c r="C27" i="16"/>
  <c r="AD26" i="16"/>
  <c r="J26" i="16" s="1"/>
  <c r="AB26" i="16"/>
  <c r="Y26" i="16"/>
  <c r="X26" i="16"/>
  <c r="P26" i="16"/>
  <c r="Q26" i="16" s="1"/>
  <c r="O26" i="16"/>
  <c r="M26" i="16"/>
  <c r="H26" i="16"/>
  <c r="C26" i="16"/>
  <c r="AD25" i="16"/>
  <c r="J25" i="16" s="1"/>
  <c r="I25" i="16" s="1"/>
  <c r="AB25" i="16"/>
  <c r="Y25" i="16"/>
  <c r="X25" i="16"/>
  <c r="P25" i="16"/>
  <c r="Q25" i="16" s="1"/>
  <c r="O25" i="16"/>
  <c r="M25" i="16"/>
  <c r="H25" i="16"/>
  <c r="C25" i="16"/>
  <c r="AD24" i="16"/>
  <c r="J24" i="16" s="1"/>
  <c r="K24" i="16" s="1"/>
  <c r="AB24" i="16"/>
  <c r="Y24" i="16"/>
  <c r="X24" i="16"/>
  <c r="P24" i="16"/>
  <c r="O24" i="16"/>
  <c r="Q24" i="16" s="1"/>
  <c r="M24" i="16"/>
  <c r="I24" i="16"/>
  <c r="H24" i="16"/>
  <c r="C24" i="16"/>
  <c r="AB23" i="16"/>
  <c r="AD23" i="16" s="1"/>
  <c r="J23" i="16" s="1"/>
  <c r="Y23" i="16"/>
  <c r="X23" i="16"/>
  <c r="P23" i="16"/>
  <c r="O23" i="16"/>
  <c r="Q23" i="16" s="1"/>
  <c r="M23" i="16"/>
  <c r="H23" i="16"/>
  <c r="C23" i="16"/>
  <c r="AD22" i="16"/>
  <c r="J22" i="16" s="1"/>
  <c r="I22" i="16" s="1"/>
  <c r="AB22" i="16"/>
  <c r="Y22" i="16"/>
  <c r="X22" i="16"/>
  <c r="P22" i="16"/>
  <c r="O22" i="16"/>
  <c r="Q22" i="16" s="1"/>
  <c r="M22" i="16"/>
  <c r="H22" i="16"/>
  <c r="C22" i="16"/>
  <c r="AB21" i="16"/>
  <c r="AD21" i="16" s="1"/>
  <c r="J21" i="16" s="1"/>
  <c r="Y21" i="16"/>
  <c r="X21" i="16"/>
  <c r="Q21" i="16"/>
  <c r="P21" i="16"/>
  <c r="O21" i="16"/>
  <c r="M21" i="16"/>
  <c r="H21" i="16"/>
  <c r="C21" i="16"/>
  <c r="AD20" i="16"/>
  <c r="AB20" i="16"/>
  <c r="Y20" i="16"/>
  <c r="X20" i="16"/>
  <c r="P20" i="16"/>
  <c r="O20" i="16"/>
  <c r="Q20" i="16" s="1"/>
  <c r="M20" i="16"/>
  <c r="J20" i="16"/>
  <c r="K20" i="16" s="1"/>
  <c r="I20" i="16"/>
  <c r="H20" i="16"/>
  <c r="C20" i="16"/>
  <c r="AB19" i="16"/>
  <c r="AD19" i="16" s="1"/>
  <c r="Y19" i="16"/>
  <c r="X19" i="16"/>
  <c r="P19" i="16"/>
  <c r="O19" i="16"/>
  <c r="Q19" i="16" s="1"/>
  <c r="M19" i="16"/>
  <c r="J19" i="16"/>
  <c r="K19" i="16" s="1"/>
  <c r="I19" i="16"/>
  <c r="H19" i="16"/>
  <c r="C19" i="16"/>
  <c r="AD18" i="16"/>
  <c r="J18" i="16" s="1"/>
  <c r="K18" i="16" s="1"/>
  <c r="AB18" i="16"/>
  <c r="Y18" i="16"/>
  <c r="X18" i="16"/>
  <c r="P18" i="16"/>
  <c r="Q18" i="16" s="1"/>
  <c r="O18" i="16"/>
  <c r="M18" i="16"/>
  <c r="H18" i="16"/>
  <c r="C18" i="16"/>
  <c r="AD17" i="16"/>
  <c r="J17" i="16" s="1"/>
  <c r="I17" i="16" s="1"/>
  <c r="AB17" i="16"/>
  <c r="Y17" i="16"/>
  <c r="X17" i="16"/>
  <c r="P17" i="16"/>
  <c r="Q17" i="16" s="1"/>
  <c r="O17" i="16"/>
  <c r="M17" i="16"/>
  <c r="K17" i="16"/>
  <c r="H17" i="16"/>
  <c r="C17" i="16"/>
  <c r="AD16" i="16"/>
  <c r="J16" i="16" s="1"/>
  <c r="K16" i="16" s="1"/>
  <c r="AB16" i="16"/>
  <c r="Y16" i="16"/>
  <c r="X16" i="16"/>
  <c r="P16" i="16"/>
  <c r="O16" i="16"/>
  <c r="Q16" i="16" s="1"/>
  <c r="M16" i="16"/>
  <c r="I16" i="16"/>
  <c r="H16" i="16"/>
  <c r="C16" i="16"/>
  <c r="AB15" i="16"/>
  <c r="AD15" i="16" s="1"/>
  <c r="Y15" i="16"/>
  <c r="X15" i="16"/>
  <c r="P15" i="16"/>
  <c r="O15" i="16"/>
  <c r="Q15" i="16" s="1"/>
  <c r="M15" i="16"/>
  <c r="J15" i="16"/>
  <c r="K15" i="16" s="1"/>
  <c r="I15" i="16"/>
  <c r="H15" i="16"/>
  <c r="C15" i="16"/>
  <c r="AD14" i="16"/>
  <c r="J14" i="16" s="1"/>
  <c r="AB14" i="16"/>
  <c r="Y14" i="16"/>
  <c r="X14" i="16"/>
  <c r="P14" i="16"/>
  <c r="Q14" i="16" s="1"/>
  <c r="O14" i="16"/>
  <c r="M14" i="16"/>
  <c r="H14" i="16"/>
  <c r="C14" i="16"/>
  <c r="AB13" i="16"/>
  <c r="AD13" i="16" s="1"/>
  <c r="J13" i="16" s="1"/>
  <c r="Y13" i="16"/>
  <c r="X13" i="16"/>
  <c r="Q13" i="16"/>
  <c r="P13" i="16"/>
  <c r="O13" i="16"/>
  <c r="M13" i="16"/>
  <c r="H13" i="16"/>
  <c r="C13" i="16"/>
  <c r="AB12" i="16"/>
  <c r="AD12" i="16" s="1"/>
  <c r="J12" i="16" s="1"/>
  <c r="K12" i="16" s="1"/>
  <c r="Y12" i="16"/>
  <c r="X12" i="16"/>
  <c r="P12" i="16"/>
  <c r="O12" i="16"/>
  <c r="Q12" i="16" s="1"/>
  <c r="M12" i="16"/>
  <c r="H12" i="16"/>
  <c r="C12" i="16"/>
  <c r="AB11" i="16"/>
  <c r="AD11" i="16" s="1"/>
  <c r="Y11" i="16"/>
  <c r="X11" i="16"/>
  <c r="P11" i="16"/>
  <c r="O11" i="16"/>
  <c r="M11" i="16"/>
  <c r="J11" i="16"/>
  <c r="K11" i="16" s="1"/>
  <c r="H11" i="16"/>
  <c r="C11" i="16"/>
  <c r="AB10" i="16"/>
  <c r="AD10" i="16" s="1"/>
  <c r="J10" i="16" s="1"/>
  <c r="Y10" i="16"/>
  <c r="X10" i="16"/>
  <c r="Q10" i="16"/>
  <c r="P10" i="16"/>
  <c r="O10" i="16"/>
  <c r="M10" i="16"/>
  <c r="H10" i="16"/>
  <c r="C10" i="16"/>
  <c r="AD9" i="16"/>
  <c r="J9" i="16" s="1"/>
  <c r="I9" i="16" s="1"/>
  <c r="AB9" i="16"/>
  <c r="Y9" i="16"/>
  <c r="X9" i="16"/>
  <c r="Q9" i="16"/>
  <c r="P9" i="16"/>
  <c r="O9" i="16"/>
  <c r="M9" i="16"/>
  <c r="K9" i="16"/>
  <c r="H9" i="16"/>
  <c r="C9" i="16"/>
  <c r="AD8" i="16"/>
  <c r="J8" i="16" s="1"/>
  <c r="AB8" i="16"/>
  <c r="Y8" i="16"/>
  <c r="X8" i="16"/>
  <c r="P8" i="16"/>
  <c r="O8" i="16"/>
  <c r="Q8" i="16" s="1"/>
  <c r="M8" i="16"/>
  <c r="K8" i="16"/>
  <c r="I8" i="16"/>
  <c r="H8" i="16"/>
  <c r="C8" i="16"/>
  <c r="AB7" i="16"/>
  <c r="AD7" i="16" s="1"/>
  <c r="Y7" i="16"/>
  <c r="X7" i="16"/>
  <c r="P7" i="16"/>
  <c r="O7" i="16"/>
  <c r="Q7" i="16" s="1"/>
  <c r="M7" i="16"/>
  <c r="J7" i="16"/>
  <c r="H7" i="16"/>
  <c r="C7" i="16"/>
  <c r="AB6" i="16"/>
  <c r="AD6" i="16" s="1"/>
  <c r="J6" i="16" s="1"/>
  <c r="Y6" i="16"/>
  <c r="X6" i="16"/>
  <c r="Q6" i="16"/>
  <c r="P6" i="16"/>
  <c r="O6" i="16"/>
  <c r="M6" i="16"/>
  <c r="H6" i="16"/>
  <c r="C6" i="16"/>
  <c r="AD5" i="16"/>
  <c r="AB5" i="16"/>
  <c r="Y5" i="16"/>
  <c r="X5" i="16"/>
  <c r="Q5" i="16"/>
  <c r="P5" i="16"/>
  <c r="O5" i="16"/>
  <c r="M5" i="16"/>
  <c r="H5" i="16"/>
  <c r="C5" i="16"/>
  <c r="AB4" i="16"/>
  <c r="AD4" i="16" s="1"/>
  <c r="J4" i="16" s="1"/>
  <c r="K4" i="16" s="1"/>
  <c r="Y4" i="16"/>
  <c r="X4" i="16"/>
  <c r="Q4" i="16"/>
  <c r="P4" i="16"/>
  <c r="O4" i="16"/>
  <c r="M4" i="16"/>
  <c r="I4" i="16"/>
  <c r="H4" i="16"/>
  <c r="C4" i="16"/>
  <c r="AG3" i="16"/>
  <c r="AF3" i="16"/>
  <c r="W3" i="16"/>
  <c r="V3" i="16"/>
  <c r="U3" i="16"/>
  <c r="T3" i="16"/>
  <c r="O3" i="16"/>
  <c r="G3" i="16"/>
  <c r="H3" i="16" s="1"/>
  <c r="F3" i="16"/>
  <c r="D3" i="16"/>
  <c r="C3" i="16"/>
  <c r="A2" i="16"/>
  <c r="A1" i="16"/>
  <c r="AB32" i="15"/>
  <c r="AD32" i="15" s="1"/>
  <c r="J32" i="15" s="1"/>
  <c r="I32" i="15" s="1"/>
  <c r="Y32" i="15"/>
  <c r="X32" i="15"/>
  <c r="V32" i="15"/>
  <c r="U32" i="15"/>
  <c r="T32" i="15"/>
  <c r="P32" i="15"/>
  <c r="O32" i="15"/>
  <c r="Q32" i="15" s="1"/>
  <c r="M32" i="15"/>
  <c r="K32" i="15"/>
  <c r="H32" i="15"/>
  <c r="C32" i="15"/>
  <c r="AB31" i="15"/>
  <c r="AD31" i="15" s="1"/>
  <c r="J31" i="15" s="1"/>
  <c r="Y31" i="15"/>
  <c r="X31" i="15"/>
  <c r="P31" i="15"/>
  <c r="O31" i="15"/>
  <c r="Q31" i="15" s="1"/>
  <c r="M31" i="15"/>
  <c r="H31" i="15"/>
  <c r="C31" i="15"/>
  <c r="AD30" i="15"/>
  <c r="J30" i="15" s="1"/>
  <c r="AB30" i="15"/>
  <c r="Y30" i="15"/>
  <c r="X30" i="15"/>
  <c r="P30" i="15"/>
  <c r="O30" i="15"/>
  <c r="Q30" i="15" s="1"/>
  <c r="M30" i="15"/>
  <c r="H30" i="15"/>
  <c r="C30" i="15"/>
  <c r="AB29" i="15"/>
  <c r="AD29" i="15" s="1"/>
  <c r="J29" i="15" s="1"/>
  <c r="Y29" i="15"/>
  <c r="X29" i="15"/>
  <c r="Q29" i="15"/>
  <c r="P29" i="15"/>
  <c r="O29" i="15"/>
  <c r="M29" i="15"/>
  <c r="H29" i="15"/>
  <c r="C29" i="15"/>
  <c r="AB28" i="15"/>
  <c r="AD28" i="15" s="1"/>
  <c r="J28" i="15" s="1"/>
  <c r="K28" i="15" s="1"/>
  <c r="Y28" i="15"/>
  <c r="X28" i="15"/>
  <c r="P28" i="15"/>
  <c r="O28" i="15"/>
  <c r="Q28" i="15" s="1"/>
  <c r="M28" i="15"/>
  <c r="H28" i="15"/>
  <c r="C28" i="15"/>
  <c r="AB27" i="15"/>
  <c r="AD27" i="15" s="1"/>
  <c r="J27" i="15" s="1"/>
  <c r="K27" i="15" s="1"/>
  <c r="Y27" i="15"/>
  <c r="X27" i="15"/>
  <c r="P27" i="15"/>
  <c r="O27" i="15"/>
  <c r="M27" i="15"/>
  <c r="I27" i="15"/>
  <c r="H27" i="15"/>
  <c r="C27" i="15"/>
  <c r="AD26" i="15"/>
  <c r="J26" i="15" s="1"/>
  <c r="AB26" i="15"/>
  <c r="Y26" i="15"/>
  <c r="X26" i="15"/>
  <c r="P26" i="15"/>
  <c r="Q26" i="15" s="1"/>
  <c r="O26" i="15"/>
  <c r="M26" i="15"/>
  <c r="H26" i="15"/>
  <c r="C26" i="15"/>
  <c r="AD25" i="15"/>
  <c r="J25" i="15" s="1"/>
  <c r="I25" i="15" s="1"/>
  <c r="AB25" i="15"/>
  <c r="Y25" i="15"/>
  <c r="X25" i="15"/>
  <c r="P25" i="15"/>
  <c r="O25" i="15"/>
  <c r="Q25" i="15" s="1"/>
  <c r="M25" i="15"/>
  <c r="K25" i="15"/>
  <c r="H25" i="15"/>
  <c r="C25" i="15"/>
  <c r="AB24" i="15"/>
  <c r="AD24" i="15" s="1"/>
  <c r="J24" i="15" s="1"/>
  <c r="Y24" i="15"/>
  <c r="X24" i="15"/>
  <c r="P24" i="15"/>
  <c r="O24" i="15"/>
  <c r="M24" i="15"/>
  <c r="H24" i="15"/>
  <c r="C24" i="15"/>
  <c r="AD23" i="15"/>
  <c r="J23" i="15" s="1"/>
  <c r="I23" i="15" s="1"/>
  <c r="AB23" i="15"/>
  <c r="Y23" i="15"/>
  <c r="X23" i="15"/>
  <c r="P23" i="15"/>
  <c r="O23" i="15"/>
  <c r="Q23" i="15" s="1"/>
  <c r="M23" i="15"/>
  <c r="K23" i="15"/>
  <c r="H23" i="15"/>
  <c r="C23" i="15"/>
  <c r="AB22" i="15"/>
  <c r="AD22" i="15" s="1"/>
  <c r="J22" i="15" s="1"/>
  <c r="Y22" i="15"/>
  <c r="X22" i="15"/>
  <c r="P22" i="15"/>
  <c r="O22" i="15"/>
  <c r="Q22" i="15" s="1"/>
  <c r="M22" i="15"/>
  <c r="H22" i="15"/>
  <c r="C22" i="15"/>
  <c r="AB21" i="15"/>
  <c r="AD21" i="15" s="1"/>
  <c r="J21" i="15" s="1"/>
  <c r="Y21" i="15"/>
  <c r="X21" i="15"/>
  <c r="P21" i="15"/>
  <c r="O21" i="15"/>
  <c r="Q21" i="15" s="1"/>
  <c r="M21" i="15"/>
  <c r="H21" i="15"/>
  <c r="C21" i="15"/>
  <c r="AB20" i="15"/>
  <c r="AD20" i="15" s="1"/>
  <c r="J20" i="15" s="1"/>
  <c r="Y20" i="15"/>
  <c r="X20" i="15"/>
  <c r="Q20" i="15"/>
  <c r="P20" i="15"/>
  <c r="O20" i="15"/>
  <c r="M20" i="15"/>
  <c r="H20" i="15"/>
  <c r="C20" i="15"/>
  <c r="AB19" i="15"/>
  <c r="AD19" i="15" s="1"/>
  <c r="J19" i="15" s="1"/>
  <c r="Y19" i="15"/>
  <c r="X19" i="15"/>
  <c r="Q19" i="15"/>
  <c r="P19" i="15"/>
  <c r="O19" i="15"/>
  <c r="M19" i="15"/>
  <c r="H19" i="15"/>
  <c r="C19" i="15"/>
  <c r="AB18" i="15"/>
  <c r="AD18" i="15" s="1"/>
  <c r="J18" i="15" s="1"/>
  <c r="Y18" i="15"/>
  <c r="X18" i="15"/>
  <c r="P18" i="15"/>
  <c r="Q18" i="15" s="1"/>
  <c r="O18" i="15"/>
  <c r="M18" i="15"/>
  <c r="H18" i="15"/>
  <c r="C18" i="15"/>
  <c r="AD17" i="15"/>
  <c r="J17" i="15" s="1"/>
  <c r="K17" i="15" s="1"/>
  <c r="AB17" i="15"/>
  <c r="Y17" i="15"/>
  <c r="X17" i="15"/>
  <c r="P17" i="15"/>
  <c r="O17" i="15"/>
  <c r="Q17" i="15" s="1"/>
  <c r="M17" i="15"/>
  <c r="H17" i="15"/>
  <c r="C17" i="15"/>
  <c r="AD16" i="15"/>
  <c r="J16" i="15" s="1"/>
  <c r="AB16" i="15"/>
  <c r="Y16" i="15"/>
  <c r="X16" i="15"/>
  <c r="P16" i="15"/>
  <c r="Q16" i="15" s="1"/>
  <c r="O16" i="15"/>
  <c r="M16" i="15"/>
  <c r="H16" i="15"/>
  <c r="C16" i="15"/>
  <c r="AD15" i="15"/>
  <c r="J15" i="15" s="1"/>
  <c r="I15" i="15" s="1"/>
  <c r="AB15" i="15"/>
  <c r="Y15" i="15"/>
  <c r="X15" i="15"/>
  <c r="P15" i="15"/>
  <c r="O15" i="15"/>
  <c r="Q15" i="15" s="1"/>
  <c r="M15" i="15"/>
  <c r="H15" i="15"/>
  <c r="C15" i="15"/>
  <c r="AB14" i="15"/>
  <c r="AD14" i="15" s="1"/>
  <c r="J14" i="15" s="1"/>
  <c r="Y14" i="15"/>
  <c r="X14" i="15"/>
  <c r="P14" i="15"/>
  <c r="O14" i="15"/>
  <c r="Q14" i="15" s="1"/>
  <c r="M14" i="15"/>
  <c r="H14" i="15"/>
  <c r="C14" i="15"/>
  <c r="AB13" i="15"/>
  <c r="AD13" i="15" s="1"/>
  <c r="J13" i="15" s="1"/>
  <c r="Y13" i="15"/>
  <c r="X13" i="15"/>
  <c r="P13" i="15"/>
  <c r="O13" i="15"/>
  <c r="Q13" i="15" s="1"/>
  <c r="M13" i="15"/>
  <c r="H13" i="15"/>
  <c r="C13" i="15"/>
  <c r="AB12" i="15"/>
  <c r="AD12" i="15" s="1"/>
  <c r="J12" i="15" s="1"/>
  <c r="Y12" i="15"/>
  <c r="X12" i="15"/>
  <c r="Q12" i="15"/>
  <c r="P12" i="15"/>
  <c r="O12" i="15"/>
  <c r="M12" i="15"/>
  <c r="H12" i="15"/>
  <c r="C12" i="15"/>
  <c r="AB11" i="15"/>
  <c r="AD11" i="15" s="1"/>
  <c r="J11" i="15" s="1"/>
  <c r="Y11" i="15"/>
  <c r="X11" i="15"/>
  <c r="Q11" i="15"/>
  <c r="P11" i="15"/>
  <c r="O11" i="15"/>
  <c r="M11" i="15"/>
  <c r="H11" i="15"/>
  <c r="C11" i="15"/>
  <c r="AB10" i="15"/>
  <c r="AD10" i="15" s="1"/>
  <c r="J10" i="15" s="1"/>
  <c r="Y10" i="15"/>
  <c r="X10" i="15"/>
  <c r="P10" i="15"/>
  <c r="Q10" i="15" s="1"/>
  <c r="O10" i="15"/>
  <c r="M10" i="15"/>
  <c r="H10" i="15"/>
  <c r="C10" i="15"/>
  <c r="AD9" i="15"/>
  <c r="J9" i="15" s="1"/>
  <c r="K9" i="15" s="1"/>
  <c r="AB9" i="15"/>
  <c r="Y9" i="15"/>
  <c r="X9" i="15"/>
  <c r="P9" i="15"/>
  <c r="O9" i="15"/>
  <c r="Q9" i="15" s="1"/>
  <c r="M9" i="15"/>
  <c r="H9" i="15"/>
  <c r="C9" i="15"/>
  <c r="AD8" i="15"/>
  <c r="J8" i="15" s="1"/>
  <c r="AB8" i="15"/>
  <c r="Y8" i="15"/>
  <c r="X8" i="15"/>
  <c r="P8" i="15"/>
  <c r="Q8" i="15" s="1"/>
  <c r="O8" i="15"/>
  <c r="M8" i="15"/>
  <c r="H8" i="15"/>
  <c r="C8" i="15"/>
  <c r="AD7" i="15"/>
  <c r="J7" i="15" s="1"/>
  <c r="I7" i="15" s="1"/>
  <c r="AB7" i="15"/>
  <c r="Y7" i="15"/>
  <c r="X7" i="15"/>
  <c r="P7" i="15"/>
  <c r="O7" i="15"/>
  <c r="Q7" i="15" s="1"/>
  <c r="M7" i="15"/>
  <c r="H7" i="15"/>
  <c r="C7" i="15"/>
  <c r="AB6" i="15"/>
  <c r="AD6" i="15" s="1"/>
  <c r="J6" i="15" s="1"/>
  <c r="Y6" i="15"/>
  <c r="X6" i="15"/>
  <c r="P6" i="15"/>
  <c r="O6" i="15"/>
  <c r="Q6" i="15" s="1"/>
  <c r="M6" i="15"/>
  <c r="H6" i="15"/>
  <c r="C6" i="15"/>
  <c r="AB5" i="15"/>
  <c r="AD5" i="15" s="1"/>
  <c r="J5" i="15" s="1"/>
  <c r="Y5" i="15"/>
  <c r="X5" i="15"/>
  <c r="P5" i="15"/>
  <c r="O5" i="15"/>
  <c r="Q5" i="15" s="1"/>
  <c r="M5" i="15"/>
  <c r="H5" i="15"/>
  <c r="C5" i="15"/>
  <c r="AB4" i="15"/>
  <c r="AD4" i="15" s="1"/>
  <c r="Y4" i="15"/>
  <c r="X4" i="15"/>
  <c r="Q4" i="15"/>
  <c r="P4" i="15"/>
  <c r="O4" i="15"/>
  <c r="M4" i="15"/>
  <c r="H4" i="15"/>
  <c r="C4" i="15"/>
  <c r="AG3" i="15"/>
  <c r="AF3" i="15"/>
  <c r="W3" i="15"/>
  <c r="X3" i="15" s="1"/>
  <c r="V3" i="15"/>
  <c r="U3" i="15"/>
  <c r="T3" i="15"/>
  <c r="O3" i="15"/>
  <c r="H3" i="15"/>
  <c r="G3" i="15"/>
  <c r="F3" i="15"/>
  <c r="D3" i="15"/>
  <c r="C3" i="15"/>
  <c r="A2" i="15"/>
  <c r="A1" i="15"/>
  <c r="AB32" i="14"/>
  <c r="AD32" i="14" s="1"/>
  <c r="J32" i="14" s="1"/>
  <c r="Y32" i="14"/>
  <c r="X32" i="14"/>
  <c r="V32" i="14"/>
  <c r="U32" i="14"/>
  <c r="T32" i="14"/>
  <c r="P32" i="14"/>
  <c r="O32" i="14"/>
  <c r="Q32" i="14" s="1"/>
  <c r="M32" i="14"/>
  <c r="H32" i="14"/>
  <c r="C32" i="14"/>
  <c r="AD31" i="14"/>
  <c r="J31" i="14" s="1"/>
  <c r="I31" i="14" s="1"/>
  <c r="AB31" i="14"/>
  <c r="Y31" i="14"/>
  <c r="X31" i="14"/>
  <c r="P31" i="14"/>
  <c r="O31" i="14"/>
  <c r="Q31" i="14" s="1"/>
  <c r="M31" i="14"/>
  <c r="K31" i="14"/>
  <c r="H31" i="14"/>
  <c r="C31" i="14"/>
  <c r="AB30" i="14"/>
  <c r="AD30" i="14" s="1"/>
  <c r="J30" i="14" s="1"/>
  <c r="Y30" i="14"/>
  <c r="X30" i="14"/>
  <c r="P30" i="14"/>
  <c r="O30" i="14"/>
  <c r="Q30" i="14" s="1"/>
  <c r="M30" i="14"/>
  <c r="H30" i="14"/>
  <c r="C30" i="14"/>
  <c r="AB29" i="14"/>
  <c r="AD29" i="14" s="1"/>
  <c r="J29" i="14" s="1"/>
  <c r="Y29" i="14"/>
  <c r="X29" i="14"/>
  <c r="P29" i="14"/>
  <c r="O29" i="14"/>
  <c r="Q29" i="14" s="1"/>
  <c r="M29" i="14"/>
  <c r="H29" i="14"/>
  <c r="C29" i="14"/>
  <c r="AB28" i="14"/>
  <c r="AD28" i="14" s="1"/>
  <c r="J28" i="14" s="1"/>
  <c r="Y28" i="14"/>
  <c r="X28" i="14"/>
  <c r="Q28" i="14"/>
  <c r="P28" i="14"/>
  <c r="O28" i="14"/>
  <c r="M28" i="14"/>
  <c r="H28" i="14"/>
  <c r="C28" i="14"/>
  <c r="AB27" i="14"/>
  <c r="AD27" i="14" s="1"/>
  <c r="J27" i="14" s="1"/>
  <c r="Y27" i="14"/>
  <c r="X27" i="14"/>
  <c r="Q27" i="14"/>
  <c r="P27" i="14"/>
  <c r="O27" i="14"/>
  <c r="M27" i="14"/>
  <c r="H27" i="14"/>
  <c r="C27" i="14"/>
  <c r="AB26" i="14"/>
  <c r="AD26" i="14" s="1"/>
  <c r="J26" i="14" s="1"/>
  <c r="Y26" i="14"/>
  <c r="X26" i="14"/>
  <c r="P26" i="14"/>
  <c r="Q26" i="14" s="1"/>
  <c r="O26" i="14"/>
  <c r="M26" i="14"/>
  <c r="H26" i="14"/>
  <c r="C26" i="14"/>
  <c r="AD25" i="14"/>
  <c r="J25" i="14" s="1"/>
  <c r="K25" i="14" s="1"/>
  <c r="AB25" i="14"/>
  <c r="Y25" i="14"/>
  <c r="X25" i="14"/>
  <c r="P25" i="14"/>
  <c r="O25" i="14"/>
  <c r="Q25" i="14" s="1"/>
  <c r="M25" i="14"/>
  <c r="I25" i="14"/>
  <c r="H25" i="14"/>
  <c r="C25" i="14"/>
  <c r="AD24" i="14"/>
  <c r="J24" i="14" s="1"/>
  <c r="AB24" i="14"/>
  <c r="Y24" i="14"/>
  <c r="X24" i="14"/>
  <c r="P24" i="14"/>
  <c r="Q24" i="14" s="1"/>
  <c r="O24" i="14"/>
  <c r="M24" i="14"/>
  <c r="H24" i="14"/>
  <c r="C24" i="14"/>
  <c r="AD23" i="14"/>
  <c r="J23" i="14" s="1"/>
  <c r="I23" i="14" s="1"/>
  <c r="AB23" i="14"/>
  <c r="Y23" i="14"/>
  <c r="X23" i="14"/>
  <c r="P23" i="14"/>
  <c r="O23" i="14"/>
  <c r="Q23" i="14" s="1"/>
  <c r="M23" i="14"/>
  <c r="K23" i="14"/>
  <c r="H23" i="14"/>
  <c r="C23" i="14"/>
  <c r="AB22" i="14"/>
  <c r="AD22" i="14" s="1"/>
  <c r="J22" i="14" s="1"/>
  <c r="Y22" i="14"/>
  <c r="X22" i="14"/>
  <c r="P22" i="14"/>
  <c r="O22" i="14"/>
  <c r="Q22" i="14" s="1"/>
  <c r="M22" i="14"/>
  <c r="H22" i="14"/>
  <c r="C22" i="14"/>
  <c r="AB21" i="14"/>
  <c r="AD21" i="14" s="1"/>
  <c r="J21" i="14" s="1"/>
  <c r="Y21" i="14"/>
  <c r="X21" i="14"/>
  <c r="P21" i="14"/>
  <c r="O21" i="14"/>
  <c r="Q21" i="14" s="1"/>
  <c r="M21" i="14"/>
  <c r="H21" i="14"/>
  <c r="C21" i="14"/>
  <c r="AB20" i="14"/>
  <c r="AD20" i="14" s="1"/>
  <c r="J20" i="14" s="1"/>
  <c r="Y20" i="14"/>
  <c r="X20" i="14"/>
  <c r="Q20" i="14"/>
  <c r="P20" i="14"/>
  <c r="O20" i="14"/>
  <c r="M20" i="14"/>
  <c r="H20" i="14"/>
  <c r="C20" i="14"/>
  <c r="AB19" i="14"/>
  <c r="AD19" i="14" s="1"/>
  <c r="J19" i="14" s="1"/>
  <c r="Y19" i="14"/>
  <c r="X19" i="14"/>
  <c r="Q19" i="14"/>
  <c r="P19" i="14"/>
  <c r="O19" i="14"/>
  <c r="M19" i="14"/>
  <c r="H19" i="14"/>
  <c r="C19" i="14"/>
  <c r="AB18" i="14"/>
  <c r="AD18" i="14" s="1"/>
  <c r="J18" i="14" s="1"/>
  <c r="Y18" i="14"/>
  <c r="X18" i="14"/>
  <c r="P18" i="14"/>
  <c r="Q18" i="14" s="1"/>
  <c r="O18" i="14"/>
  <c r="M18" i="14"/>
  <c r="H18" i="14"/>
  <c r="C18" i="14"/>
  <c r="AD17" i="14"/>
  <c r="J17" i="14" s="1"/>
  <c r="K17" i="14" s="1"/>
  <c r="AB17" i="14"/>
  <c r="Y17" i="14"/>
  <c r="X17" i="14"/>
  <c r="P17" i="14"/>
  <c r="O17" i="14"/>
  <c r="Q17" i="14" s="1"/>
  <c r="M17" i="14"/>
  <c r="I17" i="14"/>
  <c r="H17" i="14"/>
  <c r="C17" i="14"/>
  <c r="AD16" i="14"/>
  <c r="J16" i="14" s="1"/>
  <c r="AB16" i="14"/>
  <c r="Y16" i="14"/>
  <c r="X16" i="14"/>
  <c r="P16" i="14"/>
  <c r="Q16" i="14" s="1"/>
  <c r="O16" i="14"/>
  <c r="M16" i="14"/>
  <c r="H16" i="14"/>
  <c r="C16" i="14"/>
  <c r="AD15" i="14"/>
  <c r="J15" i="14" s="1"/>
  <c r="I15" i="14" s="1"/>
  <c r="AB15" i="14"/>
  <c r="Y15" i="14"/>
  <c r="X15" i="14"/>
  <c r="P15" i="14"/>
  <c r="O15" i="14"/>
  <c r="Q15" i="14" s="1"/>
  <c r="M15" i="14"/>
  <c r="K15" i="14"/>
  <c r="H15" i="14"/>
  <c r="C15" i="14"/>
  <c r="AB14" i="14"/>
  <c r="AD14" i="14" s="1"/>
  <c r="J14" i="14" s="1"/>
  <c r="Y14" i="14"/>
  <c r="X14" i="14"/>
  <c r="P14" i="14"/>
  <c r="O14" i="14"/>
  <c r="Q14" i="14" s="1"/>
  <c r="M14" i="14"/>
  <c r="H14" i="14"/>
  <c r="C14" i="14"/>
  <c r="AB13" i="14"/>
  <c r="AD13" i="14" s="1"/>
  <c r="J13" i="14" s="1"/>
  <c r="Y13" i="14"/>
  <c r="X13" i="14"/>
  <c r="P13" i="14"/>
  <c r="O13" i="14"/>
  <c r="Q13" i="14" s="1"/>
  <c r="M13" i="14"/>
  <c r="H13" i="14"/>
  <c r="C13" i="14"/>
  <c r="AB12" i="14"/>
  <c r="AD12" i="14" s="1"/>
  <c r="J12" i="14" s="1"/>
  <c r="Y12" i="14"/>
  <c r="X12" i="14"/>
  <c r="Q12" i="14"/>
  <c r="P12" i="14"/>
  <c r="O12" i="14"/>
  <c r="M12" i="14"/>
  <c r="H12" i="14"/>
  <c r="C12" i="14"/>
  <c r="AB11" i="14"/>
  <c r="AD11" i="14" s="1"/>
  <c r="J11" i="14" s="1"/>
  <c r="Y11" i="14"/>
  <c r="X11" i="14"/>
  <c r="Q11" i="14"/>
  <c r="P11" i="14"/>
  <c r="O11" i="14"/>
  <c r="M11" i="14"/>
  <c r="H11" i="14"/>
  <c r="C11" i="14"/>
  <c r="AB10" i="14"/>
  <c r="AD10" i="14" s="1"/>
  <c r="J10" i="14" s="1"/>
  <c r="Y10" i="14"/>
  <c r="X10" i="14"/>
  <c r="P10" i="14"/>
  <c r="Q10" i="14" s="1"/>
  <c r="O10" i="14"/>
  <c r="M10" i="14"/>
  <c r="H10" i="14"/>
  <c r="C10" i="14"/>
  <c r="AD9" i="14"/>
  <c r="J9" i="14" s="1"/>
  <c r="K9" i="14" s="1"/>
  <c r="AB9" i="14"/>
  <c r="Y9" i="14"/>
  <c r="X9" i="14"/>
  <c r="P9" i="14"/>
  <c r="O9" i="14"/>
  <c r="Q9" i="14" s="1"/>
  <c r="M9" i="14"/>
  <c r="I9" i="14"/>
  <c r="H9" i="14"/>
  <c r="C9" i="14"/>
  <c r="AD8" i="14"/>
  <c r="J8" i="14" s="1"/>
  <c r="AB8" i="14"/>
  <c r="Y8" i="14"/>
  <c r="X8" i="14"/>
  <c r="P8" i="14"/>
  <c r="Q8" i="14" s="1"/>
  <c r="O8" i="14"/>
  <c r="M8" i="14"/>
  <c r="H8" i="14"/>
  <c r="C8" i="14"/>
  <c r="AD7" i="14"/>
  <c r="J7" i="14" s="1"/>
  <c r="I7" i="14" s="1"/>
  <c r="AB7" i="14"/>
  <c r="Y7" i="14"/>
  <c r="X7" i="14"/>
  <c r="P7" i="14"/>
  <c r="O7" i="14"/>
  <c r="Q7" i="14" s="1"/>
  <c r="M7" i="14"/>
  <c r="K7" i="14"/>
  <c r="H7" i="14"/>
  <c r="C7" i="14"/>
  <c r="AB6" i="14"/>
  <c r="AD6" i="14" s="1"/>
  <c r="J6" i="14" s="1"/>
  <c r="K6" i="14" s="1"/>
  <c r="Y6" i="14"/>
  <c r="X6" i="14"/>
  <c r="P6" i="14"/>
  <c r="O6" i="14"/>
  <c r="N6" i="14"/>
  <c r="Q6" i="14" s="1"/>
  <c r="M6" i="14"/>
  <c r="H6" i="14"/>
  <c r="C6" i="14"/>
  <c r="AD5" i="14"/>
  <c r="J5" i="14" s="1"/>
  <c r="AB5" i="14"/>
  <c r="Y5" i="14"/>
  <c r="X5" i="14"/>
  <c r="P5" i="14"/>
  <c r="Q5" i="14" s="1"/>
  <c r="O5" i="14"/>
  <c r="M5" i="14"/>
  <c r="H5" i="14"/>
  <c r="C5" i="14"/>
  <c r="AD4" i="14"/>
  <c r="AB4" i="14"/>
  <c r="Y4" i="14"/>
  <c r="X4" i="14"/>
  <c r="P4" i="14"/>
  <c r="O4" i="14"/>
  <c r="Q4" i="14" s="1"/>
  <c r="M4" i="14"/>
  <c r="H4" i="14"/>
  <c r="C4" i="14"/>
  <c r="AG3" i="14"/>
  <c r="AF3" i="14"/>
  <c r="X3" i="14"/>
  <c r="W3" i="14"/>
  <c r="V3" i="14"/>
  <c r="U3" i="14"/>
  <c r="T3" i="14"/>
  <c r="O3" i="14"/>
  <c r="G3" i="14"/>
  <c r="H3" i="14" s="1"/>
  <c r="F3" i="14"/>
  <c r="D3" i="14"/>
  <c r="C3" i="14"/>
  <c r="A2" i="14"/>
  <c r="A1" i="14"/>
  <c r="AD32" i="13"/>
  <c r="J32" i="13" s="1"/>
  <c r="AB32" i="13"/>
  <c r="Y32" i="13"/>
  <c r="X32" i="13"/>
  <c r="V32" i="13"/>
  <c r="U32" i="13"/>
  <c r="T32" i="13"/>
  <c r="Q32" i="13"/>
  <c r="P32" i="13"/>
  <c r="O32" i="13"/>
  <c r="M32" i="13"/>
  <c r="H32" i="13"/>
  <c r="C32" i="13"/>
  <c r="AB31" i="13"/>
  <c r="AD31" i="13" s="1"/>
  <c r="J31" i="13" s="1"/>
  <c r="Y31" i="13"/>
  <c r="X31" i="13"/>
  <c r="P31" i="13"/>
  <c r="Q31" i="13" s="1"/>
  <c r="O31" i="13"/>
  <c r="M31" i="13"/>
  <c r="H31" i="13"/>
  <c r="C31" i="13"/>
  <c r="AD30" i="13"/>
  <c r="J30" i="13" s="1"/>
  <c r="AB30" i="13"/>
  <c r="Y30" i="13"/>
  <c r="X30" i="13"/>
  <c r="P30" i="13"/>
  <c r="O30" i="13"/>
  <c r="Q30" i="13" s="1"/>
  <c r="M30" i="13"/>
  <c r="H30" i="13"/>
  <c r="C30" i="13"/>
  <c r="AD29" i="13"/>
  <c r="J29" i="13" s="1"/>
  <c r="AB29" i="13"/>
  <c r="Y29" i="13"/>
  <c r="X29" i="13"/>
  <c r="P29" i="13"/>
  <c r="O29" i="13"/>
  <c r="M29" i="13"/>
  <c r="H29" i="13"/>
  <c r="C29" i="13"/>
  <c r="AD28" i="13"/>
  <c r="J28" i="13" s="1"/>
  <c r="I28" i="13" s="1"/>
  <c r="AB28" i="13"/>
  <c r="Y28" i="13"/>
  <c r="X28" i="13"/>
  <c r="P28" i="13"/>
  <c r="O28" i="13"/>
  <c r="Q28" i="13" s="1"/>
  <c r="M28" i="13"/>
  <c r="H28" i="13"/>
  <c r="C28" i="13"/>
  <c r="AB27" i="13"/>
  <c r="AD27" i="13" s="1"/>
  <c r="J27" i="13" s="1"/>
  <c r="Y27" i="13"/>
  <c r="X27" i="13"/>
  <c r="P27" i="13"/>
  <c r="O27" i="13"/>
  <c r="Q27" i="13" s="1"/>
  <c r="M27" i="13"/>
  <c r="H27" i="13"/>
  <c r="C27" i="13"/>
  <c r="AB26" i="13"/>
  <c r="AD26" i="13" s="1"/>
  <c r="J26" i="13" s="1"/>
  <c r="Y26" i="13"/>
  <c r="X26" i="13"/>
  <c r="P26" i="13"/>
  <c r="O26" i="13"/>
  <c r="Q26" i="13" s="1"/>
  <c r="M26" i="13"/>
  <c r="H26" i="13"/>
  <c r="C26" i="13"/>
  <c r="AB25" i="13"/>
  <c r="AD25" i="13" s="1"/>
  <c r="Y25" i="13"/>
  <c r="X25" i="13"/>
  <c r="Q25" i="13"/>
  <c r="P25" i="13"/>
  <c r="O25" i="13"/>
  <c r="M25" i="13"/>
  <c r="J25" i="13"/>
  <c r="H25" i="13"/>
  <c r="C25" i="13"/>
  <c r="AB24" i="13"/>
  <c r="AD24" i="13" s="1"/>
  <c r="J24" i="13" s="1"/>
  <c r="Y24" i="13"/>
  <c r="X24" i="13"/>
  <c r="Q24" i="13"/>
  <c r="P24" i="13"/>
  <c r="O24" i="13"/>
  <c r="M24" i="13"/>
  <c r="H24" i="13"/>
  <c r="C24" i="13"/>
  <c r="AB23" i="13"/>
  <c r="AD23" i="13" s="1"/>
  <c r="J23" i="13" s="1"/>
  <c r="Y23" i="13"/>
  <c r="X23" i="13"/>
  <c r="P23" i="13"/>
  <c r="Q23" i="13" s="1"/>
  <c r="O23" i="13"/>
  <c r="M23" i="13"/>
  <c r="H23" i="13"/>
  <c r="C23" i="13"/>
  <c r="AD22" i="13"/>
  <c r="J22" i="13" s="1"/>
  <c r="AB22" i="13"/>
  <c r="Y22" i="13"/>
  <c r="X22" i="13"/>
  <c r="P22" i="13"/>
  <c r="O22" i="13"/>
  <c r="Q22" i="13" s="1"/>
  <c r="M22" i="13"/>
  <c r="H22" i="13"/>
  <c r="C22" i="13"/>
  <c r="AD21" i="13"/>
  <c r="J21" i="13" s="1"/>
  <c r="AB21" i="13"/>
  <c r="Y21" i="13"/>
  <c r="X21" i="13"/>
  <c r="P21" i="13"/>
  <c r="O21" i="13"/>
  <c r="M21" i="13"/>
  <c r="H21" i="13"/>
  <c r="C21" i="13"/>
  <c r="AD20" i="13"/>
  <c r="J20" i="13" s="1"/>
  <c r="I20" i="13" s="1"/>
  <c r="AB20" i="13"/>
  <c r="Y20" i="13"/>
  <c r="X20" i="13"/>
  <c r="P20" i="13"/>
  <c r="O20" i="13"/>
  <c r="Q20" i="13" s="1"/>
  <c r="M20" i="13"/>
  <c r="H20" i="13"/>
  <c r="C20" i="13"/>
  <c r="AB19" i="13"/>
  <c r="AD19" i="13" s="1"/>
  <c r="J19" i="13" s="1"/>
  <c r="Y19" i="13"/>
  <c r="X19" i="13"/>
  <c r="P19" i="13"/>
  <c r="O19" i="13"/>
  <c r="Q19" i="13" s="1"/>
  <c r="M19" i="13"/>
  <c r="H19" i="13"/>
  <c r="C19" i="13"/>
  <c r="AB18" i="13"/>
  <c r="AD18" i="13" s="1"/>
  <c r="J18" i="13" s="1"/>
  <c r="Y18" i="13"/>
  <c r="X18" i="13"/>
  <c r="P18" i="13"/>
  <c r="O18" i="13"/>
  <c r="Q18" i="13" s="1"/>
  <c r="M18" i="13"/>
  <c r="H18" i="13"/>
  <c r="C18" i="13"/>
  <c r="AB17" i="13"/>
  <c r="AD17" i="13" s="1"/>
  <c r="J17" i="13" s="1"/>
  <c r="Y17" i="13"/>
  <c r="X17" i="13"/>
  <c r="Q17" i="13"/>
  <c r="P17" i="13"/>
  <c r="O17" i="13"/>
  <c r="M17" i="13"/>
  <c r="H17" i="13"/>
  <c r="C17" i="13"/>
  <c r="AB16" i="13"/>
  <c r="AD16" i="13" s="1"/>
  <c r="J16" i="13" s="1"/>
  <c r="Y16" i="13"/>
  <c r="X16" i="13"/>
  <c r="Q16" i="13"/>
  <c r="P16" i="13"/>
  <c r="O16" i="13"/>
  <c r="M16" i="13"/>
  <c r="H16" i="13"/>
  <c r="C16" i="13"/>
  <c r="AB15" i="13"/>
  <c r="AD15" i="13" s="1"/>
  <c r="J15" i="13" s="1"/>
  <c r="Y15" i="13"/>
  <c r="X15" i="13"/>
  <c r="P15" i="13"/>
  <c r="Q15" i="13" s="1"/>
  <c r="O15" i="13"/>
  <c r="M15" i="13"/>
  <c r="H15" i="13"/>
  <c r="C15" i="13"/>
  <c r="AD14" i="13"/>
  <c r="J14" i="13" s="1"/>
  <c r="AB14" i="13"/>
  <c r="Y14" i="13"/>
  <c r="X14" i="13"/>
  <c r="P14" i="13"/>
  <c r="O14" i="13"/>
  <c r="Q14" i="13" s="1"/>
  <c r="M14" i="13"/>
  <c r="H14" i="13"/>
  <c r="C14" i="13"/>
  <c r="AD13" i="13"/>
  <c r="J13" i="13" s="1"/>
  <c r="AB13" i="13"/>
  <c r="Y13" i="13"/>
  <c r="X13" i="13"/>
  <c r="P13" i="13"/>
  <c r="Q13" i="13" s="1"/>
  <c r="O13" i="13"/>
  <c r="M13" i="13"/>
  <c r="H13" i="13"/>
  <c r="C13" i="13"/>
  <c r="AD12" i="13"/>
  <c r="J12" i="13" s="1"/>
  <c r="I12" i="13" s="1"/>
  <c r="AB12" i="13"/>
  <c r="Y12" i="13"/>
  <c r="X12" i="13"/>
  <c r="P12" i="13"/>
  <c r="O12" i="13"/>
  <c r="Q12" i="13" s="1"/>
  <c r="M12" i="13"/>
  <c r="H12" i="13"/>
  <c r="C12" i="13"/>
  <c r="AB11" i="13"/>
  <c r="AD11" i="13" s="1"/>
  <c r="J11" i="13" s="1"/>
  <c r="Y11" i="13"/>
  <c r="X11" i="13"/>
  <c r="P11" i="13"/>
  <c r="O11" i="13"/>
  <c r="Q11" i="13" s="1"/>
  <c r="M11" i="13"/>
  <c r="H11" i="13"/>
  <c r="C11" i="13"/>
  <c r="AB10" i="13"/>
  <c r="AD10" i="13" s="1"/>
  <c r="J10" i="13" s="1"/>
  <c r="Y10" i="13"/>
  <c r="X10" i="13"/>
  <c r="P10" i="13"/>
  <c r="O10" i="13"/>
  <c r="Q10" i="13" s="1"/>
  <c r="M10" i="13"/>
  <c r="H10" i="13"/>
  <c r="C10" i="13"/>
  <c r="AB9" i="13"/>
  <c r="AD9" i="13" s="1"/>
  <c r="J9" i="13" s="1"/>
  <c r="Y9" i="13"/>
  <c r="X9" i="13"/>
  <c r="Q9" i="13"/>
  <c r="P9" i="13"/>
  <c r="O9" i="13"/>
  <c r="M9" i="13"/>
  <c r="H9" i="13"/>
  <c r="C9" i="13"/>
  <c r="AB8" i="13"/>
  <c r="AD8" i="13" s="1"/>
  <c r="J8" i="13" s="1"/>
  <c r="Y8" i="13"/>
  <c r="X8" i="13"/>
  <c r="Q8" i="13"/>
  <c r="P8" i="13"/>
  <c r="O8" i="13"/>
  <c r="M8" i="13"/>
  <c r="H8" i="13"/>
  <c r="C8" i="13"/>
  <c r="AB7" i="13"/>
  <c r="AD7" i="13" s="1"/>
  <c r="J7" i="13" s="1"/>
  <c r="Y7" i="13"/>
  <c r="X7" i="13"/>
  <c r="P7" i="13"/>
  <c r="Q7" i="13" s="1"/>
  <c r="O7" i="13"/>
  <c r="M7" i="13"/>
  <c r="H7" i="13"/>
  <c r="C7" i="13"/>
  <c r="AD6" i="13"/>
  <c r="J6" i="13" s="1"/>
  <c r="AB6" i="13"/>
  <c r="Y6" i="13"/>
  <c r="X6" i="13"/>
  <c r="P6" i="13"/>
  <c r="Q6" i="13" s="1"/>
  <c r="O6" i="13"/>
  <c r="M6" i="13"/>
  <c r="H6" i="13"/>
  <c r="C6" i="13"/>
  <c r="AD5" i="13"/>
  <c r="J5" i="13" s="1"/>
  <c r="AB5" i="13"/>
  <c r="Y5" i="13"/>
  <c r="X5" i="13"/>
  <c r="P5" i="13"/>
  <c r="O5" i="13"/>
  <c r="M5" i="13"/>
  <c r="H5" i="13"/>
  <c r="C5" i="13"/>
  <c r="AD4" i="13"/>
  <c r="AB4" i="13"/>
  <c r="Y4" i="13"/>
  <c r="X4" i="13"/>
  <c r="P4" i="13"/>
  <c r="O4" i="13"/>
  <c r="Q4" i="13" s="1"/>
  <c r="M4" i="13"/>
  <c r="H4" i="13"/>
  <c r="C4" i="13"/>
  <c r="AG3" i="13"/>
  <c r="AF3" i="13"/>
  <c r="X3" i="13"/>
  <c r="W3" i="13"/>
  <c r="V3" i="13"/>
  <c r="U3" i="13"/>
  <c r="T3" i="13"/>
  <c r="O3" i="13"/>
  <c r="G3" i="13"/>
  <c r="H3" i="13" s="1"/>
  <c r="F3" i="13"/>
  <c r="D3" i="13"/>
  <c r="C3" i="13"/>
  <c r="A2" i="13"/>
  <c r="A1" i="13"/>
  <c r="AD32" i="12"/>
  <c r="J32" i="12" s="1"/>
  <c r="AB32" i="12"/>
  <c r="Y32" i="12"/>
  <c r="X32" i="12"/>
  <c r="V32" i="12"/>
  <c r="U32" i="12"/>
  <c r="T32" i="12"/>
  <c r="Q32" i="12"/>
  <c r="P32" i="12"/>
  <c r="O32" i="12"/>
  <c r="M32" i="12"/>
  <c r="H32" i="12"/>
  <c r="C32" i="12"/>
  <c r="AB31" i="12"/>
  <c r="AD31" i="12" s="1"/>
  <c r="J31" i="12" s="1"/>
  <c r="Y31" i="12"/>
  <c r="X31" i="12"/>
  <c r="P31" i="12"/>
  <c r="Q31" i="12" s="1"/>
  <c r="O31" i="12"/>
  <c r="M31" i="12"/>
  <c r="H31" i="12"/>
  <c r="C31" i="12"/>
  <c r="AD30" i="12"/>
  <c r="J30" i="12" s="1"/>
  <c r="K30" i="12" s="1"/>
  <c r="AB30" i="12"/>
  <c r="Y30" i="12"/>
  <c r="X30" i="12"/>
  <c r="P30" i="12"/>
  <c r="O30" i="12"/>
  <c r="Q30" i="12" s="1"/>
  <c r="M30" i="12"/>
  <c r="H30" i="12"/>
  <c r="C30" i="12"/>
  <c r="AD29" i="12"/>
  <c r="J29" i="12" s="1"/>
  <c r="AB29" i="12"/>
  <c r="Y29" i="12"/>
  <c r="X29" i="12"/>
  <c r="P29" i="12"/>
  <c r="O29" i="12"/>
  <c r="M29" i="12"/>
  <c r="H29" i="12"/>
  <c r="C29" i="12"/>
  <c r="AD28" i="12"/>
  <c r="J28" i="12" s="1"/>
  <c r="I28" i="12" s="1"/>
  <c r="AB28" i="12"/>
  <c r="Y28" i="12"/>
  <c r="X28" i="12"/>
  <c r="P28" i="12"/>
  <c r="O28" i="12"/>
  <c r="Q28" i="12" s="1"/>
  <c r="M28" i="12"/>
  <c r="H28" i="12"/>
  <c r="C28" i="12"/>
  <c r="AB27" i="12"/>
  <c r="AD27" i="12" s="1"/>
  <c r="J27" i="12" s="1"/>
  <c r="Y27" i="12"/>
  <c r="X27" i="12"/>
  <c r="P27" i="12"/>
  <c r="O27" i="12"/>
  <c r="Q27" i="12" s="1"/>
  <c r="M27" i="12"/>
  <c r="H27" i="12"/>
  <c r="C27" i="12"/>
  <c r="AB26" i="12"/>
  <c r="AD26" i="12" s="1"/>
  <c r="J26" i="12" s="1"/>
  <c r="Y26" i="12"/>
  <c r="X26" i="12"/>
  <c r="P26" i="12"/>
  <c r="O26" i="12"/>
  <c r="Q26" i="12" s="1"/>
  <c r="M26" i="12"/>
  <c r="H26" i="12"/>
  <c r="C26" i="12"/>
  <c r="AB25" i="12"/>
  <c r="AD25" i="12" s="1"/>
  <c r="Y25" i="12"/>
  <c r="X25" i="12"/>
  <c r="Q25" i="12"/>
  <c r="P25" i="12"/>
  <c r="O25" i="12"/>
  <c r="M25" i="12"/>
  <c r="J25" i="12"/>
  <c r="H25" i="12"/>
  <c r="C25" i="12"/>
  <c r="AB24" i="12"/>
  <c r="AD24" i="12" s="1"/>
  <c r="J24" i="12" s="1"/>
  <c r="Y24" i="12"/>
  <c r="X24" i="12"/>
  <c r="Q24" i="12"/>
  <c r="P24" i="12"/>
  <c r="O24" i="12"/>
  <c r="M24" i="12"/>
  <c r="H24" i="12"/>
  <c r="C24" i="12"/>
  <c r="AB23" i="12"/>
  <c r="AD23" i="12" s="1"/>
  <c r="J23" i="12" s="1"/>
  <c r="Y23" i="12"/>
  <c r="X23" i="12"/>
  <c r="P23" i="12"/>
  <c r="Q23" i="12" s="1"/>
  <c r="O23" i="12"/>
  <c r="M23" i="12"/>
  <c r="H23" i="12"/>
  <c r="C23" i="12"/>
  <c r="AD22" i="12"/>
  <c r="J22" i="12" s="1"/>
  <c r="K22" i="12" s="1"/>
  <c r="AB22" i="12"/>
  <c r="Y22" i="12"/>
  <c r="X22" i="12"/>
  <c r="P22" i="12"/>
  <c r="O22" i="12"/>
  <c r="Q22" i="12" s="1"/>
  <c r="M22" i="12"/>
  <c r="H22" i="12"/>
  <c r="C22" i="12"/>
  <c r="AD21" i="12"/>
  <c r="J21" i="12" s="1"/>
  <c r="AB21" i="12"/>
  <c r="Y21" i="12"/>
  <c r="X21" i="12"/>
  <c r="P21" i="12"/>
  <c r="O21" i="12"/>
  <c r="M21" i="12"/>
  <c r="H21" i="12"/>
  <c r="C21" i="12"/>
  <c r="AD20" i="12"/>
  <c r="J20" i="12" s="1"/>
  <c r="I20" i="12" s="1"/>
  <c r="AB20" i="12"/>
  <c r="Y20" i="12"/>
  <c r="X20" i="12"/>
  <c r="P20" i="12"/>
  <c r="O20" i="12"/>
  <c r="Q20" i="12" s="1"/>
  <c r="M20" i="12"/>
  <c r="H20" i="12"/>
  <c r="C20" i="12"/>
  <c r="AB19" i="12"/>
  <c r="AD19" i="12" s="1"/>
  <c r="J19" i="12" s="1"/>
  <c r="Y19" i="12"/>
  <c r="X19" i="12"/>
  <c r="P19" i="12"/>
  <c r="O19" i="12"/>
  <c r="Q19" i="12" s="1"/>
  <c r="M19" i="12"/>
  <c r="H19" i="12"/>
  <c r="C19" i="12"/>
  <c r="AB18" i="12"/>
  <c r="AD18" i="12" s="1"/>
  <c r="J18" i="12" s="1"/>
  <c r="Y18" i="12"/>
  <c r="X18" i="12"/>
  <c r="P18" i="12"/>
  <c r="O18" i="12"/>
  <c r="Q18" i="12" s="1"/>
  <c r="M18" i="12"/>
  <c r="H18" i="12"/>
  <c r="C18" i="12"/>
  <c r="AB17" i="12"/>
  <c r="AD17" i="12" s="1"/>
  <c r="J17" i="12" s="1"/>
  <c r="Y17" i="12"/>
  <c r="X17" i="12"/>
  <c r="Q17" i="12"/>
  <c r="P17" i="12"/>
  <c r="O17" i="12"/>
  <c r="M17" i="12"/>
  <c r="H17" i="12"/>
  <c r="C17" i="12"/>
  <c r="AB16" i="12"/>
  <c r="AD16" i="12" s="1"/>
  <c r="J16" i="12" s="1"/>
  <c r="Y16" i="12"/>
  <c r="X16" i="12"/>
  <c r="Q16" i="12"/>
  <c r="P16" i="12"/>
  <c r="O16" i="12"/>
  <c r="M16" i="12"/>
  <c r="H16" i="12"/>
  <c r="C16" i="12"/>
  <c r="AB15" i="12"/>
  <c r="AD15" i="12" s="1"/>
  <c r="J15" i="12" s="1"/>
  <c r="Y15" i="12"/>
  <c r="X15" i="12"/>
  <c r="P15" i="12"/>
  <c r="Q15" i="12" s="1"/>
  <c r="O15" i="12"/>
  <c r="M15" i="12"/>
  <c r="H15" i="12"/>
  <c r="C15" i="12"/>
  <c r="AD14" i="12"/>
  <c r="J14" i="12" s="1"/>
  <c r="K14" i="12" s="1"/>
  <c r="AB14" i="12"/>
  <c r="Y14" i="12"/>
  <c r="X14" i="12"/>
  <c r="P14" i="12"/>
  <c r="Q14" i="12" s="1"/>
  <c r="O14" i="12"/>
  <c r="M14" i="12"/>
  <c r="H14" i="12"/>
  <c r="C14" i="12"/>
  <c r="AD13" i="12"/>
  <c r="J13" i="12" s="1"/>
  <c r="AB13" i="12"/>
  <c r="Y13" i="12"/>
  <c r="X13" i="12"/>
  <c r="P13" i="12"/>
  <c r="O13" i="12"/>
  <c r="M13" i="12"/>
  <c r="H13" i="12"/>
  <c r="C13" i="12"/>
  <c r="AD12" i="12"/>
  <c r="J12" i="12" s="1"/>
  <c r="I12" i="12" s="1"/>
  <c r="AB12" i="12"/>
  <c r="Y12" i="12"/>
  <c r="X12" i="12"/>
  <c r="P12" i="12"/>
  <c r="O12" i="12"/>
  <c r="Q12" i="12" s="1"/>
  <c r="M12" i="12"/>
  <c r="H12" i="12"/>
  <c r="C12" i="12"/>
  <c r="AB11" i="12"/>
  <c r="AD11" i="12" s="1"/>
  <c r="J11" i="12" s="1"/>
  <c r="Y11" i="12"/>
  <c r="X11" i="12"/>
  <c r="P11" i="12"/>
  <c r="O11" i="12"/>
  <c r="Q11" i="12" s="1"/>
  <c r="M11" i="12"/>
  <c r="H11" i="12"/>
  <c r="C11" i="12"/>
  <c r="AB10" i="12"/>
  <c r="AD10" i="12" s="1"/>
  <c r="J10" i="12" s="1"/>
  <c r="Y10" i="12"/>
  <c r="X10" i="12"/>
  <c r="P10" i="12"/>
  <c r="O10" i="12"/>
  <c r="Q10" i="12" s="1"/>
  <c r="M10" i="12"/>
  <c r="H10" i="12"/>
  <c r="C10" i="12"/>
  <c r="AB9" i="12"/>
  <c r="AD9" i="12" s="1"/>
  <c r="J9" i="12" s="1"/>
  <c r="Y9" i="12"/>
  <c r="X9" i="12"/>
  <c r="Q9" i="12"/>
  <c r="P9" i="12"/>
  <c r="O9" i="12"/>
  <c r="M9" i="12"/>
  <c r="H9" i="12"/>
  <c r="C9" i="12"/>
  <c r="AB8" i="12"/>
  <c r="AD8" i="12" s="1"/>
  <c r="J8" i="12" s="1"/>
  <c r="Y8" i="12"/>
  <c r="X8" i="12"/>
  <c r="Q8" i="12"/>
  <c r="P8" i="12"/>
  <c r="O8" i="12"/>
  <c r="M8" i="12"/>
  <c r="H8" i="12"/>
  <c r="C8" i="12"/>
  <c r="AB7" i="12"/>
  <c r="AD7" i="12" s="1"/>
  <c r="J7" i="12" s="1"/>
  <c r="Y7" i="12"/>
  <c r="X7" i="12"/>
  <c r="P7" i="12"/>
  <c r="Q7" i="12" s="1"/>
  <c r="O7" i="12"/>
  <c r="M7" i="12"/>
  <c r="H7" i="12"/>
  <c r="C7" i="12"/>
  <c r="AD6" i="12"/>
  <c r="J6" i="12" s="1"/>
  <c r="K6" i="12" s="1"/>
  <c r="AB6" i="12"/>
  <c r="Y6" i="12"/>
  <c r="X6" i="12"/>
  <c r="P6" i="12"/>
  <c r="O6" i="12"/>
  <c r="Q6" i="12" s="1"/>
  <c r="M6" i="12"/>
  <c r="H6" i="12"/>
  <c r="C6" i="12"/>
  <c r="AD5" i="12"/>
  <c r="J5" i="12" s="1"/>
  <c r="AB5" i="12"/>
  <c r="Y5" i="12"/>
  <c r="X5" i="12"/>
  <c r="P5" i="12"/>
  <c r="Q5" i="12" s="1"/>
  <c r="O5" i="12"/>
  <c r="M5" i="12"/>
  <c r="H5" i="12"/>
  <c r="C5" i="12"/>
  <c r="AD4" i="12"/>
  <c r="AB4" i="12"/>
  <c r="Y4" i="12"/>
  <c r="X4" i="12"/>
  <c r="P4" i="12"/>
  <c r="O4" i="12"/>
  <c r="Q4" i="12" s="1"/>
  <c r="M4" i="12"/>
  <c r="H4" i="12"/>
  <c r="C4" i="12"/>
  <c r="AG3" i="12"/>
  <c r="AF3" i="12"/>
  <c r="X3" i="12"/>
  <c r="W3" i="12"/>
  <c r="V3" i="12"/>
  <c r="U3" i="12"/>
  <c r="T3" i="12"/>
  <c r="O3" i="12"/>
  <c r="G3" i="12"/>
  <c r="H3" i="12" s="1"/>
  <c r="F3" i="12"/>
  <c r="D3" i="12"/>
  <c r="C3" i="12"/>
  <c r="A2" i="12"/>
  <c r="A1" i="12"/>
  <c r="AD32" i="11"/>
  <c r="J32" i="11" s="1"/>
  <c r="AB32" i="11"/>
  <c r="Y32" i="11"/>
  <c r="X32" i="11"/>
  <c r="V32" i="11"/>
  <c r="U32" i="11"/>
  <c r="T32" i="11"/>
  <c r="Q32" i="11"/>
  <c r="P32" i="11"/>
  <c r="O32" i="11"/>
  <c r="M32" i="11"/>
  <c r="H32" i="11"/>
  <c r="C32" i="11"/>
  <c r="AB31" i="11"/>
  <c r="AD31" i="11" s="1"/>
  <c r="J31" i="11" s="1"/>
  <c r="Y31" i="11"/>
  <c r="X31" i="11"/>
  <c r="P31" i="11"/>
  <c r="Q31" i="11" s="1"/>
  <c r="O31" i="11"/>
  <c r="M31" i="11"/>
  <c r="H31" i="11"/>
  <c r="C31" i="11"/>
  <c r="AD30" i="11"/>
  <c r="J30" i="11" s="1"/>
  <c r="K30" i="11" s="1"/>
  <c r="AB30" i="11"/>
  <c r="Y30" i="11"/>
  <c r="X30" i="11"/>
  <c r="P30" i="11"/>
  <c r="O30" i="11"/>
  <c r="Q30" i="11" s="1"/>
  <c r="M30" i="11"/>
  <c r="I30" i="11"/>
  <c r="H30" i="11"/>
  <c r="C30" i="11"/>
  <c r="AD29" i="11"/>
  <c r="J29" i="11" s="1"/>
  <c r="AB29" i="11"/>
  <c r="Y29" i="11"/>
  <c r="X29" i="11"/>
  <c r="P29" i="11"/>
  <c r="O29" i="11"/>
  <c r="Q29" i="11" s="1"/>
  <c r="M29" i="11"/>
  <c r="H29" i="11"/>
  <c r="C29" i="11"/>
  <c r="AD28" i="11"/>
  <c r="J28" i="11" s="1"/>
  <c r="I28" i="11" s="1"/>
  <c r="AB28" i="11"/>
  <c r="Y28" i="11"/>
  <c r="X28" i="11"/>
  <c r="P28" i="11"/>
  <c r="O28" i="11"/>
  <c r="Q28" i="11" s="1"/>
  <c r="M28" i="11"/>
  <c r="H28" i="11"/>
  <c r="C28" i="11"/>
  <c r="AB27" i="11"/>
  <c r="AD27" i="11" s="1"/>
  <c r="J27" i="11" s="1"/>
  <c r="Y27" i="11"/>
  <c r="X27" i="11"/>
  <c r="P27" i="11"/>
  <c r="O27" i="11"/>
  <c r="Q27" i="11" s="1"/>
  <c r="M27" i="11"/>
  <c r="H27" i="11"/>
  <c r="C27" i="11"/>
  <c r="AB26" i="11"/>
  <c r="AD26" i="11" s="1"/>
  <c r="J26" i="11" s="1"/>
  <c r="Y26" i="11"/>
  <c r="X26" i="11"/>
  <c r="P26" i="11"/>
  <c r="O26" i="11"/>
  <c r="Q26" i="11" s="1"/>
  <c r="M26" i="11"/>
  <c r="H26" i="11"/>
  <c r="C26" i="11"/>
  <c r="AB25" i="11"/>
  <c r="AD25" i="11" s="1"/>
  <c r="Y25" i="11"/>
  <c r="X25" i="11"/>
  <c r="Q25" i="11"/>
  <c r="P25" i="11"/>
  <c r="O25" i="11"/>
  <c r="M25" i="11"/>
  <c r="J25" i="11"/>
  <c r="H25" i="11"/>
  <c r="C25" i="11"/>
  <c r="AB24" i="11"/>
  <c r="AD24" i="11" s="1"/>
  <c r="J24" i="11" s="1"/>
  <c r="Y24" i="11"/>
  <c r="X24" i="11"/>
  <c r="Q24" i="11"/>
  <c r="P24" i="11"/>
  <c r="O24" i="11"/>
  <c r="M24" i="11"/>
  <c r="H24" i="11"/>
  <c r="C24" i="11"/>
  <c r="AB23" i="11"/>
  <c r="AD23" i="11" s="1"/>
  <c r="J23" i="11" s="1"/>
  <c r="Y23" i="11"/>
  <c r="X23" i="11"/>
  <c r="P23" i="11"/>
  <c r="Q23" i="11" s="1"/>
  <c r="O23" i="11"/>
  <c r="M23" i="11"/>
  <c r="H23" i="11"/>
  <c r="C23" i="11"/>
  <c r="AD22" i="11"/>
  <c r="J22" i="11" s="1"/>
  <c r="K22" i="11" s="1"/>
  <c r="AB22" i="11"/>
  <c r="Y22" i="11"/>
  <c r="X22" i="11"/>
  <c r="P22" i="11"/>
  <c r="Q22" i="11" s="1"/>
  <c r="O22" i="11"/>
  <c r="M22" i="11"/>
  <c r="I22" i="11"/>
  <c r="H22" i="11"/>
  <c r="C22" i="11"/>
  <c r="AD21" i="11"/>
  <c r="J21" i="11" s="1"/>
  <c r="AB21" i="11"/>
  <c r="Y21" i="11"/>
  <c r="X21" i="11"/>
  <c r="P21" i="11"/>
  <c r="Q21" i="11" s="1"/>
  <c r="O21" i="11"/>
  <c r="M21" i="11"/>
  <c r="H21" i="11"/>
  <c r="C21" i="11"/>
  <c r="AD20" i="11"/>
  <c r="J20" i="11" s="1"/>
  <c r="I20" i="11" s="1"/>
  <c r="AB20" i="11"/>
  <c r="Y20" i="11"/>
  <c r="X20" i="11"/>
  <c r="P20" i="11"/>
  <c r="O20" i="11"/>
  <c r="Q20" i="11" s="1"/>
  <c r="M20" i="11"/>
  <c r="H20" i="11"/>
  <c r="C20" i="11"/>
  <c r="AB19" i="11"/>
  <c r="AD19" i="11" s="1"/>
  <c r="J19" i="11" s="1"/>
  <c r="Y19" i="11"/>
  <c r="X19" i="11"/>
  <c r="P19" i="11"/>
  <c r="O19" i="11"/>
  <c r="Q19" i="11" s="1"/>
  <c r="M19" i="11"/>
  <c r="H19" i="11"/>
  <c r="C19" i="11"/>
  <c r="AB18" i="11"/>
  <c r="AD18" i="11" s="1"/>
  <c r="J18" i="11" s="1"/>
  <c r="Y18" i="11"/>
  <c r="X18" i="11"/>
  <c r="P18" i="11"/>
  <c r="O18" i="11"/>
  <c r="Q18" i="11" s="1"/>
  <c r="M18" i="11"/>
  <c r="H18" i="11"/>
  <c r="C18" i="11"/>
  <c r="AB17" i="11"/>
  <c r="AD17" i="11" s="1"/>
  <c r="J17" i="11" s="1"/>
  <c r="Y17" i="11"/>
  <c r="X17" i="11"/>
  <c r="Q17" i="11"/>
  <c r="P17" i="11"/>
  <c r="O17" i="11"/>
  <c r="M17" i="11"/>
  <c r="H17" i="11"/>
  <c r="C17" i="11"/>
  <c r="AB16" i="11"/>
  <c r="AD16" i="11" s="1"/>
  <c r="J16" i="11" s="1"/>
  <c r="K16" i="11" s="1"/>
  <c r="Y16" i="11"/>
  <c r="X16" i="11"/>
  <c r="Q16" i="11"/>
  <c r="P16" i="11"/>
  <c r="O16" i="11"/>
  <c r="M16" i="11"/>
  <c r="I16" i="11"/>
  <c r="H16" i="11"/>
  <c r="C16" i="11"/>
  <c r="AB15" i="11"/>
  <c r="AD15" i="11" s="1"/>
  <c r="J15" i="11" s="1"/>
  <c r="Y15" i="11"/>
  <c r="X15" i="11"/>
  <c r="P15" i="11"/>
  <c r="Q15" i="11" s="1"/>
  <c r="O15" i="11"/>
  <c r="M15" i="11"/>
  <c r="H15" i="11"/>
  <c r="C15" i="11"/>
  <c r="AD14" i="11"/>
  <c r="J14" i="11" s="1"/>
  <c r="AB14" i="11"/>
  <c r="Y14" i="11"/>
  <c r="X14" i="11"/>
  <c r="P14" i="11"/>
  <c r="Q14" i="11" s="1"/>
  <c r="O14" i="11"/>
  <c r="M14" i="11"/>
  <c r="K14" i="11"/>
  <c r="I14" i="11"/>
  <c r="H14" i="11"/>
  <c r="C14" i="11"/>
  <c r="AD13" i="11"/>
  <c r="J13" i="11" s="1"/>
  <c r="AB13" i="11"/>
  <c r="Y13" i="11"/>
  <c r="X13" i="11"/>
  <c r="P13" i="11"/>
  <c r="Q13" i="11" s="1"/>
  <c r="O13" i="11"/>
  <c r="M13" i="11"/>
  <c r="H13" i="11"/>
  <c r="C13" i="11"/>
  <c r="AD12" i="11"/>
  <c r="J12" i="11" s="1"/>
  <c r="I12" i="11" s="1"/>
  <c r="AB12" i="11"/>
  <c r="Y12" i="11"/>
  <c r="X12" i="11"/>
  <c r="P12" i="11"/>
  <c r="O12" i="11"/>
  <c r="Q12" i="11" s="1"/>
  <c r="M12" i="11"/>
  <c r="H12" i="11"/>
  <c r="C12" i="11"/>
  <c r="AB11" i="11"/>
  <c r="AD11" i="11" s="1"/>
  <c r="Y11" i="11"/>
  <c r="X11" i="11"/>
  <c r="P11" i="11"/>
  <c r="O11" i="11"/>
  <c r="Q11" i="11" s="1"/>
  <c r="M11" i="11"/>
  <c r="J11" i="11"/>
  <c r="H11" i="11"/>
  <c r="C11" i="11"/>
  <c r="AB10" i="11"/>
  <c r="AD10" i="11" s="1"/>
  <c r="J10" i="11" s="1"/>
  <c r="Y10" i="11"/>
  <c r="X10" i="11"/>
  <c r="Q10" i="11"/>
  <c r="P10" i="11"/>
  <c r="O10" i="11"/>
  <c r="M10" i="11"/>
  <c r="H10" i="11"/>
  <c r="C10" i="11"/>
  <c r="AB9" i="11"/>
  <c r="AD9" i="11" s="1"/>
  <c r="Y9" i="11"/>
  <c r="X9" i="11"/>
  <c r="Q9" i="11"/>
  <c r="P9" i="11"/>
  <c r="O9" i="11"/>
  <c r="M9" i="11"/>
  <c r="J9" i="11"/>
  <c r="H9" i="11"/>
  <c r="C9" i="11"/>
  <c r="AB8" i="11"/>
  <c r="AD8" i="11" s="1"/>
  <c r="J8" i="11" s="1"/>
  <c r="Y8" i="11"/>
  <c r="X8" i="11"/>
  <c r="Q8" i="11"/>
  <c r="P8" i="11"/>
  <c r="O8" i="11"/>
  <c r="M8" i="11"/>
  <c r="H8" i="11"/>
  <c r="C8" i="11"/>
  <c r="AD7" i="11"/>
  <c r="J7" i="11" s="1"/>
  <c r="AB7" i="11"/>
  <c r="Y7" i="11"/>
  <c r="X7" i="11"/>
  <c r="P7" i="11"/>
  <c r="Q7" i="11" s="1"/>
  <c r="O7" i="11"/>
  <c r="M7" i="11"/>
  <c r="H7" i="11"/>
  <c r="C7" i="11"/>
  <c r="AD6" i="11"/>
  <c r="J6" i="11" s="1"/>
  <c r="K6" i="11" s="1"/>
  <c r="AB6" i="11"/>
  <c r="Y6" i="11"/>
  <c r="X6" i="11"/>
  <c r="P6" i="11"/>
  <c r="O6" i="11"/>
  <c r="Q6" i="11" s="1"/>
  <c r="M6" i="11"/>
  <c r="I6" i="11"/>
  <c r="H6" i="11"/>
  <c r="C6" i="11"/>
  <c r="AD5" i="11"/>
  <c r="J5" i="11" s="1"/>
  <c r="AB5" i="11"/>
  <c r="Y5" i="11"/>
  <c r="X5" i="11"/>
  <c r="P5" i="11"/>
  <c r="O5" i="11"/>
  <c r="Q5" i="11" s="1"/>
  <c r="M5" i="11"/>
  <c r="H5" i="11"/>
  <c r="C5" i="11"/>
  <c r="AD4" i="11"/>
  <c r="AB4" i="11"/>
  <c r="Y4" i="11"/>
  <c r="X4" i="11"/>
  <c r="P4" i="11"/>
  <c r="O4" i="11"/>
  <c r="Q4" i="11" s="1"/>
  <c r="M4" i="11"/>
  <c r="H4" i="11"/>
  <c r="C4" i="11"/>
  <c r="AG3" i="11"/>
  <c r="AF3" i="11"/>
  <c r="X3" i="11"/>
  <c r="W3" i="11"/>
  <c r="V3" i="11"/>
  <c r="U3" i="11"/>
  <c r="T3" i="11"/>
  <c r="O3" i="11"/>
  <c r="G3" i="11"/>
  <c r="H3" i="11" s="1"/>
  <c r="F3" i="11"/>
  <c r="D3" i="11"/>
  <c r="C3" i="11"/>
  <c r="A2" i="11"/>
  <c r="A1" i="11"/>
  <c r="AD32" i="10"/>
  <c r="J32" i="10" s="1"/>
  <c r="K32" i="10" s="1"/>
  <c r="AB32" i="10"/>
  <c r="Y32" i="10"/>
  <c r="X32" i="10"/>
  <c r="V32" i="10"/>
  <c r="U32" i="10"/>
  <c r="T32" i="10"/>
  <c r="Q32" i="10"/>
  <c r="P32" i="10"/>
  <c r="O32" i="10"/>
  <c r="M32" i="10"/>
  <c r="I32" i="10"/>
  <c r="H32" i="10"/>
  <c r="C32" i="10"/>
  <c r="AB31" i="10"/>
  <c r="AD31" i="10" s="1"/>
  <c r="J31" i="10" s="1"/>
  <c r="Y31" i="10"/>
  <c r="X31" i="10"/>
  <c r="P31" i="10"/>
  <c r="Q31" i="10" s="1"/>
  <c r="O31" i="10"/>
  <c r="M31" i="10"/>
  <c r="H31" i="10"/>
  <c r="C31" i="10"/>
  <c r="AD30" i="10"/>
  <c r="J30" i="10" s="1"/>
  <c r="K30" i="10" s="1"/>
  <c r="AB30" i="10"/>
  <c r="Y30" i="10"/>
  <c r="X30" i="10"/>
  <c r="P30" i="10"/>
  <c r="O30" i="10"/>
  <c r="Q30" i="10" s="1"/>
  <c r="M30" i="10"/>
  <c r="H30" i="10"/>
  <c r="C30" i="10"/>
  <c r="AD29" i="10"/>
  <c r="J29" i="10" s="1"/>
  <c r="AB29" i="10"/>
  <c r="Y29" i="10"/>
  <c r="X29" i="10"/>
  <c r="P29" i="10"/>
  <c r="O29" i="10"/>
  <c r="Q29" i="10" s="1"/>
  <c r="M29" i="10"/>
  <c r="H29" i="10"/>
  <c r="C29" i="10"/>
  <c r="AD28" i="10"/>
  <c r="J28" i="10" s="1"/>
  <c r="I28" i="10" s="1"/>
  <c r="AB28" i="10"/>
  <c r="Y28" i="10"/>
  <c r="X28" i="10"/>
  <c r="P28" i="10"/>
  <c r="O28" i="10"/>
  <c r="Q28" i="10" s="1"/>
  <c r="M28" i="10"/>
  <c r="K28" i="10"/>
  <c r="H28" i="10"/>
  <c r="C28" i="10"/>
  <c r="AB27" i="10"/>
  <c r="AD27" i="10" s="1"/>
  <c r="J27" i="10" s="1"/>
  <c r="Y27" i="10"/>
  <c r="X27" i="10"/>
  <c r="P27" i="10"/>
  <c r="O27" i="10"/>
  <c r="Q27" i="10" s="1"/>
  <c r="M27" i="10"/>
  <c r="H27" i="10"/>
  <c r="C27" i="10"/>
  <c r="AB26" i="10"/>
  <c r="AD26" i="10" s="1"/>
  <c r="J26" i="10" s="1"/>
  <c r="Y26" i="10"/>
  <c r="X26" i="10"/>
  <c r="Q26" i="10"/>
  <c r="P26" i="10"/>
  <c r="O26" i="10"/>
  <c r="M26" i="10"/>
  <c r="H26" i="10"/>
  <c r="C26" i="10"/>
  <c r="AB25" i="10"/>
  <c r="AD25" i="10" s="1"/>
  <c r="J25" i="10" s="1"/>
  <c r="Y25" i="10"/>
  <c r="X25" i="10"/>
  <c r="Q25" i="10"/>
  <c r="P25" i="10"/>
  <c r="O25" i="10"/>
  <c r="M25" i="10"/>
  <c r="H25" i="10"/>
  <c r="C25" i="10"/>
  <c r="AB24" i="10"/>
  <c r="AD24" i="10" s="1"/>
  <c r="J24" i="10" s="1"/>
  <c r="K24" i="10" s="1"/>
  <c r="Y24" i="10"/>
  <c r="X24" i="10"/>
  <c r="Q24" i="10"/>
  <c r="P24" i="10"/>
  <c r="O24" i="10"/>
  <c r="M24" i="10"/>
  <c r="H24" i="10"/>
  <c r="C24" i="10"/>
  <c r="AB23" i="10"/>
  <c r="AD23" i="10" s="1"/>
  <c r="J23" i="10" s="1"/>
  <c r="Y23" i="10"/>
  <c r="X23" i="10"/>
  <c r="P23" i="10"/>
  <c r="Q23" i="10" s="1"/>
  <c r="O23" i="10"/>
  <c r="M23" i="10"/>
  <c r="H23" i="10"/>
  <c r="C23" i="10"/>
  <c r="AD22" i="10"/>
  <c r="J22" i="10" s="1"/>
  <c r="AB22" i="10"/>
  <c r="Y22" i="10"/>
  <c r="X22" i="10"/>
  <c r="P22" i="10"/>
  <c r="O22" i="10"/>
  <c r="Q22" i="10" s="1"/>
  <c r="M22" i="10"/>
  <c r="K22" i="10"/>
  <c r="I22" i="10"/>
  <c r="H22" i="10"/>
  <c r="C22" i="10"/>
  <c r="AD21" i="10"/>
  <c r="J21" i="10" s="1"/>
  <c r="AB21" i="10"/>
  <c r="Y21" i="10"/>
  <c r="X21" i="10"/>
  <c r="P21" i="10"/>
  <c r="O21" i="10"/>
  <c r="M21" i="10"/>
  <c r="H21" i="10"/>
  <c r="C21" i="10"/>
  <c r="AD20" i="10"/>
  <c r="J20" i="10" s="1"/>
  <c r="AB20" i="10"/>
  <c r="Y20" i="10"/>
  <c r="X20" i="10"/>
  <c r="P20" i="10"/>
  <c r="O20" i="10"/>
  <c r="Q20" i="10" s="1"/>
  <c r="M20" i="10"/>
  <c r="H20" i="10"/>
  <c r="C20" i="10"/>
  <c r="AB19" i="10"/>
  <c r="AD19" i="10" s="1"/>
  <c r="Y19" i="10"/>
  <c r="X19" i="10"/>
  <c r="P19" i="10"/>
  <c r="O19" i="10"/>
  <c r="Q19" i="10" s="1"/>
  <c r="M19" i="10"/>
  <c r="J19" i="10"/>
  <c r="H19" i="10"/>
  <c r="C19" i="10"/>
  <c r="AB18" i="10"/>
  <c r="AD18" i="10" s="1"/>
  <c r="J18" i="10" s="1"/>
  <c r="Y18" i="10"/>
  <c r="X18" i="10"/>
  <c r="P18" i="10"/>
  <c r="O18" i="10"/>
  <c r="Q18" i="10" s="1"/>
  <c r="M18" i="10"/>
  <c r="H18" i="10"/>
  <c r="C18" i="10"/>
  <c r="AB17" i="10"/>
  <c r="AD17" i="10" s="1"/>
  <c r="J17" i="10" s="1"/>
  <c r="Y17" i="10"/>
  <c r="X17" i="10"/>
  <c r="Q17" i="10"/>
  <c r="P17" i="10"/>
  <c r="O17" i="10"/>
  <c r="M17" i="10"/>
  <c r="H17" i="10"/>
  <c r="C17" i="10"/>
  <c r="AB16" i="10"/>
  <c r="AD16" i="10" s="1"/>
  <c r="J16" i="10" s="1"/>
  <c r="K16" i="10" s="1"/>
  <c r="Y16" i="10"/>
  <c r="X16" i="10"/>
  <c r="Q16" i="10"/>
  <c r="P16" i="10"/>
  <c r="O16" i="10"/>
  <c r="M16" i="10"/>
  <c r="H16" i="10"/>
  <c r="C16" i="10"/>
  <c r="AB15" i="10"/>
  <c r="AD15" i="10" s="1"/>
  <c r="J15" i="10" s="1"/>
  <c r="K15" i="10" s="1"/>
  <c r="Y15" i="10"/>
  <c r="X15" i="10"/>
  <c r="P15" i="10"/>
  <c r="Q15" i="10" s="1"/>
  <c r="O15" i="10"/>
  <c r="M15" i="10"/>
  <c r="I15" i="10"/>
  <c r="H15" i="10"/>
  <c r="C15" i="10"/>
  <c r="AD14" i="10"/>
  <c r="J14" i="10" s="1"/>
  <c r="K14" i="10" s="1"/>
  <c r="AB14" i="10"/>
  <c r="Y14" i="10"/>
  <c r="X14" i="10"/>
  <c r="P14" i="10"/>
  <c r="O14" i="10"/>
  <c r="Q14" i="10" s="1"/>
  <c r="M14" i="10"/>
  <c r="I14" i="10"/>
  <c r="H14" i="10"/>
  <c r="C14" i="10"/>
  <c r="AD13" i="10"/>
  <c r="J13" i="10" s="1"/>
  <c r="I13" i="10" s="1"/>
  <c r="AB13" i="10"/>
  <c r="Y13" i="10"/>
  <c r="X13" i="10"/>
  <c r="P13" i="10"/>
  <c r="O13" i="10"/>
  <c r="Q13" i="10" s="1"/>
  <c r="M13" i="10"/>
  <c r="H13" i="10"/>
  <c r="C13" i="10"/>
  <c r="AD12" i="10"/>
  <c r="J12" i="10" s="1"/>
  <c r="I12" i="10" s="1"/>
  <c r="AB12" i="10"/>
  <c r="Y12" i="10"/>
  <c r="X12" i="10"/>
  <c r="P12" i="10"/>
  <c r="O12" i="10"/>
  <c r="Q12" i="10" s="1"/>
  <c r="M12" i="10"/>
  <c r="H12" i="10"/>
  <c r="C12" i="10"/>
  <c r="AB11" i="10"/>
  <c r="AD11" i="10" s="1"/>
  <c r="Y11" i="10"/>
  <c r="X11" i="10"/>
  <c r="P11" i="10"/>
  <c r="O11" i="10"/>
  <c r="Q11" i="10" s="1"/>
  <c r="M11" i="10"/>
  <c r="J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Y9" i="10"/>
  <c r="X9" i="10"/>
  <c r="Q9" i="10"/>
  <c r="P9" i="10"/>
  <c r="O9" i="10"/>
  <c r="M9" i="10"/>
  <c r="J9" i="10"/>
  <c r="H9" i="10"/>
  <c r="C9" i="10"/>
  <c r="AB8" i="10"/>
  <c r="AD8" i="10" s="1"/>
  <c r="J8" i="10" s="1"/>
  <c r="K8" i="10" s="1"/>
  <c r="Y8" i="10"/>
  <c r="X8" i="10"/>
  <c r="Q8" i="10"/>
  <c r="P8" i="10"/>
  <c r="O8" i="10"/>
  <c r="M8" i="10"/>
  <c r="I8" i="10"/>
  <c r="H8" i="10"/>
  <c r="C8" i="10"/>
  <c r="AB7" i="10"/>
  <c r="AD7" i="10" s="1"/>
  <c r="J7" i="10" s="1"/>
  <c r="Y7" i="10"/>
  <c r="X7" i="10"/>
  <c r="P7" i="10"/>
  <c r="Q7" i="10" s="1"/>
  <c r="O7" i="10"/>
  <c r="M7" i="10"/>
  <c r="H7" i="10"/>
  <c r="C7" i="10"/>
  <c r="AD6" i="10"/>
  <c r="J6" i="10" s="1"/>
  <c r="AB6" i="10"/>
  <c r="Y6" i="10"/>
  <c r="X6" i="10"/>
  <c r="P6" i="10"/>
  <c r="O6" i="10"/>
  <c r="M6" i="10"/>
  <c r="K6" i="10"/>
  <c r="I6" i="10"/>
  <c r="H6" i="10"/>
  <c r="C6" i="10"/>
  <c r="AD5" i="10"/>
  <c r="J5" i="10" s="1"/>
  <c r="I5" i="10" s="1"/>
  <c r="AB5" i="10"/>
  <c r="Y5" i="10"/>
  <c r="X5" i="10"/>
  <c r="P5" i="10"/>
  <c r="Q5" i="10" s="1"/>
  <c r="O5" i="10"/>
  <c r="M5" i="10"/>
  <c r="K5" i="10"/>
  <c r="H5" i="10"/>
  <c r="C5" i="10"/>
  <c r="AD4" i="10"/>
  <c r="AB4" i="10"/>
  <c r="Y4" i="10"/>
  <c r="X4" i="10"/>
  <c r="P4" i="10"/>
  <c r="O4" i="10"/>
  <c r="Q4" i="10" s="1"/>
  <c r="M4" i="10"/>
  <c r="H4" i="10"/>
  <c r="C4" i="10"/>
  <c r="AG3" i="10"/>
  <c r="AF3" i="10"/>
  <c r="X3" i="10"/>
  <c r="W3" i="10"/>
  <c r="V3" i="10"/>
  <c r="U3" i="10"/>
  <c r="T3" i="10"/>
  <c r="O3" i="10"/>
  <c r="G3" i="10"/>
  <c r="F3" i="10"/>
  <c r="D3" i="10"/>
  <c r="C3" i="10"/>
  <c r="A2" i="10"/>
  <c r="A1" i="10"/>
  <c r="AD32" i="9"/>
  <c r="J32" i="9" s="1"/>
  <c r="AB32" i="9"/>
  <c r="Y32" i="9"/>
  <c r="X32" i="9"/>
  <c r="V32" i="9"/>
  <c r="U32" i="9"/>
  <c r="T32" i="9"/>
  <c r="Q32" i="9"/>
  <c r="P32" i="9"/>
  <c r="O32" i="9"/>
  <c r="M32" i="9"/>
  <c r="H32" i="9"/>
  <c r="C32" i="9"/>
  <c r="AB31" i="9"/>
  <c r="AD31" i="9" s="1"/>
  <c r="J31" i="9" s="1"/>
  <c r="K31" i="9" s="1"/>
  <c r="Y31" i="9"/>
  <c r="X31" i="9"/>
  <c r="P31" i="9"/>
  <c r="Q31" i="9" s="1"/>
  <c r="O31" i="9"/>
  <c r="M31" i="9"/>
  <c r="H31" i="9"/>
  <c r="C31" i="9"/>
  <c r="AD30" i="9"/>
  <c r="J30" i="9" s="1"/>
  <c r="K30" i="9" s="1"/>
  <c r="AB30" i="9"/>
  <c r="Y30" i="9"/>
  <c r="X30" i="9"/>
  <c r="P30" i="9"/>
  <c r="O30" i="9"/>
  <c r="Q30" i="9" s="1"/>
  <c r="M30" i="9"/>
  <c r="H30" i="9"/>
  <c r="C30" i="9"/>
  <c r="AD29" i="9"/>
  <c r="J29" i="9" s="1"/>
  <c r="I29" i="9" s="1"/>
  <c r="AB29" i="9"/>
  <c r="Y29" i="9"/>
  <c r="X29" i="9"/>
  <c r="P29" i="9"/>
  <c r="O29" i="9"/>
  <c r="Q29" i="9" s="1"/>
  <c r="M29" i="9"/>
  <c r="H29" i="9"/>
  <c r="C29" i="9"/>
  <c r="AD28" i="9"/>
  <c r="J28" i="9" s="1"/>
  <c r="I28" i="9" s="1"/>
  <c r="AB28" i="9"/>
  <c r="Y28" i="9"/>
  <c r="X28" i="9"/>
  <c r="P28" i="9"/>
  <c r="O28" i="9"/>
  <c r="Q28" i="9" s="1"/>
  <c r="M28" i="9"/>
  <c r="H28" i="9"/>
  <c r="C28" i="9"/>
  <c r="AB27" i="9"/>
  <c r="AD27" i="9" s="1"/>
  <c r="J27" i="9" s="1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Q26" i="9"/>
  <c r="P26" i="9"/>
  <c r="O26" i="9"/>
  <c r="M26" i="9"/>
  <c r="H26" i="9"/>
  <c r="C26" i="9"/>
  <c r="AB25" i="9"/>
  <c r="AD25" i="9" s="1"/>
  <c r="J25" i="9" s="1"/>
  <c r="Y25" i="9"/>
  <c r="X25" i="9"/>
  <c r="Q25" i="9"/>
  <c r="P25" i="9"/>
  <c r="O25" i="9"/>
  <c r="M25" i="9"/>
  <c r="H25" i="9"/>
  <c r="C25" i="9"/>
  <c r="AB24" i="9"/>
  <c r="AD24" i="9" s="1"/>
  <c r="J24" i="9" s="1"/>
  <c r="K24" i="9" s="1"/>
  <c r="Y24" i="9"/>
  <c r="X24" i="9"/>
  <c r="Q24" i="9"/>
  <c r="P24" i="9"/>
  <c r="O24" i="9"/>
  <c r="M24" i="9"/>
  <c r="I24" i="9"/>
  <c r="H24" i="9"/>
  <c r="C24" i="9"/>
  <c r="AB23" i="9"/>
  <c r="AD23" i="9" s="1"/>
  <c r="J23" i="9" s="1"/>
  <c r="K23" i="9" s="1"/>
  <c r="Y23" i="9"/>
  <c r="X23" i="9"/>
  <c r="P23" i="9"/>
  <c r="Q23" i="9" s="1"/>
  <c r="O23" i="9"/>
  <c r="M23" i="9"/>
  <c r="H23" i="9"/>
  <c r="C23" i="9"/>
  <c r="AD22" i="9"/>
  <c r="J22" i="9" s="1"/>
  <c r="K22" i="9" s="1"/>
  <c r="AB22" i="9"/>
  <c r="Y22" i="9"/>
  <c r="X22" i="9"/>
  <c r="P22" i="9"/>
  <c r="O22" i="9"/>
  <c r="M22" i="9"/>
  <c r="I22" i="9"/>
  <c r="H22" i="9"/>
  <c r="C22" i="9"/>
  <c r="AD21" i="9"/>
  <c r="J21" i="9" s="1"/>
  <c r="I21" i="9" s="1"/>
  <c r="AB21" i="9"/>
  <c r="Y21" i="9"/>
  <c r="X21" i="9"/>
  <c r="P21" i="9"/>
  <c r="Q21" i="9" s="1"/>
  <c r="O21" i="9"/>
  <c r="M21" i="9"/>
  <c r="H21" i="9"/>
  <c r="C21" i="9"/>
  <c r="AD20" i="9"/>
  <c r="J20" i="9" s="1"/>
  <c r="I20" i="9" s="1"/>
  <c r="AB20" i="9"/>
  <c r="Y20" i="9"/>
  <c r="X20" i="9"/>
  <c r="P20" i="9"/>
  <c r="O20" i="9"/>
  <c r="Q20" i="9" s="1"/>
  <c r="M20" i="9"/>
  <c r="K20" i="9"/>
  <c r="H20" i="9"/>
  <c r="C20" i="9"/>
  <c r="AB19" i="9"/>
  <c r="AD19" i="9" s="1"/>
  <c r="J19" i="9" s="1"/>
  <c r="Y19" i="9"/>
  <c r="X19" i="9"/>
  <c r="P19" i="9"/>
  <c r="O19" i="9"/>
  <c r="Q19" i="9" s="1"/>
  <c r="M19" i="9"/>
  <c r="H19" i="9"/>
  <c r="C19" i="9"/>
  <c r="AB18" i="9"/>
  <c r="AD18" i="9" s="1"/>
  <c r="J18" i="9" s="1"/>
  <c r="Y18" i="9"/>
  <c r="X18" i="9"/>
  <c r="Q18" i="9"/>
  <c r="P18" i="9"/>
  <c r="O18" i="9"/>
  <c r="M18" i="9"/>
  <c r="H18" i="9"/>
  <c r="C18" i="9"/>
  <c r="AB17" i="9"/>
  <c r="AD17" i="9" s="1"/>
  <c r="Y17" i="9"/>
  <c r="X17" i="9"/>
  <c r="Q17" i="9"/>
  <c r="P17" i="9"/>
  <c r="O17" i="9"/>
  <c r="M17" i="9"/>
  <c r="J17" i="9"/>
  <c r="H17" i="9"/>
  <c r="C17" i="9"/>
  <c r="AB16" i="9"/>
  <c r="AD16" i="9" s="1"/>
  <c r="J16" i="9" s="1"/>
  <c r="K16" i="9" s="1"/>
  <c r="Y16" i="9"/>
  <c r="X16" i="9"/>
  <c r="Q16" i="9"/>
  <c r="P16" i="9"/>
  <c r="O16" i="9"/>
  <c r="M16" i="9"/>
  <c r="H16" i="9"/>
  <c r="C16" i="9"/>
  <c r="AB15" i="9"/>
  <c r="AD15" i="9" s="1"/>
  <c r="J15" i="9" s="1"/>
  <c r="K15" i="9" s="1"/>
  <c r="Y15" i="9"/>
  <c r="X15" i="9"/>
  <c r="P15" i="9"/>
  <c r="Q15" i="9" s="1"/>
  <c r="O15" i="9"/>
  <c r="M15" i="9"/>
  <c r="I15" i="9"/>
  <c r="H15" i="9"/>
  <c r="C15" i="9"/>
  <c r="AD14" i="9"/>
  <c r="J14" i="9" s="1"/>
  <c r="AB14" i="9"/>
  <c r="Y14" i="9"/>
  <c r="X14" i="9"/>
  <c r="P14" i="9"/>
  <c r="O14" i="9"/>
  <c r="Q14" i="9" s="1"/>
  <c r="M14" i="9"/>
  <c r="K14" i="9"/>
  <c r="I14" i="9"/>
  <c r="H14" i="9"/>
  <c r="C14" i="9"/>
  <c r="AD13" i="9"/>
  <c r="J13" i="9" s="1"/>
  <c r="AB13" i="9"/>
  <c r="Y13" i="9"/>
  <c r="X13" i="9"/>
  <c r="P13" i="9"/>
  <c r="Q13" i="9" s="1"/>
  <c r="O13" i="9"/>
  <c r="M13" i="9"/>
  <c r="K13" i="9"/>
  <c r="I13" i="9"/>
  <c r="H13" i="9"/>
  <c r="C13" i="9"/>
  <c r="AD12" i="9"/>
  <c r="J12" i="9" s="1"/>
  <c r="I12" i="9" s="1"/>
  <c r="AB12" i="9"/>
  <c r="Y12" i="9"/>
  <c r="X12" i="9"/>
  <c r="P12" i="9"/>
  <c r="O12" i="9"/>
  <c r="M12" i="9"/>
  <c r="K12" i="9"/>
  <c r="H12" i="9"/>
  <c r="C12" i="9"/>
  <c r="AB11" i="9"/>
  <c r="AD11" i="9" s="1"/>
  <c r="J11" i="9" s="1"/>
  <c r="Y11" i="9"/>
  <c r="X11" i="9"/>
  <c r="P11" i="9"/>
  <c r="O11" i="9"/>
  <c r="Q11" i="9" s="1"/>
  <c r="M11" i="9"/>
  <c r="H11" i="9"/>
  <c r="C11" i="9"/>
  <c r="AB10" i="9"/>
  <c r="AD10" i="9" s="1"/>
  <c r="Y10" i="9"/>
  <c r="X10" i="9"/>
  <c r="P10" i="9"/>
  <c r="O10" i="9"/>
  <c r="Q10" i="9" s="1"/>
  <c r="M10" i="9"/>
  <c r="J10" i="9"/>
  <c r="H10" i="9"/>
  <c r="C10" i="9"/>
  <c r="AB9" i="9"/>
  <c r="AD9" i="9" s="1"/>
  <c r="J9" i="9" s="1"/>
  <c r="Y9" i="9"/>
  <c r="X9" i="9"/>
  <c r="P9" i="9"/>
  <c r="O9" i="9"/>
  <c r="Q9" i="9" s="1"/>
  <c r="M9" i="9"/>
  <c r="H9" i="9"/>
  <c r="C9" i="9"/>
  <c r="AD8" i="9"/>
  <c r="J8" i="9" s="1"/>
  <c r="AB8" i="9"/>
  <c r="Y8" i="9"/>
  <c r="X8" i="9"/>
  <c r="Q8" i="9"/>
  <c r="P8" i="9"/>
  <c r="O8" i="9"/>
  <c r="M8" i="9"/>
  <c r="H8" i="9"/>
  <c r="C8" i="9"/>
  <c r="AB7" i="9"/>
  <c r="AD7" i="9" s="1"/>
  <c r="Y7" i="9"/>
  <c r="X7" i="9"/>
  <c r="P7" i="9"/>
  <c r="O7" i="9"/>
  <c r="Q7" i="9" s="1"/>
  <c r="M7" i="9"/>
  <c r="J7" i="9"/>
  <c r="K7" i="9" s="1"/>
  <c r="I7" i="9"/>
  <c r="H7" i="9"/>
  <c r="C7" i="9"/>
  <c r="AB6" i="9"/>
  <c r="AD6" i="9" s="1"/>
  <c r="J6" i="9" s="1"/>
  <c r="K6" i="9" s="1"/>
  <c r="Y6" i="9"/>
  <c r="X6" i="9"/>
  <c r="P6" i="9"/>
  <c r="Q6" i="9" s="1"/>
  <c r="O6" i="9"/>
  <c r="M6" i="9"/>
  <c r="H6" i="9"/>
  <c r="C6" i="9"/>
  <c r="AD5" i="9"/>
  <c r="J5" i="9" s="1"/>
  <c r="AB5" i="9"/>
  <c r="Y5" i="9"/>
  <c r="X5" i="9"/>
  <c r="P5" i="9"/>
  <c r="Q5" i="9" s="1"/>
  <c r="O5" i="9"/>
  <c r="M5" i="9"/>
  <c r="H5" i="9"/>
  <c r="C5" i="9"/>
  <c r="AD4" i="9"/>
  <c r="AB4" i="9"/>
  <c r="Y4" i="9"/>
  <c r="X4" i="9"/>
  <c r="P4" i="9"/>
  <c r="O4" i="9"/>
  <c r="Q4" i="9" s="1"/>
  <c r="M4" i="9"/>
  <c r="H4" i="9"/>
  <c r="C4" i="9"/>
  <c r="AG3" i="9"/>
  <c r="AF3" i="9"/>
  <c r="X3" i="9"/>
  <c r="W3" i="9"/>
  <c r="V3" i="9"/>
  <c r="U3" i="9"/>
  <c r="T3" i="9"/>
  <c r="O3" i="9"/>
  <c r="G3" i="9"/>
  <c r="H3" i="9" s="1"/>
  <c r="F3" i="9"/>
  <c r="D3" i="9"/>
  <c r="C3" i="9"/>
  <c r="A2" i="9"/>
  <c r="A1" i="9"/>
  <c r="AD32" i="8"/>
  <c r="J32" i="8" s="1"/>
  <c r="AB32" i="8"/>
  <c r="Y32" i="8"/>
  <c r="X32" i="8"/>
  <c r="V32" i="8"/>
  <c r="U32" i="8"/>
  <c r="T32" i="8"/>
  <c r="Q32" i="8"/>
  <c r="P32" i="8"/>
  <c r="O32" i="8"/>
  <c r="M32" i="8"/>
  <c r="H32" i="8"/>
  <c r="C32" i="8"/>
  <c r="AB31" i="8"/>
  <c r="AD31" i="8" s="1"/>
  <c r="J31" i="8" s="1"/>
  <c r="Y31" i="8"/>
  <c r="X31" i="8"/>
  <c r="P31" i="8"/>
  <c r="O31" i="8"/>
  <c r="Q31" i="8" s="1"/>
  <c r="M31" i="8"/>
  <c r="H31" i="8"/>
  <c r="C31" i="8"/>
  <c r="AB30" i="8"/>
  <c r="AD30" i="8" s="1"/>
  <c r="J30" i="8" s="1"/>
  <c r="K30" i="8" s="1"/>
  <c r="Y30" i="8"/>
  <c r="X30" i="8"/>
  <c r="P30" i="8"/>
  <c r="Q30" i="8" s="1"/>
  <c r="O30" i="8"/>
  <c r="M30" i="8"/>
  <c r="H30" i="8"/>
  <c r="C30" i="8"/>
  <c r="AD29" i="8"/>
  <c r="J29" i="8" s="1"/>
  <c r="AB29" i="8"/>
  <c r="Y29" i="8"/>
  <c r="X29" i="8"/>
  <c r="P29" i="8"/>
  <c r="Q29" i="8" s="1"/>
  <c r="O29" i="8"/>
  <c r="M29" i="8"/>
  <c r="H29" i="8"/>
  <c r="C29" i="8"/>
  <c r="AD28" i="8"/>
  <c r="J28" i="8" s="1"/>
  <c r="I28" i="8" s="1"/>
  <c r="AB28" i="8"/>
  <c r="Y28" i="8"/>
  <c r="X28" i="8"/>
  <c r="P28" i="8"/>
  <c r="Q28" i="8" s="1"/>
  <c r="O28" i="8"/>
  <c r="M28" i="8"/>
  <c r="H28" i="8"/>
  <c r="C28" i="8"/>
  <c r="AD27" i="8"/>
  <c r="J27" i="8" s="1"/>
  <c r="AB27" i="8"/>
  <c r="Y27" i="8"/>
  <c r="X27" i="8"/>
  <c r="P27" i="8"/>
  <c r="O27" i="8"/>
  <c r="Q27" i="8" s="1"/>
  <c r="M27" i="8"/>
  <c r="H27" i="8"/>
  <c r="C27" i="8"/>
  <c r="AB26" i="8"/>
  <c r="AD26" i="8" s="1"/>
  <c r="J26" i="8" s="1"/>
  <c r="Y26" i="8"/>
  <c r="X26" i="8"/>
  <c r="P26" i="8"/>
  <c r="O26" i="8"/>
  <c r="Q26" i="8" s="1"/>
  <c r="M26" i="8"/>
  <c r="H26" i="8"/>
  <c r="C26" i="8"/>
  <c r="AB25" i="8"/>
  <c r="AD25" i="8" s="1"/>
  <c r="Y25" i="8"/>
  <c r="X25" i="8"/>
  <c r="Q25" i="8"/>
  <c r="P25" i="8"/>
  <c r="O25" i="8"/>
  <c r="M25" i="8"/>
  <c r="J25" i="8"/>
  <c r="H25" i="8"/>
  <c r="C25" i="8"/>
  <c r="AB24" i="8"/>
  <c r="AD24" i="8" s="1"/>
  <c r="J24" i="8" s="1"/>
  <c r="Y24" i="8"/>
  <c r="X24" i="8"/>
  <c r="Q24" i="8"/>
  <c r="P24" i="8"/>
  <c r="O24" i="8"/>
  <c r="M24" i="8"/>
  <c r="H24" i="8"/>
  <c r="C24" i="8"/>
  <c r="AB23" i="8"/>
  <c r="AD23" i="8" s="1"/>
  <c r="J23" i="8" s="1"/>
  <c r="Y23" i="8"/>
  <c r="X23" i="8"/>
  <c r="Q23" i="8"/>
  <c r="P23" i="8"/>
  <c r="O23" i="8"/>
  <c r="M23" i="8"/>
  <c r="H23" i="8"/>
  <c r="C23" i="8"/>
  <c r="AB22" i="8"/>
  <c r="AD22" i="8" s="1"/>
  <c r="J22" i="8" s="1"/>
  <c r="K22" i="8" s="1"/>
  <c r="Y22" i="8"/>
  <c r="X22" i="8"/>
  <c r="P22" i="8"/>
  <c r="Q22" i="8" s="1"/>
  <c r="O22" i="8"/>
  <c r="M22" i="8"/>
  <c r="I22" i="8"/>
  <c r="H22" i="8"/>
  <c r="C22" i="8"/>
  <c r="AD21" i="8"/>
  <c r="J21" i="8" s="1"/>
  <c r="AB21" i="8"/>
  <c r="Y21" i="8"/>
  <c r="X21" i="8"/>
  <c r="P21" i="8"/>
  <c r="Q21" i="8" s="1"/>
  <c r="O21" i="8"/>
  <c r="M21" i="8"/>
  <c r="H21" i="8"/>
  <c r="C21" i="8"/>
  <c r="AD20" i="8"/>
  <c r="J20" i="8" s="1"/>
  <c r="I20" i="8" s="1"/>
  <c r="AB20" i="8"/>
  <c r="Y20" i="8"/>
  <c r="X20" i="8"/>
  <c r="P20" i="8"/>
  <c r="Q20" i="8" s="1"/>
  <c r="O20" i="8"/>
  <c r="M20" i="8"/>
  <c r="H20" i="8"/>
  <c r="C20" i="8"/>
  <c r="AD19" i="8"/>
  <c r="J19" i="8" s="1"/>
  <c r="AB19" i="8"/>
  <c r="Y19" i="8"/>
  <c r="X19" i="8"/>
  <c r="P19" i="8"/>
  <c r="O19" i="8"/>
  <c r="Q19" i="8" s="1"/>
  <c r="M19" i="8"/>
  <c r="H19" i="8"/>
  <c r="C19" i="8"/>
  <c r="AB18" i="8"/>
  <c r="AD18" i="8" s="1"/>
  <c r="J18" i="8" s="1"/>
  <c r="Y18" i="8"/>
  <c r="X18" i="8"/>
  <c r="P18" i="8"/>
  <c r="O18" i="8"/>
  <c r="Q18" i="8" s="1"/>
  <c r="M18" i="8"/>
  <c r="H18" i="8"/>
  <c r="C18" i="8"/>
  <c r="AB17" i="8"/>
  <c r="AD17" i="8" s="1"/>
  <c r="J17" i="8" s="1"/>
  <c r="Y17" i="8"/>
  <c r="X17" i="8"/>
  <c r="Q17" i="8"/>
  <c r="P17" i="8"/>
  <c r="O17" i="8"/>
  <c r="M17" i="8"/>
  <c r="H17" i="8"/>
  <c r="C17" i="8"/>
  <c r="AB16" i="8"/>
  <c r="AD16" i="8" s="1"/>
  <c r="J16" i="8" s="1"/>
  <c r="Y16" i="8"/>
  <c r="X16" i="8"/>
  <c r="Q16" i="8"/>
  <c r="P16" i="8"/>
  <c r="O16" i="8"/>
  <c r="M16" i="8"/>
  <c r="H16" i="8"/>
  <c r="C16" i="8"/>
  <c r="AB15" i="8"/>
  <c r="AD15" i="8" s="1"/>
  <c r="J15" i="8" s="1"/>
  <c r="Y15" i="8"/>
  <c r="X15" i="8"/>
  <c r="Q15" i="8"/>
  <c r="P15" i="8"/>
  <c r="O15" i="8"/>
  <c r="M15" i="8"/>
  <c r="H15" i="8"/>
  <c r="C15" i="8"/>
  <c r="AB14" i="8"/>
  <c r="AD14" i="8" s="1"/>
  <c r="J14" i="8" s="1"/>
  <c r="K14" i="8" s="1"/>
  <c r="Y14" i="8"/>
  <c r="X14" i="8"/>
  <c r="P14" i="8"/>
  <c r="Q14" i="8" s="1"/>
  <c r="O14" i="8"/>
  <c r="M14" i="8"/>
  <c r="I14" i="8"/>
  <c r="H14" i="8"/>
  <c r="C14" i="8"/>
  <c r="AD13" i="8"/>
  <c r="J13" i="8" s="1"/>
  <c r="AB13" i="8"/>
  <c r="Y13" i="8"/>
  <c r="X13" i="8"/>
  <c r="P13" i="8"/>
  <c r="Q13" i="8" s="1"/>
  <c r="O13" i="8"/>
  <c r="M13" i="8"/>
  <c r="H13" i="8"/>
  <c r="C13" i="8"/>
  <c r="AD12" i="8"/>
  <c r="J12" i="8" s="1"/>
  <c r="I12" i="8" s="1"/>
  <c r="AB12" i="8"/>
  <c r="Y12" i="8"/>
  <c r="X12" i="8"/>
  <c r="P12" i="8"/>
  <c r="O12" i="8"/>
  <c r="Q12" i="8" s="1"/>
  <c r="M12" i="8"/>
  <c r="K12" i="8"/>
  <c r="H12" i="8"/>
  <c r="C12" i="8"/>
  <c r="AD11" i="8"/>
  <c r="J11" i="8" s="1"/>
  <c r="AB11" i="8"/>
  <c r="Y11" i="8"/>
  <c r="X11" i="8"/>
  <c r="P11" i="8"/>
  <c r="O11" i="8"/>
  <c r="Q11" i="8" s="1"/>
  <c r="M11" i="8"/>
  <c r="H11" i="8"/>
  <c r="C11" i="8"/>
  <c r="AB10" i="8"/>
  <c r="AD10" i="8" s="1"/>
  <c r="J10" i="8" s="1"/>
  <c r="Y10" i="8"/>
  <c r="X10" i="8"/>
  <c r="P10" i="8"/>
  <c r="O10" i="8"/>
  <c r="Q10" i="8" s="1"/>
  <c r="M10" i="8"/>
  <c r="H10" i="8"/>
  <c r="C10" i="8"/>
  <c r="AB9" i="8"/>
  <c r="AD9" i="8" s="1"/>
  <c r="J9" i="8" s="1"/>
  <c r="Y9" i="8"/>
  <c r="X9" i="8"/>
  <c r="Q9" i="8"/>
  <c r="P9" i="8"/>
  <c r="O9" i="8"/>
  <c r="M9" i="8"/>
  <c r="H9" i="8"/>
  <c r="C9" i="8"/>
  <c r="AB8" i="8"/>
  <c r="AD8" i="8" s="1"/>
  <c r="J8" i="8" s="1"/>
  <c r="Y8" i="8"/>
  <c r="X8" i="8"/>
  <c r="Q8" i="8"/>
  <c r="P8" i="8"/>
  <c r="O8" i="8"/>
  <c r="M8" i="8"/>
  <c r="H8" i="8"/>
  <c r="C8" i="8"/>
  <c r="AB7" i="8"/>
  <c r="AD7" i="8" s="1"/>
  <c r="J7" i="8" s="1"/>
  <c r="Y7" i="8"/>
  <c r="X7" i="8"/>
  <c r="Q7" i="8"/>
  <c r="P7" i="8"/>
  <c r="O7" i="8"/>
  <c r="M7" i="8"/>
  <c r="H7" i="8"/>
  <c r="C7" i="8"/>
  <c r="AB6" i="8"/>
  <c r="AD6" i="8" s="1"/>
  <c r="J6" i="8" s="1"/>
  <c r="K6" i="8" s="1"/>
  <c r="Y6" i="8"/>
  <c r="X6" i="8"/>
  <c r="P6" i="8"/>
  <c r="Q6" i="8" s="1"/>
  <c r="O6" i="8"/>
  <c r="M6" i="8"/>
  <c r="H6" i="8"/>
  <c r="C6" i="8"/>
  <c r="AD5" i="8"/>
  <c r="J5" i="8" s="1"/>
  <c r="AB5" i="8"/>
  <c r="Y5" i="8"/>
  <c r="X5" i="8"/>
  <c r="P5" i="8"/>
  <c r="Q5" i="8" s="1"/>
  <c r="O5" i="8"/>
  <c r="M5" i="8"/>
  <c r="H5" i="8"/>
  <c r="C5" i="8"/>
  <c r="AD4" i="8"/>
  <c r="AB4" i="8"/>
  <c r="Y4" i="8"/>
  <c r="X4" i="8"/>
  <c r="P4" i="8"/>
  <c r="O4" i="8"/>
  <c r="Q4" i="8" s="1"/>
  <c r="M4" i="8"/>
  <c r="H4" i="8"/>
  <c r="C4" i="8"/>
  <c r="AG3" i="8"/>
  <c r="AF3" i="8"/>
  <c r="X3" i="8"/>
  <c r="W3" i="8"/>
  <c r="V3" i="8"/>
  <c r="U3" i="8"/>
  <c r="T3" i="8"/>
  <c r="O3" i="8"/>
  <c r="G3" i="8"/>
  <c r="H3" i="8" s="1"/>
  <c r="F3" i="8"/>
  <c r="D3" i="8"/>
  <c r="C3" i="8"/>
  <c r="A2" i="8"/>
  <c r="A1" i="8"/>
  <c r="AD32" i="7"/>
  <c r="J32" i="7" s="1"/>
  <c r="AB32" i="7"/>
  <c r="Y32" i="7"/>
  <c r="X32" i="7"/>
  <c r="V32" i="7"/>
  <c r="U32" i="7"/>
  <c r="T32" i="7"/>
  <c r="Q32" i="7"/>
  <c r="P32" i="7"/>
  <c r="O32" i="7"/>
  <c r="M32" i="7"/>
  <c r="H32" i="7"/>
  <c r="C32" i="7"/>
  <c r="AB31" i="7"/>
  <c r="AD31" i="7" s="1"/>
  <c r="J31" i="7" s="1"/>
  <c r="Y31" i="7"/>
  <c r="X31" i="7"/>
  <c r="Q31" i="7"/>
  <c r="P31" i="7"/>
  <c r="O31" i="7"/>
  <c r="M31" i="7"/>
  <c r="H31" i="7"/>
  <c r="C31" i="7"/>
  <c r="AB30" i="7"/>
  <c r="AD30" i="7" s="1"/>
  <c r="J30" i="7" s="1"/>
  <c r="K30" i="7" s="1"/>
  <c r="Y30" i="7"/>
  <c r="X30" i="7"/>
  <c r="P30" i="7"/>
  <c r="Q30" i="7" s="1"/>
  <c r="O30" i="7"/>
  <c r="M30" i="7"/>
  <c r="I30" i="7"/>
  <c r="H30" i="7"/>
  <c r="C30" i="7"/>
  <c r="AD29" i="7"/>
  <c r="J29" i="7" s="1"/>
  <c r="AB29" i="7"/>
  <c r="Y29" i="7"/>
  <c r="X29" i="7"/>
  <c r="P29" i="7"/>
  <c r="O29" i="7"/>
  <c r="Q29" i="7" s="1"/>
  <c r="M29" i="7"/>
  <c r="H29" i="7"/>
  <c r="C29" i="7"/>
  <c r="AD28" i="7"/>
  <c r="J28" i="7" s="1"/>
  <c r="I28" i="7" s="1"/>
  <c r="AB28" i="7"/>
  <c r="Y28" i="7"/>
  <c r="X28" i="7"/>
  <c r="P28" i="7"/>
  <c r="Q28" i="7" s="1"/>
  <c r="O28" i="7"/>
  <c r="M28" i="7"/>
  <c r="K28" i="7"/>
  <c r="H28" i="7"/>
  <c r="C28" i="7"/>
  <c r="AD27" i="7"/>
  <c r="J27" i="7" s="1"/>
  <c r="AB27" i="7"/>
  <c r="Y27" i="7"/>
  <c r="X27" i="7"/>
  <c r="P27" i="7"/>
  <c r="O27" i="7"/>
  <c r="Q27" i="7" s="1"/>
  <c r="M27" i="7"/>
  <c r="H27" i="7"/>
  <c r="C27" i="7"/>
  <c r="AB26" i="7"/>
  <c r="AD26" i="7" s="1"/>
  <c r="J26" i="7" s="1"/>
  <c r="Y26" i="7"/>
  <c r="X26" i="7"/>
  <c r="P26" i="7"/>
  <c r="O26" i="7"/>
  <c r="Q26" i="7" s="1"/>
  <c r="M26" i="7"/>
  <c r="H26" i="7"/>
  <c r="C26" i="7"/>
  <c r="AB25" i="7"/>
  <c r="AD25" i="7" s="1"/>
  <c r="J25" i="7" s="1"/>
  <c r="Y25" i="7"/>
  <c r="X25" i="7"/>
  <c r="Q25" i="7"/>
  <c r="P25" i="7"/>
  <c r="O25" i="7"/>
  <c r="M25" i="7"/>
  <c r="H25" i="7"/>
  <c r="C25" i="7"/>
  <c r="AB24" i="7"/>
  <c r="AD24" i="7" s="1"/>
  <c r="J24" i="7" s="1"/>
  <c r="Y24" i="7"/>
  <c r="X24" i="7"/>
  <c r="Q24" i="7"/>
  <c r="P24" i="7"/>
  <c r="O24" i="7"/>
  <c r="M24" i="7"/>
  <c r="H24" i="7"/>
  <c r="C24" i="7"/>
  <c r="AB23" i="7"/>
  <c r="AD23" i="7" s="1"/>
  <c r="J23" i="7" s="1"/>
  <c r="Y23" i="7"/>
  <c r="X23" i="7"/>
  <c r="Q23" i="7"/>
  <c r="P23" i="7"/>
  <c r="O23" i="7"/>
  <c r="M23" i="7"/>
  <c r="H23" i="7"/>
  <c r="C23" i="7"/>
  <c r="AB22" i="7"/>
  <c r="AD22" i="7" s="1"/>
  <c r="J22" i="7" s="1"/>
  <c r="K22" i="7" s="1"/>
  <c r="Y22" i="7"/>
  <c r="X22" i="7"/>
  <c r="P22" i="7"/>
  <c r="Q22" i="7" s="1"/>
  <c r="O22" i="7"/>
  <c r="M22" i="7"/>
  <c r="H22" i="7"/>
  <c r="C22" i="7"/>
  <c r="AD21" i="7"/>
  <c r="J21" i="7" s="1"/>
  <c r="AB21" i="7"/>
  <c r="Y21" i="7"/>
  <c r="X21" i="7"/>
  <c r="P21" i="7"/>
  <c r="O21" i="7"/>
  <c r="M21" i="7"/>
  <c r="H21" i="7"/>
  <c r="C21" i="7"/>
  <c r="AD20" i="7"/>
  <c r="J20" i="7" s="1"/>
  <c r="I20" i="7" s="1"/>
  <c r="AB20" i="7"/>
  <c r="Y20" i="7"/>
  <c r="X20" i="7"/>
  <c r="P20" i="7"/>
  <c r="Q20" i="7" s="1"/>
  <c r="O20" i="7"/>
  <c r="M20" i="7"/>
  <c r="H20" i="7"/>
  <c r="C20" i="7"/>
  <c r="AD19" i="7"/>
  <c r="J19" i="7" s="1"/>
  <c r="AB19" i="7"/>
  <c r="Y19" i="7"/>
  <c r="X19" i="7"/>
  <c r="P19" i="7"/>
  <c r="O19" i="7"/>
  <c r="Q19" i="7" s="1"/>
  <c r="M19" i="7"/>
  <c r="H19" i="7"/>
  <c r="C19" i="7"/>
  <c r="AB18" i="7"/>
  <c r="AD18" i="7" s="1"/>
  <c r="J18" i="7" s="1"/>
  <c r="Y18" i="7"/>
  <c r="X18" i="7"/>
  <c r="P18" i="7"/>
  <c r="O18" i="7"/>
  <c r="Q18" i="7" s="1"/>
  <c r="M18" i="7"/>
  <c r="H18" i="7"/>
  <c r="C18" i="7"/>
  <c r="AB17" i="7"/>
  <c r="AD17" i="7" s="1"/>
  <c r="J17" i="7" s="1"/>
  <c r="Y17" i="7"/>
  <c r="X17" i="7"/>
  <c r="Q17" i="7"/>
  <c r="P17" i="7"/>
  <c r="O17" i="7"/>
  <c r="M17" i="7"/>
  <c r="H17" i="7"/>
  <c r="C17" i="7"/>
  <c r="AB16" i="7"/>
  <c r="AD16" i="7" s="1"/>
  <c r="J16" i="7" s="1"/>
  <c r="Y16" i="7"/>
  <c r="X16" i="7"/>
  <c r="Q16" i="7"/>
  <c r="P16" i="7"/>
  <c r="O16" i="7"/>
  <c r="M16" i="7"/>
  <c r="H16" i="7"/>
  <c r="C16" i="7"/>
  <c r="AB15" i="7"/>
  <c r="AD15" i="7" s="1"/>
  <c r="J15" i="7" s="1"/>
  <c r="Y15" i="7"/>
  <c r="X15" i="7"/>
  <c r="Q15" i="7"/>
  <c r="P15" i="7"/>
  <c r="O15" i="7"/>
  <c r="M15" i="7"/>
  <c r="H15" i="7"/>
  <c r="C15" i="7"/>
  <c r="AB14" i="7"/>
  <c r="AD14" i="7" s="1"/>
  <c r="J14" i="7" s="1"/>
  <c r="K14" i="7" s="1"/>
  <c r="Y14" i="7"/>
  <c r="X14" i="7"/>
  <c r="P14" i="7"/>
  <c r="Q14" i="7" s="1"/>
  <c r="O14" i="7"/>
  <c r="M14" i="7"/>
  <c r="H14" i="7"/>
  <c r="C14" i="7"/>
  <c r="AD13" i="7"/>
  <c r="J13" i="7" s="1"/>
  <c r="AB13" i="7"/>
  <c r="Y13" i="7"/>
  <c r="X13" i="7"/>
  <c r="P13" i="7"/>
  <c r="O13" i="7"/>
  <c r="M13" i="7"/>
  <c r="H13" i="7"/>
  <c r="C13" i="7"/>
  <c r="AD12" i="7"/>
  <c r="J12" i="7" s="1"/>
  <c r="I12" i="7" s="1"/>
  <c r="AB12" i="7"/>
  <c r="Y12" i="7"/>
  <c r="X12" i="7"/>
  <c r="P12" i="7"/>
  <c r="O12" i="7"/>
  <c r="Q12" i="7" s="1"/>
  <c r="M12" i="7"/>
  <c r="K12" i="7"/>
  <c r="H12" i="7"/>
  <c r="C12" i="7"/>
  <c r="AD11" i="7"/>
  <c r="J11" i="7" s="1"/>
  <c r="AB11" i="7"/>
  <c r="Y11" i="7"/>
  <c r="X11" i="7"/>
  <c r="P11" i="7"/>
  <c r="O11" i="7"/>
  <c r="Q11" i="7" s="1"/>
  <c r="M11" i="7"/>
  <c r="H11" i="7"/>
  <c r="C11" i="7"/>
  <c r="AB10" i="7"/>
  <c r="AD10" i="7" s="1"/>
  <c r="J10" i="7" s="1"/>
  <c r="Y10" i="7"/>
  <c r="X10" i="7"/>
  <c r="P10" i="7"/>
  <c r="O10" i="7"/>
  <c r="Q10" i="7" s="1"/>
  <c r="M10" i="7"/>
  <c r="H10" i="7"/>
  <c r="C10" i="7"/>
  <c r="AB9" i="7"/>
  <c r="AD9" i="7" s="1"/>
  <c r="Y9" i="7"/>
  <c r="X9" i="7"/>
  <c r="Q9" i="7"/>
  <c r="P9" i="7"/>
  <c r="O9" i="7"/>
  <c r="M9" i="7"/>
  <c r="J9" i="7"/>
  <c r="H9" i="7"/>
  <c r="C9" i="7"/>
  <c r="AB8" i="7"/>
  <c r="AD8" i="7" s="1"/>
  <c r="J8" i="7" s="1"/>
  <c r="Y8" i="7"/>
  <c r="X8" i="7"/>
  <c r="Q8" i="7"/>
  <c r="P8" i="7"/>
  <c r="O8" i="7"/>
  <c r="M8" i="7"/>
  <c r="H8" i="7"/>
  <c r="C8" i="7"/>
  <c r="AB7" i="7"/>
  <c r="AD7" i="7" s="1"/>
  <c r="J7" i="7" s="1"/>
  <c r="Y7" i="7"/>
  <c r="X7" i="7"/>
  <c r="Q7" i="7"/>
  <c r="P7" i="7"/>
  <c r="O7" i="7"/>
  <c r="M7" i="7"/>
  <c r="H7" i="7"/>
  <c r="C7" i="7"/>
  <c r="AB6" i="7"/>
  <c r="AD6" i="7" s="1"/>
  <c r="J6" i="7" s="1"/>
  <c r="K6" i="7" s="1"/>
  <c r="Y6" i="7"/>
  <c r="X6" i="7"/>
  <c r="P6" i="7"/>
  <c r="Q6" i="7" s="1"/>
  <c r="O6" i="7"/>
  <c r="M6" i="7"/>
  <c r="H6" i="7"/>
  <c r="C6" i="7"/>
  <c r="AD5" i="7"/>
  <c r="J5" i="7" s="1"/>
  <c r="AB5" i="7"/>
  <c r="Y5" i="7"/>
  <c r="X5" i="7"/>
  <c r="P5" i="7"/>
  <c r="Q5" i="7" s="1"/>
  <c r="O5" i="7"/>
  <c r="M5" i="7"/>
  <c r="H5" i="7"/>
  <c r="C5" i="7"/>
  <c r="AD4" i="7"/>
  <c r="AB4" i="7"/>
  <c r="Y4" i="7"/>
  <c r="X4" i="7"/>
  <c r="P4" i="7"/>
  <c r="O4" i="7"/>
  <c r="Q4" i="7" s="1"/>
  <c r="M4" i="7"/>
  <c r="H4" i="7"/>
  <c r="C4" i="7"/>
  <c r="AG3" i="7"/>
  <c r="AF3" i="7"/>
  <c r="X3" i="7"/>
  <c r="W3" i="7"/>
  <c r="V3" i="7"/>
  <c r="U3" i="7"/>
  <c r="T3" i="7"/>
  <c r="O3" i="7"/>
  <c r="G3" i="7"/>
  <c r="H3" i="7" s="1"/>
  <c r="F3" i="7"/>
  <c r="D3" i="7"/>
  <c r="C3" i="7"/>
  <c r="A2" i="7"/>
  <c r="A1" i="7"/>
  <c r="AD32" i="6"/>
  <c r="J32" i="6" s="1"/>
  <c r="AB32" i="6"/>
  <c r="Y32" i="6"/>
  <c r="X32" i="6"/>
  <c r="V32" i="6"/>
  <c r="U32" i="6"/>
  <c r="T32" i="6"/>
  <c r="Q32" i="6"/>
  <c r="P32" i="6"/>
  <c r="O32" i="6"/>
  <c r="M32" i="6"/>
  <c r="H32" i="6"/>
  <c r="C32" i="6"/>
  <c r="AB31" i="6"/>
  <c r="AD31" i="6" s="1"/>
  <c r="J31" i="6" s="1"/>
  <c r="Y31" i="6"/>
  <c r="X31" i="6"/>
  <c r="Q31" i="6"/>
  <c r="P31" i="6"/>
  <c r="O31" i="6"/>
  <c r="M31" i="6"/>
  <c r="H31" i="6"/>
  <c r="C31" i="6"/>
  <c r="AB30" i="6"/>
  <c r="AD30" i="6" s="1"/>
  <c r="J30" i="6" s="1"/>
  <c r="K30" i="6" s="1"/>
  <c r="Y30" i="6"/>
  <c r="X30" i="6"/>
  <c r="P30" i="6"/>
  <c r="Q30" i="6" s="1"/>
  <c r="O30" i="6"/>
  <c r="M30" i="6"/>
  <c r="I30" i="6"/>
  <c r="H30" i="6"/>
  <c r="C30" i="6"/>
  <c r="AD29" i="6"/>
  <c r="J29" i="6" s="1"/>
  <c r="AB29" i="6"/>
  <c r="Y29" i="6"/>
  <c r="X29" i="6"/>
  <c r="P29" i="6"/>
  <c r="O29" i="6"/>
  <c r="Q29" i="6" s="1"/>
  <c r="M29" i="6"/>
  <c r="H29" i="6"/>
  <c r="C29" i="6"/>
  <c r="AD28" i="6"/>
  <c r="J28" i="6" s="1"/>
  <c r="I28" i="6" s="1"/>
  <c r="AB28" i="6"/>
  <c r="Y28" i="6"/>
  <c r="X28" i="6"/>
  <c r="P28" i="6"/>
  <c r="Q28" i="6" s="1"/>
  <c r="O28" i="6"/>
  <c r="M28" i="6"/>
  <c r="K28" i="6"/>
  <c r="H28" i="6"/>
  <c r="C28" i="6"/>
  <c r="AD27" i="6"/>
  <c r="J27" i="6" s="1"/>
  <c r="AB27" i="6"/>
  <c r="Y27" i="6"/>
  <c r="X27" i="6"/>
  <c r="P27" i="6"/>
  <c r="O27" i="6"/>
  <c r="Q27" i="6" s="1"/>
  <c r="M27" i="6"/>
  <c r="H27" i="6"/>
  <c r="C27" i="6"/>
  <c r="AB26" i="6"/>
  <c r="AD26" i="6" s="1"/>
  <c r="J26" i="6" s="1"/>
  <c r="Y26" i="6"/>
  <c r="X26" i="6"/>
  <c r="P26" i="6"/>
  <c r="O26" i="6"/>
  <c r="Q26" i="6" s="1"/>
  <c r="M26" i="6"/>
  <c r="H26" i="6"/>
  <c r="C26" i="6"/>
  <c r="AB25" i="6"/>
  <c r="AD25" i="6" s="1"/>
  <c r="J25" i="6" s="1"/>
  <c r="Y25" i="6"/>
  <c r="X25" i="6"/>
  <c r="Q25" i="6"/>
  <c r="P25" i="6"/>
  <c r="O25" i="6"/>
  <c r="M25" i="6"/>
  <c r="H25" i="6"/>
  <c r="C25" i="6"/>
  <c r="AB24" i="6"/>
  <c r="AD24" i="6" s="1"/>
  <c r="J24" i="6" s="1"/>
  <c r="Y24" i="6"/>
  <c r="X24" i="6"/>
  <c r="Q24" i="6"/>
  <c r="P24" i="6"/>
  <c r="O24" i="6"/>
  <c r="M24" i="6"/>
  <c r="H24" i="6"/>
  <c r="C24" i="6"/>
  <c r="AB23" i="6"/>
  <c r="AD23" i="6" s="1"/>
  <c r="J23" i="6" s="1"/>
  <c r="Y23" i="6"/>
  <c r="X23" i="6"/>
  <c r="Q23" i="6"/>
  <c r="P23" i="6"/>
  <c r="O23" i="6"/>
  <c r="M23" i="6"/>
  <c r="H23" i="6"/>
  <c r="C23" i="6"/>
  <c r="AB22" i="6"/>
  <c r="AD22" i="6" s="1"/>
  <c r="J22" i="6" s="1"/>
  <c r="K22" i="6" s="1"/>
  <c r="Y22" i="6"/>
  <c r="X22" i="6"/>
  <c r="P22" i="6"/>
  <c r="Q22" i="6" s="1"/>
  <c r="O22" i="6"/>
  <c r="M22" i="6"/>
  <c r="H22" i="6"/>
  <c r="C22" i="6"/>
  <c r="AD21" i="6"/>
  <c r="J21" i="6" s="1"/>
  <c r="AB21" i="6"/>
  <c r="Y21" i="6"/>
  <c r="X21" i="6"/>
  <c r="P21" i="6"/>
  <c r="Q21" i="6" s="1"/>
  <c r="O21" i="6"/>
  <c r="M21" i="6"/>
  <c r="H21" i="6"/>
  <c r="C21" i="6"/>
  <c r="AD20" i="6"/>
  <c r="J20" i="6" s="1"/>
  <c r="I20" i="6" s="1"/>
  <c r="AB20" i="6"/>
  <c r="Y20" i="6"/>
  <c r="X20" i="6"/>
  <c r="P20" i="6"/>
  <c r="Q20" i="6" s="1"/>
  <c r="O20" i="6"/>
  <c r="M20" i="6"/>
  <c r="K20" i="6"/>
  <c r="H20" i="6"/>
  <c r="C20" i="6"/>
  <c r="AD19" i="6"/>
  <c r="J19" i="6" s="1"/>
  <c r="AB19" i="6"/>
  <c r="Y19" i="6"/>
  <c r="X19" i="6"/>
  <c r="P19" i="6"/>
  <c r="O19" i="6"/>
  <c r="Q19" i="6" s="1"/>
  <c r="M19" i="6"/>
  <c r="H19" i="6"/>
  <c r="C19" i="6"/>
  <c r="AB18" i="6"/>
  <c r="AD18" i="6" s="1"/>
  <c r="J18" i="6" s="1"/>
  <c r="Y18" i="6"/>
  <c r="X18" i="6"/>
  <c r="P18" i="6"/>
  <c r="O18" i="6"/>
  <c r="Q18" i="6" s="1"/>
  <c r="M18" i="6"/>
  <c r="H18" i="6"/>
  <c r="C18" i="6"/>
  <c r="AB17" i="6"/>
  <c r="AD17" i="6" s="1"/>
  <c r="J17" i="6" s="1"/>
  <c r="Y17" i="6"/>
  <c r="X17" i="6"/>
  <c r="Q17" i="6"/>
  <c r="P17" i="6"/>
  <c r="O17" i="6"/>
  <c r="M17" i="6"/>
  <c r="H17" i="6"/>
  <c r="C17" i="6"/>
  <c r="AB16" i="6"/>
  <c r="AD16" i="6" s="1"/>
  <c r="J16" i="6" s="1"/>
  <c r="Y16" i="6"/>
  <c r="X16" i="6"/>
  <c r="Q16" i="6"/>
  <c r="P16" i="6"/>
  <c r="O16" i="6"/>
  <c r="M16" i="6"/>
  <c r="H16" i="6"/>
  <c r="C16" i="6"/>
  <c r="AB15" i="6"/>
  <c r="AD15" i="6" s="1"/>
  <c r="J15" i="6" s="1"/>
  <c r="Y15" i="6"/>
  <c r="X15" i="6"/>
  <c r="Q15" i="6"/>
  <c r="P15" i="6"/>
  <c r="O15" i="6"/>
  <c r="M15" i="6"/>
  <c r="H15" i="6"/>
  <c r="C15" i="6"/>
  <c r="AB14" i="6"/>
  <c r="AD14" i="6" s="1"/>
  <c r="J14" i="6" s="1"/>
  <c r="K14" i="6" s="1"/>
  <c r="Y14" i="6"/>
  <c r="X14" i="6"/>
  <c r="P14" i="6"/>
  <c r="Q14" i="6" s="1"/>
  <c r="O14" i="6"/>
  <c r="M14" i="6"/>
  <c r="I14" i="6"/>
  <c r="H14" i="6"/>
  <c r="C14" i="6"/>
  <c r="AD13" i="6"/>
  <c r="J13" i="6" s="1"/>
  <c r="AB13" i="6"/>
  <c r="Y13" i="6"/>
  <c r="X13" i="6"/>
  <c r="P13" i="6"/>
  <c r="Q13" i="6" s="1"/>
  <c r="O13" i="6"/>
  <c r="M13" i="6"/>
  <c r="H13" i="6"/>
  <c r="C13" i="6"/>
  <c r="AD12" i="6"/>
  <c r="J12" i="6" s="1"/>
  <c r="I12" i="6" s="1"/>
  <c r="AB12" i="6"/>
  <c r="Y12" i="6"/>
  <c r="X12" i="6"/>
  <c r="P12" i="6"/>
  <c r="Q12" i="6" s="1"/>
  <c r="O12" i="6"/>
  <c r="M12" i="6"/>
  <c r="H12" i="6"/>
  <c r="C12" i="6"/>
  <c r="AD11" i="6"/>
  <c r="J11" i="6" s="1"/>
  <c r="AB11" i="6"/>
  <c r="Y11" i="6"/>
  <c r="X11" i="6"/>
  <c r="P11" i="6"/>
  <c r="O11" i="6"/>
  <c r="Q11" i="6" s="1"/>
  <c r="M11" i="6"/>
  <c r="H11" i="6"/>
  <c r="C11" i="6"/>
  <c r="AB10" i="6"/>
  <c r="AD10" i="6" s="1"/>
  <c r="J10" i="6" s="1"/>
  <c r="Y10" i="6"/>
  <c r="X10" i="6"/>
  <c r="P10" i="6"/>
  <c r="O10" i="6"/>
  <c r="Q10" i="6" s="1"/>
  <c r="M10" i="6"/>
  <c r="H10" i="6"/>
  <c r="C10" i="6"/>
  <c r="AB9" i="6"/>
  <c r="AD9" i="6" s="1"/>
  <c r="Y9" i="6"/>
  <c r="X9" i="6"/>
  <c r="Q9" i="6"/>
  <c r="P9" i="6"/>
  <c r="O9" i="6"/>
  <c r="M9" i="6"/>
  <c r="J9" i="6"/>
  <c r="H9" i="6"/>
  <c r="C9" i="6"/>
  <c r="AB8" i="6"/>
  <c r="AD8" i="6" s="1"/>
  <c r="J8" i="6" s="1"/>
  <c r="Y8" i="6"/>
  <c r="X8" i="6"/>
  <c r="Q8" i="6"/>
  <c r="P8" i="6"/>
  <c r="O8" i="6"/>
  <c r="M8" i="6"/>
  <c r="H8" i="6"/>
  <c r="C8" i="6"/>
  <c r="AB7" i="6"/>
  <c r="AD7" i="6" s="1"/>
  <c r="J7" i="6" s="1"/>
  <c r="Y7" i="6"/>
  <c r="X7" i="6"/>
  <c r="Q7" i="6"/>
  <c r="P7" i="6"/>
  <c r="O7" i="6"/>
  <c r="M7" i="6"/>
  <c r="H7" i="6"/>
  <c r="C7" i="6"/>
  <c r="AB6" i="6"/>
  <c r="AD6" i="6" s="1"/>
  <c r="J6" i="6" s="1"/>
  <c r="K6" i="6" s="1"/>
  <c r="Y6" i="6"/>
  <c r="X6" i="6"/>
  <c r="P6" i="6"/>
  <c r="Q6" i="6" s="1"/>
  <c r="O6" i="6"/>
  <c r="M6" i="6"/>
  <c r="I6" i="6"/>
  <c r="H6" i="6"/>
  <c r="C6" i="6"/>
  <c r="AD5" i="6"/>
  <c r="J5" i="6" s="1"/>
  <c r="AB5" i="6"/>
  <c r="Y5" i="6"/>
  <c r="X5" i="6"/>
  <c r="P5" i="6"/>
  <c r="Q5" i="6" s="1"/>
  <c r="O5" i="6"/>
  <c r="M5" i="6"/>
  <c r="H5" i="6"/>
  <c r="C5" i="6"/>
  <c r="AD4" i="6"/>
  <c r="AB4" i="6"/>
  <c r="Y4" i="6"/>
  <c r="X4" i="6"/>
  <c r="P4" i="6"/>
  <c r="O4" i="6"/>
  <c r="Q4" i="6" s="1"/>
  <c r="M4" i="6"/>
  <c r="H4" i="6"/>
  <c r="C4" i="6"/>
  <c r="AG3" i="6"/>
  <c r="AF3" i="6"/>
  <c r="X3" i="6"/>
  <c r="W3" i="6"/>
  <c r="V3" i="6"/>
  <c r="U3" i="6"/>
  <c r="T3" i="6"/>
  <c r="O3" i="6"/>
  <c r="G3" i="6"/>
  <c r="H3" i="6" s="1"/>
  <c r="F3" i="6"/>
  <c r="D3" i="6"/>
  <c r="C3" i="6"/>
  <c r="A2" i="6"/>
  <c r="A1" i="6"/>
  <c r="AD32" i="5"/>
  <c r="J32" i="5" s="1"/>
  <c r="AB32" i="5"/>
  <c r="Y32" i="5"/>
  <c r="X32" i="5"/>
  <c r="V32" i="5"/>
  <c r="U32" i="5"/>
  <c r="T32" i="5"/>
  <c r="Q32" i="5"/>
  <c r="P32" i="5"/>
  <c r="O32" i="5"/>
  <c r="M32" i="5"/>
  <c r="H32" i="5"/>
  <c r="C32" i="5"/>
  <c r="AB31" i="5"/>
  <c r="AD31" i="5" s="1"/>
  <c r="J31" i="5" s="1"/>
  <c r="Y31" i="5"/>
  <c r="X31" i="5"/>
  <c r="Q31" i="5"/>
  <c r="P31" i="5"/>
  <c r="O31" i="5"/>
  <c r="M31" i="5"/>
  <c r="H31" i="5"/>
  <c r="C31" i="5"/>
  <c r="AB30" i="5"/>
  <c r="AD30" i="5" s="1"/>
  <c r="J30" i="5" s="1"/>
  <c r="K30" i="5" s="1"/>
  <c r="Y30" i="5"/>
  <c r="X30" i="5"/>
  <c r="P30" i="5"/>
  <c r="Q30" i="5" s="1"/>
  <c r="O30" i="5"/>
  <c r="M30" i="5"/>
  <c r="H30" i="5"/>
  <c r="C30" i="5"/>
  <c r="AD29" i="5"/>
  <c r="J29" i="5" s="1"/>
  <c r="AB29" i="5"/>
  <c r="Y29" i="5"/>
  <c r="X29" i="5"/>
  <c r="P29" i="5"/>
  <c r="O29" i="5"/>
  <c r="M29" i="5"/>
  <c r="H29" i="5"/>
  <c r="C29" i="5"/>
  <c r="AD28" i="5"/>
  <c r="J28" i="5" s="1"/>
  <c r="I28" i="5" s="1"/>
  <c r="AB28" i="5"/>
  <c r="Y28" i="5"/>
  <c r="X28" i="5"/>
  <c r="P28" i="5"/>
  <c r="Q28" i="5" s="1"/>
  <c r="O28" i="5"/>
  <c r="M28" i="5"/>
  <c r="K28" i="5"/>
  <c r="H28" i="5"/>
  <c r="C28" i="5"/>
  <c r="AD27" i="5"/>
  <c r="J27" i="5" s="1"/>
  <c r="AB27" i="5"/>
  <c r="Y27" i="5"/>
  <c r="X27" i="5"/>
  <c r="P27" i="5"/>
  <c r="O27" i="5"/>
  <c r="Q27" i="5" s="1"/>
  <c r="M27" i="5"/>
  <c r="H27" i="5"/>
  <c r="C27" i="5"/>
  <c r="AB26" i="5"/>
  <c r="AD26" i="5" s="1"/>
  <c r="J26" i="5" s="1"/>
  <c r="Y26" i="5"/>
  <c r="X26" i="5"/>
  <c r="P26" i="5"/>
  <c r="O26" i="5"/>
  <c r="Q26" i="5" s="1"/>
  <c r="M26" i="5"/>
  <c r="H26" i="5"/>
  <c r="C26" i="5"/>
  <c r="AB25" i="5"/>
  <c r="AD25" i="5" s="1"/>
  <c r="Y25" i="5"/>
  <c r="X25" i="5"/>
  <c r="Q25" i="5"/>
  <c r="P25" i="5"/>
  <c r="O25" i="5"/>
  <c r="M25" i="5"/>
  <c r="J25" i="5"/>
  <c r="H25" i="5"/>
  <c r="C25" i="5"/>
  <c r="AB24" i="5"/>
  <c r="AD24" i="5" s="1"/>
  <c r="J24" i="5" s="1"/>
  <c r="Y24" i="5"/>
  <c r="X24" i="5"/>
  <c r="Q24" i="5"/>
  <c r="P24" i="5"/>
  <c r="O24" i="5"/>
  <c r="M24" i="5"/>
  <c r="H24" i="5"/>
  <c r="C24" i="5"/>
  <c r="AB23" i="5"/>
  <c r="AD23" i="5" s="1"/>
  <c r="J23" i="5" s="1"/>
  <c r="Y23" i="5"/>
  <c r="X23" i="5"/>
  <c r="Q23" i="5"/>
  <c r="P23" i="5"/>
  <c r="O23" i="5"/>
  <c r="M23" i="5"/>
  <c r="H23" i="5"/>
  <c r="C23" i="5"/>
  <c r="AB22" i="5"/>
  <c r="AD22" i="5" s="1"/>
  <c r="J22" i="5" s="1"/>
  <c r="K22" i="5" s="1"/>
  <c r="Y22" i="5"/>
  <c r="X22" i="5"/>
  <c r="P22" i="5"/>
  <c r="Q22" i="5" s="1"/>
  <c r="O22" i="5"/>
  <c r="M22" i="5"/>
  <c r="H22" i="5"/>
  <c r="C22" i="5"/>
  <c r="AD21" i="5"/>
  <c r="J21" i="5" s="1"/>
  <c r="AB21" i="5"/>
  <c r="Y21" i="5"/>
  <c r="X21" i="5"/>
  <c r="P21" i="5"/>
  <c r="Q21" i="5" s="1"/>
  <c r="O21" i="5"/>
  <c r="M21" i="5"/>
  <c r="H21" i="5"/>
  <c r="C21" i="5"/>
  <c r="AD20" i="5"/>
  <c r="J20" i="5" s="1"/>
  <c r="I20" i="5" s="1"/>
  <c r="AB20" i="5"/>
  <c r="Y20" i="5"/>
  <c r="X20" i="5"/>
  <c r="P20" i="5"/>
  <c r="Q20" i="5" s="1"/>
  <c r="O20" i="5"/>
  <c r="M20" i="5"/>
  <c r="K20" i="5"/>
  <c r="H20" i="5"/>
  <c r="C20" i="5"/>
  <c r="AD19" i="5"/>
  <c r="J19" i="5" s="1"/>
  <c r="AB19" i="5"/>
  <c r="Y19" i="5"/>
  <c r="X19" i="5"/>
  <c r="P19" i="5"/>
  <c r="O19" i="5"/>
  <c r="Q19" i="5" s="1"/>
  <c r="M19" i="5"/>
  <c r="H19" i="5"/>
  <c r="C19" i="5"/>
  <c r="AB18" i="5"/>
  <c r="AD18" i="5" s="1"/>
  <c r="J18" i="5" s="1"/>
  <c r="Y18" i="5"/>
  <c r="X18" i="5"/>
  <c r="P18" i="5"/>
  <c r="O18" i="5"/>
  <c r="Q18" i="5" s="1"/>
  <c r="M18" i="5"/>
  <c r="H18" i="5"/>
  <c r="C18" i="5"/>
  <c r="AB17" i="5"/>
  <c r="AD17" i="5" s="1"/>
  <c r="J17" i="5" s="1"/>
  <c r="Y17" i="5"/>
  <c r="X17" i="5"/>
  <c r="Q17" i="5"/>
  <c r="P17" i="5"/>
  <c r="O17" i="5"/>
  <c r="M17" i="5"/>
  <c r="H17" i="5"/>
  <c r="C17" i="5"/>
  <c r="AB16" i="5"/>
  <c r="AD16" i="5" s="1"/>
  <c r="J16" i="5" s="1"/>
  <c r="Y16" i="5"/>
  <c r="X16" i="5"/>
  <c r="Q16" i="5"/>
  <c r="P16" i="5"/>
  <c r="O16" i="5"/>
  <c r="M16" i="5"/>
  <c r="H16" i="5"/>
  <c r="C16" i="5"/>
  <c r="AB15" i="5"/>
  <c r="AD15" i="5" s="1"/>
  <c r="J15" i="5" s="1"/>
  <c r="Y15" i="5"/>
  <c r="X15" i="5"/>
  <c r="Q15" i="5"/>
  <c r="P15" i="5"/>
  <c r="O15" i="5"/>
  <c r="M15" i="5"/>
  <c r="H15" i="5"/>
  <c r="C15" i="5"/>
  <c r="AB14" i="5"/>
  <c r="AD14" i="5" s="1"/>
  <c r="J14" i="5" s="1"/>
  <c r="K14" i="5" s="1"/>
  <c r="Y14" i="5"/>
  <c r="X14" i="5"/>
  <c r="P14" i="5"/>
  <c r="Q14" i="5" s="1"/>
  <c r="O14" i="5"/>
  <c r="M14" i="5"/>
  <c r="I14" i="5"/>
  <c r="H14" i="5"/>
  <c r="C14" i="5"/>
  <c r="AD13" i="5"/>
  <c r="J13" i="5" s="1"/>
  <c r="AB13" i="5"/>
  <c r="Y13" i="5"/>
  <c r="X13" i="5"/>
  <c r="P13" i="5"/>
  <c r="Q13" i="5" s="1"/>
  <c r="O13" i="5"/>
  <c r="M13" i="5"/>
  <c r="H13" i="5"/>
  <c r="C13" i="5"/>
  <c r="AD12" i="5"/>
  <c r="J12" i="5" s="1"/>
  <c r="I12" i="5" s="1"/>
  <c r="AB12" i="5"/>
  <c r="Y12" i="5"/>
  <c r="X12" i="5"/>
  <c r="P12" i="5"/>
  <c r="Q12" i="5" s="1"/>
  <c r="O12" i="5"/>
  <c r="M12" i="5"/>
  <c r="H12" i="5"/>
  <c r="C12" i="5"/>
  <c r="AD11" i="5"/>
  <c r="J11" i="5" s="1"/>
  <c r="AB11" i="5"/>
  <c r="Y11" i="5"/>
  <c r="X11" i="5"/>
  <c r="P11" i="5"/>
  <c r="O11" i="5"/>
  <c r="Q11" i="5" s="1"/>
  <c r="M11" i="5"/>
  <c r="H11" i="5"/>
  <c r="C11" i="5"/>
  <c r="AB10" i="5"/>
  <c r="AD10" i="5" s="1"/>
  <c r="J10" i="5" s="1"/>
  <c r="Y10" i="5"/>
  <c r="X10" i="5"/>
  <c r="P10" i="5"/>
  <c r="O10" i="5"/>
  <c r="Q10" i="5" s="1"/>
  <c r="M10" i="5"/>
  <c r="H10" i="5"/>
  <c r="C10" i="5"/>
  <c r="AB9" i="5"/>
  <c r="AD9" i="5" s="1"/>
  <c r="J9" i="5" s="1"/>
  <c r="Y9" i="5"/>
  <c r="X9" i="5"/>
  <c r="Q9" i="5"/>
  <c r="P9" i="5"/>
  <c r="O9" i="5"/>
  <c r="M9" i="5"/>
  <c r="H9" i="5"/>
  <c r="C9" i="5"/>
  <c r="AB8" i="5"/>
  <c r="AD8" i="5" s="1"/>
  <c r="J8" i="5" s="1"/>
  <c r="Y8" i="5"/>
  <c r="X8" i="5"/>
  <c r="Q8" i="5"/>
  <c r="P8" i="5"/>
  <c r="O8" i="5"/>
  <c r="M8" i="5"/>
  <c r="H8" i="5"/>
  <c r="C8" i="5"/>
  <c r="AB7" i="5"/>
  <c r="AD7" i="5" s="1"/>
  <c r="J7" i="5" s="1"/>
  <c r="Y7" i="5"/>
  <c r="X7" i="5"/>
  <c r="Q7" i="5"/>
  <c r="P7" i="5"/>
  <c r="O7" i="5"/>
  <c r="M7" i="5"/>
  <c r="H7" i="5"/>
  <c r="C7" i="5"/>
  <c r="AB6" i="5"/>
  <c r="AD6" i="5" s="1"/>
  <c r="J6" i="5" s="1"/>
  <c r="K6" i="5" s="1"/>
  <c r="Y6" i="5"/>
  <c r="X6" i="5"/>
  <c r="P6" i="5"/>
  <c r="Q6" i="5" s="1"/>
  <c r="O6" i="5"/>
  <c r="M6" i="5"/>
  <c r="I6" i="5"/>
  <c r="H6" i="5"/>
  <c r="C6" i="5"/>
  <c r="AD5" i="5"/>
  <c r="J5" i="5" s="1"/>
  <c r="AB5" i="5"/>
  <c r="Y5" i="5"/>
  <c r="X5" i="5"/>
  <c r="P5" i="5"/>
  <c r="Q5" i="5" s="1"/>
  <c r="O5" i="5"/>
  <c r="M5" i="5"/>
  <c r="H5" i="5"/>
  <c r="C5" i="5"/>
  <c r="AD4" i="5"/>
  <c r="AB4" i="5"/>
  <c r="Y4" i="5"/>
  <c r="X4" i="5"/>
  <c r="P4" i="5"/>
  <c r="O4" i="5"/>
  <c r="Q4" i="5" s="1"/>
  <c r="M4" i="5"/>
  <c r="H4" i="5"/>
  <c r="C4" i="5"/>
  <c r="AG3" i="5"/>
  <c r="AF3" i="5"/>
  <c r="X3" i="5"/>
  <c r="W3" i="5"/>
  <c r="V3" i="5"/>
  <c r="U3" i="5"/>
  <c r="T3" i="5"/>
  <c r="O3" i="5"/>
  <c r="G3" i="5"/>
  <c r="H3" i="5" s="1"/>
  <c r="F3" i="5"/>
  <c r="D3" i="5"/>
  <c r="C3" i="5"/>
  <c r="A2" i="5"/>
  <c r="A1" i="5"/>
  <c r="AD32" i="4"/>
  <c r="J32" i="4" s="1"/>
  <c r="AB32" i="4"/>
  <c r="Y32" i="4"/>
  <c r="X32" i="4"/>
  <c r="V32" i="4"/>
  <c r="U32" i="4"/>
  <c r="T32" i="4"/>
  <c r="Q32" i="4"/>
  <c r="P32" i="4"/>
  <c r="O32" i="4"/>
  <c r="M32" i="4"/>
  <c r="H32" i="4"/>
  <c r="C32" i="4"/>
  <c r="AB31" i="4"/>
  <c r="AD31" i="4" s="1"/>
  <c r="J31" i="4" s="1"/>
  <c r="Y31" i="4"/>
  <c r="X31" i="4"/>
  <c r="Q31" i="4"/>
  <c r="P31" i="4"/>
  <c r="O31" i="4"/>
  <c r="M31" i="4"/>
  <c r="H31" i="4"/>
  <c r="C31" i="4"/>
  <c r="AB30" i="4"/>
  <c r="AD30" i="4" s="1"/>
  <c r="J30" i="4" s="1"/>
  <c r="K30" i="4" s="1"/>
  <c r="Y30" i="4"/>
  <c r="X30" i="4"/>
  <c r="P30" i="4"/>
  <c r="O30" i="4"/>
  <c r="Q30" i="4" s="1"/>
  <c r="M30" i="4"/>
  <c r="I30" i="4"/>
  <c r="H30" i="4"/>
  <c r="C30" i="4"/>
  <c r="AD29" i="4"/>
  <c r="J29" i="4" s="1"/>
  <c r="AB29" i="4"/>
  <c r="Y29" i="4"/>
  <c r="X29" i="4"/>
  <c r="P29" i="4"/>
  <c r="O29" i="4"/>
  <c r="Q29" i="4" s="1"/>
  <c r="M29" i="4"/>
  <c r="H29" i="4"/>
  <c r="C29" i="4"/>
  <c r="AD28" i="4"/>
  <c r="J28" i="4" s="1"/>
  <c r="I28" i="4" s="1"/>
  <c r="AB28" i="4"/>
  <c r="Y28" i="4"/>
  <c r="X28" i="4"/>
  <c r="P28" i="4"/>
  <c r="Q28" i="4" s="1"/>
  <c r="O28" i="4"/>
  <c r="M28" i="4"/>
  <c r="H28" i="4"/>
  <c r="C28" i="4"/>
  <c r="AD27" i="4"/>
  <c r="J27" i="4" s="1"/>
  <c r="AB27" i="4"/>
  <c r="Y27" i="4"/>
  <c r="X27" i="4"/>
  <c r="P27" i="4"/>
  <c r="O27" i="4"/>
  <c r="Q27" i="4" s="1"/>
  <c r="M27" i="4"/>
  <c r="H27" i="4"/>
  <c r="C27" i="4"/>
  <c r="AB26" i="4"/>
  <c r="AD26" i="4" s="1"/>
  <c r="J26" i="4" s="1"/>
  <c r="Y26" i="4"/>
  <c r="X26" i="4"/>
  <c r="P26" i="4"/>
  <c r="O26" i="4"/>
  <c r="Q26" i="4" s="1"/>
  <c r="M26" i="4"/>
  <c r="H26" i="4"/>
  <c r="C26" i="4"/>
  <c r="AB25" i="4"/>
  <c r="AD25" i="4" s="1"/>
  <c r="Y25" i="4"/>
  <c r="X25" i="4"/>
  <c r="Q25" i="4"/>
  <c r="P25" i="4"/>
  <c r="O25" i="4"/>
  <c r="M25" i="4"/>
  <c r="J25" i="4"/>
  <c r="H25" i="4"/>
  <c r="C25" i="4"/>
  <c r="AB24" i="4"/>
  <c r="AD24" i="4" s="1"/>
  <c r="J24" i="4" s="1"/>
  <c r="Y24" i="4"/>
  <c r="X24" i="4"/>
  <c r="Q24" i="4"/>
  <c r="P24" i="4"/>
  <c r="O24" i="4"/>
  <c r="M24" i="4"/>
  <c r="H24" i="4"/>
  <c r="C24" i="4"/>
  <c r="AB23" i="4"/>
  <c r="AD23" i="4" s="1"/>
  <c r="J23" i="4" s="1"/>
  <c r="Y23" i="4"/>
  <c r="X23" i="4"/>
  <c r="Q23" i="4"/>
  <c r="P23" i="4"/>
  <c r="O23" i="4"/>
  <c r="M23" i="4"/>
  <c r="H23" i="4"/>
  <c r="C23" i="4"/>
  <c r="AB22" i="4"/>
  <c r="AD22" i="4" s="1"/>
  <c r="J22" i="4" s="1"/>
  <c r="K22" i="4" s="1"/>
  <c r="Y22" i="4"/>
  <c r="X22" i="4"/>
  <c r="P22" i="4"/>
  <c r="O22" i="4"/>
  <c r="Q22" i="4" s="1"/>
  <c r="M22" i="4"/>
  <c r="I22" i="4"/>
  <c r="H22" i="4"/>
  <c r="C22" i="4"/>
  <c r="AD21" i="4"/>
  <c r="J21" i="4" s="1"/>
  <c r="AB21" i="4"/>
  <c r="Y21" i="4"/>
  <c r="X21" i="4"/>
  <c r="P21" i="4"/>
  <c r="Q21" i="4" s="1"/>
  <c r="O21" i="4"/>
  <c r="M21" i="4"/>
  <c r="H21" i="4"/>
  <c r="C21" i="4"/>
  <c r="AD20" i="4"/>
  <c r="J20" i="4" s="1"/>
  <c r="I20" i="4" s="1"/>
  <c r="AB20" i="4"/>
  <c r="Y20" i="4"/>
  <c r="X20" i="4"/>
  <c r="P20" i="4"/>
  <c r="Q20" i="4" s="1"/>
  <c r="O20" i="4"/>
  <c r="M20" i="4"/>
  <c r="K20" i="4"/>
  <c r="H20" i="4"/>
  <c r="C20" i="4"/>
  <c r="AD19" i="4"/>
  <c r="J19" i="4" s="1"/>
  <c r="AB19" i="4"/>
  <c r="Y19" i="4"/>
  <c r="X19" i="4"/>
  <c r="P19" i="4"/>
  <c r="O19" i="4"/>
  <c r="Q19" i="4" s="1"/>
  <c r="M19" i="4"/>
  <c r="H19" i="4"/>
  <c r="C19" i="4"/>
  <c r="AB18" i="4"/>
  <c r="AD18" i="4" s="1"/>
  <c r="J18" i="4" s="1"/>
  <c r="Y18" i="4"/>
  <c r="X18" i="4"/>
  <c r="P18" i="4"/>
  <c r="O18" i="4"/>
  <c r="Q18" i="4" s="1"/>
  <c r="M18" i="4"/>
  <c r="H18" i="4"/>
  <c r="C18" i="4"/>
  <c r="AB17" i="4"/>
  <c r="AD17" i="4" s="1"/>
  <c r="J17" i="4" s="1"/>
  <c r="Y17" i="4"/>
  <c r="X17" i="4"/>
  <c r="Q17" i="4"/>
  <c r="P17" i="4"/>
  <c r="O17" i="4"/>
  <c r="M17" i="4"/>
  <c r="H17" i="4"/>
  <c r="C17" i="4"/>
  <c r="AB16" i="4"/>
  <c r="AD16" i="4" s="1"/>
  <c r="J16" i="4" s="1"/>
  <c r="Y16" i="4"/>
  <c r="X16" i="4"/>
  <c r="Q16" i="4"/>
  <c r="P16" i="4"/>
  <c r="O16" i="4"/>
  <c r="M16" i="4"/>
  <c r="H16" i="4"/>
  <c r="C16" i="4"/>
  <c r="AB15" i="4"/>
  <c r="AD15" i="4" s="1"/>
  <c r="J15" i="4" s="1"/>
  <c r="Y15" i="4"/>
  <c r="X15" i="4"/>
  <c r="Q15" i="4"/>
  <c r="P15" i="4"/>
  <c r="O15" i="4"/>
  <c r="M15" i="4"/>
  <c r="H15" i="4"/>
  <c r="C15" i="4"/>
  <c r="AB14" i="4"/>
  <c r="AD14" i="4" s="1"/>
  <c r="J14" i="4" s="1"/>
  <c r="K14" i="4" s="1"/>
  <c r="Y14" i="4"/>
  <c r="X14" i="4"/>
  <c r="P14" i="4"/>
  <c r="O14" i="4"/>
  <c r="Q14" i="4" s="1"/>
  <c r="M14" i="4"/>
  <c r="H14" i="4"/>
  <c r="C14" i="4"/>
  <c r="AD13" i="4"/>
  <c r="J13" i="4" s="1"/>
  <c r="AB13" i="4"/>
  <c r="Y13" i="4"/>
  <c r="X13" i="4"/>
  <c r="P13" i="4"/>
  <c r="Q13" i="4" s="1"/>
  <c r="O13" i="4"/>
  <c r="M13" i="4"/>
  <c r="H13" i="4"/>
  <c r="C13" i="4"/>
  <c r="AD12" i="4"/>
  <c r="J12" i="4" s="1"/>
  <c r="I12" i="4" s="1"/>
  <c r="AB12" i="4"/>
  <c r="Y12" i="4"/>
  <c r="X12" i="4"/>
  <c r="P12" i="4"/>
  <c r="Q12" i="4" s="1"/>
  <c r="O12" i="4"/>
  <c r="M12" i="4"/>
  <c r="H12" i="4"/>
  <c r="C12" i="4"/>
  <c r="AD11" i="4"/>
  <c r="J11" i="4" s="1"/>
  <c r="AB11" i="4"/>
  <c r="Y11" i="4"/>
  <c r="X11" i="4"/>
  <c r="P11" i="4"/>
  <c r="O11" i="4"/>
  <c r="Q11" i="4" s="1"/>
  <c r="M11" i="4"/>
  <c r="H11" i="4"/>
  <c r="C11" i="4"/>
  <c r="AB10" i="4"/>
  <c r="AD10" i="4" s="1"/>
  <c r="J10" i="4" s="1"/>
  <c r="Y10" i="4"/>
  <c r="X10" i="4"/>
  <c r="P10" i="4"/>
  <c r="O10" i="4"/>
  <c r="Q10" i="4" s="1"/>
  <c r="M10" i="4"/>
  <c r="H10" i="4"/>
  <c r="C10" i="4"/>
  <c r="AB9" i="4"/>
  <c r="AD9" i="4" s="1"/>
  <c r="J9" i="4" s="1"/>
  <c r="Y9" i="4"/>
  <c r="X9" i="4"/>
  <c r="Q9" i="4"/>
  <c r="P9" i="4"/>
  <c r="O9" i="4"/>
  <c r="M9" i="4"/>
  <c r="H9" i="4"/>
  <c r="C9" i="4"/>
  <c r="AB8" i="4"/>
  <c r="AD8" i="4" s="1"/>
  <c r="J8" i="4" s="1"/>
  <c r="Y8" i="4"/>
  <c r="X8" i="4"/>
  <c r="Q8" i="4"/>
  <c r="P8" i="4"/>
  <c r="O8" i="4"/>
  <c r="M8" i="4"/>
  <c r="H8" i="4"/>
  <c r="C8" i="4"/>
  <c r="AB7" i="4"/>
  <c r="AD7" i="4" s="1"/>
  <c r="J7" i="4" s="1"/>
  <c r="Y7" i="4"/>
  <c r="X7" i="4"/>
  <c r="Q7" i="4"/>
  <c r="P7" i="4"/>
  <c r="O7" i="4"/>
  <c r="M7" i="4"/>
  <c r="H7" i="4"/>
  <c r="C7" i="4"/>
  <c r="AB6" i="4"/>
  <c r="AD6" i="4" s="1"/>
  <c r="J6" i="4" s="1"/>
  <c r="K6" i="4" s="1"/>
  <c r="Y6" i="4"/>
  <c r="X6" i="4"/>
  <c r="P6" i="4"/>
  <c r="O6" i="4"/>
  <c r="Q6" i="4" s="1"/>
  <c r="M6" i="4"/>
  <c r="H6" i="4"/>
  <c r="C6" i="4"/>
  <c r="AD5" i="4"/>
  <c r="J5" i="4" s="1"/>
  <c r="AB5" i="4"/>
  <c r="Y5" i="4"/>
  <c r="X5" i="4"/>
  <c r="P5" i="4"/>
  <c r="Q5" i="4" s="1"/>
  <c r="O5" i="4"/>
  <c r="M5" i="4"/>
  <c r="H5" i="4"/>
  <c r="C5" i="4"/>
  <c r="AD4" i="4"/>
  <c r="AB4" i="4"/>
  <c r="Y4" i="4"/>
  <c r="X4" i="4"/>
  <c r="P4" i="4"/>
  <c r="Q4" i="4" s="1"/>
  <c r="O4" i="4"/>
  <c r="M4" i="4"/>
  <c r="H4" i="4"/>
  <c r="C4" i="4"/>
  <c r="AG3" i="4"/>
  <c r="AF3" i="4"/>
  <c r="X3" i="4"/>
  <c r="W3" i="4"/>
  <c r="V3" i="4"/>
  <c r="U3" i="4"/>
  <c r="T3" i="4"/>
  <c r="O3" i="4"/>
  <c r="G3" i="4"/>
  <c r="H3" i="4" s="1"/>
  <c r="F3" i="4"/>
  <c r="D3" i="4"/>
  <c r="C3" i="4"/>
  <c r="A2" i="4"/>
  <c r="A1" i="4"/>
  <c r="AD32" i="3"/>
  <c r="J32" i="3" s="1"/>
  <c r="AB32" i="3"/>
  <c r="Y32" i="3"/>
  <c r="X32" i="3"/>
  <c r="V32" i="3"/>
  <c r="U32" i="3"/>
  <c r="T32" i="3"/>
  <c r="Q32" i="3"/>
  <c r="P32" i="3"/>
  <c r="O32" i="3"/>
  <c r="M32" i="3"/>
  <c r="H32" i="3"/>
  <c r="C32" i="3"/>
  <c r="AB31" i="3"/>
  <c r="AD31" i="3" s="1"/>
  <c r="J31" i="3" s="1"/>
  <c r="Y31" i="3"/>
  <c r="X31" i="3"/>
  <c r="Q31" i="3"/>
  <c r="P31" i="3"/>
  <c r="O31" i="3"/>
  <c r="M31" i="3"/>
  <c r="H31" i="3"/>
  <c r="C31" i="3"/>
  <c r="AB30" i="3"/>
  <c r="AD30" i="3" s="1"/>
  <c r="J30" i="3" s="1"/>
  <c r="K30" i="3" s="1"/>
  <c r="Y30" i="3"/>
  <c r="X30" i="3"/>
  <c r="P30" i="3"/>
  <c r="Q30" i="3" s="1"/>
  <c r="O30" i="3"/>
  <c r="M30" i="3"/>
  <c r="I30" i="3"/>
  <c r="H30" i="3"/>
  <c r="C30" i="3"/>
  <c r="AD29" i="3"/>
  <c r="J29" i="3" s="1"/>
  <c r="AB29" i="3"/>
  <c r="Y29" i="3"/>
  <c r="X29" i="3"/>
  <c r="P29" i="3"/>
  <c r="O29" i="3"/>
  <c r="Q29" i="3" s="1"/>
  <c r="M29" i="3"/>
  <c r="H29" i="3"/>
  <c r="C29" i="3"/>
  <c r="AD28" i="3"/>
  <c r="J28" i="3" s="1"/>
  <c r="I28" i="3" s="1"/>
  <c r="AB28" i="3"/>
  <c r="Y28" i="3"/>
  <c r="X28" i="3"/>
  <c r="P28" i="3"/>
  <c r="Q28" i="3" s="1"/>
  <c r="O28" i="3"/>
  <c r="M28" i="3"/>
  <c r="H28" i="3"/>
  <c r="C28" i="3"/>
  <c r="AD27" i="3"/>
  <c r="J27" i="3" s="1"/>
  <c r="AB27" i="3"/>
  <c r="Y27" i="3"/>
  <c r="X27" i="3"/>
  <c r="P27" i="3"/>
  <c r="O27" i="3"/>
  <c r="Q27" i="3" s="1"/>
  <c r="M27" i="3"/>
  <c r="H27" i="3"/>
  <c r="C27" i="3"/>
  <c r="AB26" i="3"/>
  <c r="AD26" i="3" s="1"/>
  <c r="J26" i="3" s="1"/>
  <c r="Y26" i="3"/>
  <c r="X26" i="3"/>
  <c r="P26" i="3"/>
  <c r="O26" i="3"/>
  <c r="Q26" i="3" s="1"/>
  <c r="M26" i="3"/>
  <c r="H26" i="3"/>
  <c r="C26" i="3"/>
  <c r="AB25" i="3"/>
  <c r="AD25" i="3" s="1"/>
  <c r="J25" i="3" s="1"/>
  <c r="Y25" i="3"/>
  <c r="X25" i="3"/>
  <c r="Q25" i="3"/>
  <c r="P25" i="3"/>
  <c r="O25" i="3"/>
  <c r="M25" i="3"/>
  <c r="H25" i="3"/>
  <c r="C25" i="3"/>
  <c r="AB24" i="3"/>
  <c r="AD24" i="3" s="1"/>
  <c r="J24" i="3" s="1"/>
  <c r="Y24" i="3"/>
  <c r="X24" i="3"/>
  <c r="Q24" i="3"/>
  <c r="P24" i="3"/>
  <c r="O24" i="3"/>
  <c r="M24" i="3"/>
  <c r="H24" i="3"/>
  <c r="C24" i="3"/>
  <c r="AB23" i="3"/>
  <c r="AD23" i="3" s="1"/>
  <c r="J23" i="3" s="1"/>
  <c r="Y23" i="3"/>
  <c r="X23" i="3"/>
  <c r="Q23" i="3"/>
  <c r="P23" i="3"/>
  <c r="O23" i="3"/>
  <c r="M23" i="3"/>
  <c r="H23" i="3"/>
  <c r="C23" i="3"/>
  <c r="AB22" i="3"/>
  <c r="AD22" i="3" s="1"/>
  <c r="J22" i="3" s="1"/>
  <c r="K22" i="3" s="1"/>
  <c r="Y22" i="3"/>
  <c r="X22" i="3"/>
  <c r="P22" i="3"/>
  <c r="Q22" i="3" s="1"/>
  <c r="O22" i="3"/>
  <c r="M22" i="3"/>
  <c r="I22" i="3"/>
  <c r="H22" i="3"/>
  <c r="C22" i="3"/>
  <c r="AD21" i="3"/>
  <c r="J21" i="3" s="1"/>
  <c r="AB21" i="3"/>
  <c r="Y21" i="3"/>
  <c r="X21" i="3"/>
  <c r="P21" i="3"/>
  <c r="O21" i="3"/>
  <c r="Q21" i="3" s="1"/>
  <c r="M21" i="3"/>
  <c r="H21" i="3"/>
  <c r="C21" i="3"/>
  <c r="AD20" i="3"/>
  <c r="J20" i="3" s="1"/>
  <c r="I20" i="3" s="1"/>
  <c r="AB20" i="3"/>
  <c r="Y20" i="3"/>
  <c r="X20" i="3"/>
  <c r="P20" i="3"/>
  <c r="Q20" i="3" s="1"/>
  <c r="O20" i="3"/>
  <c r="M20" i="3"/>
  <c r="K20" i="3"/>
  <c r="H20" i="3"/>
  <c r="C20" i="3"/>
  <c r="AD19" i="3"/>
  <c r="J19" i="3" s="1"/>
  <c r="AB19" i="3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P18" i="3"/>
  <c r="O18" i="3"/>
  <c r="Q18" i="3" s="1"/>
  <c r="M18" i="3"/>
  <c r="H18" i="3"/>
  <c r="C18" i="3"/>
  <c r="AB17" i="3"/>
  <c r="AD17" i="3" s="1"/>
  <c r="J17" i="3" s="1"/>
  <c r="Y17" i="3"/>
  <c r="X17" i="3"/>
  <c r="Q17" i="3"/>
  <c r="P17" i="3"/>
  <c r="O17" i="3"/>
  <c r="M17" i="3"/>
  <c r="H17" i="3"/>
  <c r="C17" i="3"/>
  <c r="AB16" i="3"/>
  <c r="AD16" i="3" s="1"/>
  <c r="J16" i="3" s="1"/>
  <c r="Y16" i="3"/>
  <c r="X16" i="3"/>
  <c r="Q16" i="3"/>
  <c r="P16" i="3"/>
  <c r="O16" i="3"/>
  <c r="M16" i="3"/>
  <c r="H16" i="3"/>
  <c r="C16" i="3"/>
  <c r="AB15" i="3"/>
  <c r="AD15" i="3" s="1"/>
  <c r="J15" i="3" s="1"/>
  <c r="Y15" i="3"/>
  <c r="X15" i="3"/>
  <c r="Q15" i="3"/>
  <c r="P15" i="3"/>
  <c r="O15" i="3"/>
  <c r="M15" i="3"/>
  <c r="H15" i="3"/>
  <c r="C15" i="3"/>
  <c r="AB14" i="3"/>
  <c r="AD14" i="3" s="1"/>
  <c r="J14" i="3" s="1"/>
  <c r="K14" i="3" s="1"/>
  <c r="Y14" i="3"/>
  <c r="X14" i="3"/>
  <c r="P14" i="3"/>
  <c r="O14" i="3"/>
  <c r="Q14" i="3" s="1"/>
  <c r="M14" i="3"/>
  <c r="I14" i="3"/>
  <c r="H14" i="3"/>
  <c r="C14" i="3"/>
  <c r="AD13" i="3"/>
  <c r="J13" i="3" s="1"/>
  <c r="AB13" i="3"/>
  <c r="Y13" i="3"/>
  <c r="X13" i="3"/>
  <c r="P13" i="3"/>
  <c r="Q13" i="3" s="1"/>
  <c r="O13" i="3"/>
  <c r="M13" i="3"/>
  <c r="H13" i="3"/>
  <c r="C13" i="3"/>
  <c r="AD12" i="3"/>
  <c r="J12" i="3" s="1"/>
  <c r="I12" i="3" s="1"/>
  <c r="AB12" i="3"/>
  <c r="Y12" i="3"/>
  <c r="X12" i="3"/>
  <c r="P12" i="3"/>
  <c r="Q12" i="3" s="1"/>
  <c r="O12" i="3"/>
  <c r="M12" i="3"/>
  <c r="H12" i="3"/>
  <c r="C12" i="3"/>
  <c r="AD11" i="3"/>
  <c r="J11" i="3" s="1"/>
  <c r="AB11" i="3"/>
  <c r="Y11" i="3"/>
  <c r="X11" i="3"/>
  <c r="P11" i="3"/>
  <c r="O11" i="3"/>
  <c r="Q11" i="3" s="1"/>
  <c r="M11" i="3"/>
  <c r="H11" i="3"/>
  <c r="C11" i="3"/>
  <c r="AB10" i="3"/>
  <c r="AD10" i="3" s="1"/>
  <c r="Y10" i="3"/>
  <c r="X10" i="3"/>
  <c r="P10" i="3"/>
  <c r="O10" i="3"/>
  <c r="Q10" i="3" s="1"/>
  <c r="M10" i="3"/>
  <c r="J10" i="3"/>
  <c r="H10" i="3"/>
  <c r="C10" i="3"/>
  <c r="AB9" i="3"/>
  <c r="AD9" i="3" s="1"/>
  <c r="J9" i="3" s="1"/>
  <c r="Y9" i="3"/>
  <c r="X9" i="3"/>
  <c r="Q9" i="3"/>
  <c r="P9" i="3"/>
  <c r="O9" i="3"/>
  <c r="M9" i="3"/>
  <c r="H9" i="3"/>
  <c r="C9" i="3"/>
  <c r="AB8" i="3"/>
  <c r="AD8" i="3" s="1"/>
  <c r="J8" i="3" s="1"/>
  <c r="Y8" i="3"/>
  <c r="X8" i="3"/>
  <c r="Q8" i="3"/>
  <c r="P8" i="3"/>
  <c r="O8" i="3"/>
  <c r="M8" i="3"/>
  <c r="H8" i="3"/>
  <c r="C8" i="3"/>
  <c r="AB7" i="3"/>
  <c r="AD7" i="3" s="1"/>
  <c r="J7" i="3" s="1"/>
  <c r="K7" i="3" s="1"/>
  <c r="Y7" i="3"/>
  <c r="X7" i="3"/>
  <c r="Q7" i="3"/>
  <c r="P7" i="3"/>
  <c r="O7" i="3"/>
  <c r="M7" i="3"/>
  <c r="H7" i="3"/>
  <c r="C7" i="3"/>
  <c r="AB6" i="3"/>
  <c r="AD6" i="3" s="1"/>
  <c r="J6" i="3" s="1"/>
  <c r="K6" i="3" s="1"/>
  <c r="Y6" i="3"/>
  <c r="X6" i="3"/>
  <c r="P6" i="3"/>
  <c r="Q6" i="3" s="1"/>
  <c r="O6" i="3"/>
  <c r="M6" i="3"/>
  <c r="H6" i="3"/>
  <c r="C6" i="3"/>
  <c r="AD5" i="3"/>
  <c r="J5" i="3" s="1"/>
  <c r="I5" i="3" s="1"/>
  <c r="AB5" i="3"/>
  <c r="Y5" i="3"/>
  <c r="X5" i="3"/>
  <c r="P5" i="3"/>
  <c r="Q5" i="3" s="1"/>
  <c r="O5" i="3"/>
  <c r="M5" i="3"/>
  <c r="H5" i="3"/>
  <c r="C5" i="3"/>
  <c r="AD4" i="3"/>
  <c r="AB4" i="3"/>
  <c r="Y4" i="3"/>
  <c r="X4" i="3"/>
  <c r="P4" i="3"/>
  <c r="O4" i="3"/>
  <c r="Q4" i="3" s="1"/>
  <c r="M4" i="3"/>
  <c r="H4" i="3"/>
  <c r="C4" i="3"/>
  <c r="AG3" i="3"/>
  <c r="AF3" i="3"/>
  <c r="X3" i="3"/>
  <c r="W3" i="3"/>
  <c r="V3" i="3"/>
  <c r="U3" i="3"/>
  <c r="T3" i="3"/>
  <c r="O3" i="3"/>
  <c r="G3" i="3"/>
  <c r="F3" i="3"/>
  <c r="D3" i="3"/>
  <c r="C3" i="3"/>
  <c r="A2" i="3"/>
  <c r="A1" i="3"/>
  <c r="AD32" i="2"/>
  <c r="J32" i="2" s="1"/>
  <c r="AB32" i="2"/>
  <c r="Y32" i="2"/>
  <c r="X32" i="2"/>
  <c r="V32" i="2"/>
  <c r="U32" i="2"/>
  <c r="T32" i="2"/>
  <c r="Q32" i="2"/>
  <c r="P32" i="2"/>
  <c r="O32" i="2"/>
  <c r="M32" i="2"/>
  <c r="H32" i="2"/>
  <c r="C32" i="2"/>
  <c r="AB31" i="2"/>
  <c r="AD31" i="2" s="1"/>
  <c r="J31" i="2" s="1"/>
  <c r="K31" i="2" s="1"/>
  <c r="Y31" i="2"/>
  <c r="X31" i="2"/>
  <c r="Q31" i="2"/>
  <c r="P31" i="2"/>
  <c r="O31" i="2"/>
  <c r="M31" i="2"/>
  <c r="I31" i="2"/>
  <c r="H31" i="2"/>
  <c r="C31" i="2"/>
  <c r="AB30" i="2"/>
  <c r="AD30" i="2" s="1"/>
  <c r="J30" i="2" s="1"/>
  <c r="K30" i="2" s="1"/>
  <c r="Y30" i="2"/>
  <c r="X30" i="2"/>
  <c r="P30" i="2"/>
  <c r="Q30" i="2" s="1"/>
  <c r="O30" i="2"/>
  <c r="M30" i="2"/>
  <c r="H30" i="2"/>
  <c r="C30" i="2"/>
  <c r="AD29" i="2"/>
  <c r="J29" i="2" s="1"/>
  <c r="I29" i="2" s="1"/>
  <c r="AB29" i="2"/>
  <c r="Y29" i="2"/>
  <c r="X29" i="2"/>
  <c r="P29" i="2"/>
  <c r="O29" i="2"/>
  <c r="M29" i="2"/>
  <c r="K29" i="2"/>
  <c r="H29" i="2"/>
  <c r="C29" i="2"/>
  <c r="AD28" i="2"/>
  <c r="J28" i="2" s="1"/>
  <c r="I28" i="2" s="1"/>
  <c r="AB28" i="2"/>
  <c r="Y28" i="2"/>
  <c r="X28" i="2"/>
  <c r="P28" i="2"/>
  <c r="Q28" i="2" s="1"/>
  <c r="O28" i="2"/>
  <c r="M28" i="2"/>
  <c r="H28" i="2"/>
  <c r="C28" i="2"/>
  <c r="AD27" i="2"/>
  <c r="J27" i="2" s="1"/>
  <c r="AB27" i="2"/>
  <c r="Y27" i="2"/>
  <c r="X27" i="2"/>
  <c r="P27" i="2"/>
  <c r="O27" i="2"/>
  <c r="Q27" i="2" s="1"/>
  <c r="M27" i="2"/>
  <c r="H27" i="2"/>
  <c r="C27" i="2"/>
  <c r="AB26" i="2"/>
  <c r="AD26" i="2" s="1"/>
  <c r="Y26" i="2"/>
  <c r="X26" i="2"/>
  <c r="P26" i="2"/>
  <c r="O26" i="2"/>
  <c r="Q26" i="2" s="1"/>
  <c r="M26" i="2"/>
  <c r="J26" i="2"/>
  <c r="H26" i="2"/>
  <c r="C26" i="2"/>
  <c r="AB25" i="2"/>
  <c r="AD25" i="2" s="1"/>
  <c r="Y25" i="2"/>
  <c r="X25" i="2"/>
  <c r="Q25" i="2"/>
  <c r="P25" i="2"/>
  <c r="O25" i="2"/>
  <c r="M25" i="2"/>
  <c r="J25" i="2"/>
  <c r="H25" i="2"/>
  <c r="C25" i="2"/>
  <c r="AB24" i="2"/>
  <c r="AD24" i="2" s="1"/>
  <c r="J24" i="2" s="1"/>
  <c r="Y24" i="2"/>
  <c r="X24" i="2"/>
  <c r="Q24" i="2"/>
  <c r="P24" i="2"/>
  <c r="O24" i="2"/>
  <c r="M24" i="2"/>
  <c r="H24" i="2"/>
  <c r="C24" i="2"/>
  <c r="AB23" i="2"/>
  <c r="AD23" i="2" s="1"/>
  <c r="J23" i="2" s="1"/>
  <c r="K23" i="2" s="1"/>
  <c r="Y23" i="2"/>
  <c r="X23" i="2"/>
  <c r="Q23" i="2"/>
  <c r="P23" i="2"/>
  <c r="O23" i="2"/>
  <c r="M23" i="2"/>
  <c r="H23" i="2"/>
  <c r="C23" i="2"/>
  <c r="AB22" i="2"/>
  <c r="AD22" i="2" s="1"/>
  <c r="J22" i="2" s="1"/>
  <c r="K22" i="2" s="1"/>
  <c r="Y22" i="2"/>
  <c r="X22" i="2"/>
  <c r="P22" i="2"/>
  <c r="Q22" i="2" s="1"/>
  <c r="O22" i="2"/>
  <c r="M22" i="2"/>
  <c r="H22" i="2"/>
  <c r="C22" i="2"/>
  <c r="AD21" i="2"/>
  <c r="J21" i="2" s="1"/>
  <c r="I21" i="2" s="1"/>
  <c r="AB21" i="2"/>
  <c r="Y21" i="2"/>
  <c r="X21" i="2"/>
  <c r="P21" i="2"/>
  <c r="Q21" i="2" s="1"/>
  <c r="O21" i="2"/>
  <c r="M21" i="2"/>
  <c r="H21" i="2"/>
  <c r="C21" i="2"/>
  <c r="AD20" i="2"/>
  <c r="J20" i="2" s="1"/>
  <c r="I20" i="2" s="1"/>
  <c r="AB20" i="2"/>
  <c r="Y20" i="2"/>
  <c r="X20" i="2"/>
  <c r="P20" i="2"/>
  <c r="Q20" i="2" s="1"/>
  <c r="O20" i="2"/>
  <c r="M20" i="2"/>
  <c r="H20" i="2"/>
  <c r="C20" i="2"/>
  <c r="AD19" i="2"/>
  <c r="J19" i="2" s="1"/>
  <c r="AB19" i="2"/>
  <c r="Y19" i="2"/>
  <c r="X19" i="2"/>
  <c r="P19" i="2"/>
  <c r="O19" i="2"/>
  <c r="Q19" i="2" s="1"/>
  <c r="M19" i="2"/>
  <c r="H19" i="2"/>
  <c r="C19" i="2"/>
  <c r="AB18" i="2"/>
  <c r="AD18" i="2" s="1"/>
  <c r="Y18" i="2"/>
  <c r="X18" i="2"/>
  <c r="P18" i="2"/>
  <c r="O18" i="2"/>
  <c r="Q18" i="2" s="1"/>
  <c r="M18" i="2"/>
  <c r="J18" i="2"/>
  <c r="H18" i="2"/>
  <c r="C18" i="2"/>
  <c r="AB17" i="2"/>
  <c r="AD17" i="2" s="1"/>
  <c r="J17" i="2" s="1"/>
  <c r="Y17" i="2"/>
  <c r="X17" i="2"/>
  <c r="Q17" i="2"/>
  <c r="P17" i="2"/>
  <c r="O17" i="2"/>
  <c r="M17" i="2"/>
  <c r="H17" i="2"/>
  <c r="C17" i="2"/>
  <c r="AB16" i="2"/>
  <c r="AD16" i="2" s="1"/>
  <c r="J16" i="2" s="1"/>
  <c r="Y16" i="2"/>
  <c r="X16" i="2"/>
  <c r="Q16" i="2"/>
  <c r="P16" i="2"/>
  <c r="O16" i="2"/>
  <c r="M16" i="2"/>
  <c r="H16" i="2"/>
  <c r="C16" i="2"/>
  <c r="AB15" i="2"/>
  <c r="AD15" i="2" s="1"/>
  <c r="J15" i="2" s="1"/>
  <c r="K15" i="2" s="1"/>
  <c r="Y15" i="2"/>
  <c r="X15" i="2"/>
  <c r="Q15" i="2"/>
  <c r="P15" i="2"/>
  <c r="O15" i="2"/>
  <c r="M15" i="2"/>
  <c r="I15" i="2"/>
  <c r="H15" i="2"/>
  <c r="C15" i="2"/>
  <c r="AB14" i="2"/>
  <c r="AD14" i="2" s="1"/>
  <c r="J14" i="2" s="1"/>
  <c r="K14" i="2" s="1"/>
  <c r="Y14" i="2"/>
  <c r="X14" i="2"/>
  <c r="P14" i="2"/>
  <c r="Q14" i="2" s="1"/>
  <c r="O14" i="2"/>
  <c r="M14" i="2"/>
  <c r="H14" i="2"/>
  <c r="C14" i="2"/>
  <c r="AD13" i="2"/>
  <c r="J13" i="2" s="1"/>
  <c r="I13" i="2" s="1"/>
  <c r="AB13" i="2"/>
  <c r="Y13" i="2"/>
  <c r="X13" i="2"/>
  <c r="P13" i="2"/>
  <c r="Q13" i="2" s="1"/>
  <c r="O13" i="2"/>
  <c r="M13" i="2"/>
  <c r="K13" i="2"/>
  <c r="H13" i="2"/>
  <c r="C13" i="2"/>
  <c r="AD12" i="2"/>
  <c r="J12" i="2" s="1"/>
  <c r="I12" i="2" s="1"/>
  <c r="AB12" i="2"/>
  <c r="Y12" i="2"/>
  <c r="X12" i="2"/>
  <c r="P12" i="2"/>
  <c r="Q12" i="2" s="1"/>
  <c r="O12" i="2"/>
  <c r="M12" i="2"/>
  <c r="H12" i="2"/>
  <c r="C12" i="2"/>
  <c r="AD11" i="2"/>
  <c r="J11" i="2" s="1"/>
  <c r="AB11" i="2"/>
  <c r="Y11" i="2"/>
  <c r="X11" i="2"/>
  <c r="P11" i="2"/>
  <c r="O11" i="2"/>
  <c r="Q11" i="2" s="1"/>
  <c r="M11" i="2"/>
  <c r="H11" i="2"/>
  <c r="C11" i="2"/>
  <c r="AB10" i="2"/>
  <c r="AD10" i="2" s="1"/>
  <c r="Y10" i="2"/>
  <c r="X10" i="2"/>
  <c r="P10" i="2"/>
  <c r="O10" i="2"/>
  <c r="Q10" i="2" s="1"/>
  <c r="M10" i="2"/>
  <c r="J10" i="2"/>
  <c r="H10" i="2"/>
  <c r="C10" i="2"/>
  <c r="AB9" i="2"/>
  <c r="AD9" i="2" s="1"/>
  <c r="Y9" i="2"/>
  <c r="X9" i="2"/>
  <c r="Q9" i="2"/>
  <c r="P9" i="2"/>
  <c r="O9" i="2"/>
  <c r="M9" i="2"/>
  <c r="J9" i="2"/>
  <c r="H9" i="2"/>
  <c r="C9" i="2"/>
  <c r="AB8" i="2"/>
  <c r="AD8" i="2" s="1"/>
  <c r="J8" i="2" s="1"/>
  <c r="Y8" i="2"/>
  <c r="X8" i="2"/>
  <c r="Q8" i="2"/>
  <c r="P8" i="2"/>
  <c r="O8" i="2"/>
  <c r="M8" i="2"/>
  <c r="H8" i="2"/>
  <c r="C8" i="2"/>
  <c r="AB7" i="2"/>
  <c r="AD7" i="2" s="1"/>
  <c r="J7" i="2" s="1"/>
  <c r="K7" i="2" s="1"/>
  <c r="Y7" i="2"/>
  <c r="X7" i="2"/>
  <c r="Q7" i="2"/>
  <c r="P7" i="2"/>
  <c r="O7" i="2"/>
  <c r="M7" i="2"/>
  <c r="H7" i="2"/>
  <c r="C7" i="2"/>
  <c r="AB6" i="2"/>
  <c r="AD6" i="2" s="1"/>
  <c r="J6" i="2" s="1"/>
  <c r="K6" i="2" s="1"/>
  <c r="Y6" i="2"/>
  <c r="X6" i="2"/>
  <c r="P6" i="2"/>
  <c r="Q6" i="2" s="1"/>
  <c r="O6" i="2"/>
  <c r="M6" i="2"/>
  <c r="H6" i="2"/>
  <c r="C6" i="2"/>
  <c r="AD5" i="2"/>
  <c r="J5" i="2" s="1"/>
  <c r="I5" i="2" s="1"/>
  <c r="AB5" i="2"/>
  <c r="Y5" i="2"/>
  <c r="X5" i="2"/>
  <c r="P5" i="2"/>
  <c r="Q5" i="2" s="1"/>
  <c r="O5" i="2"/>
  <c r="M5" i="2"/>
  <c r="H5" i="2"/>
  <c r="C5" i="2"/>
  <c r="AD4" i="2"/>
  <c r="AB4" i="2"/>
  <c r="Y4" i="2"/>
  <c r="X4" i="2"/>
  <c r="P4" i="2"/>
  <c r="Q4" i="2" s="1"/>
  <c r="O4" i="2"/>
  <c r="M4" i="2"/>
  <c r="H4" i="2"/>
  <c r="C4" i="2"/>
  <c r="AG3" i="2"/>
  <c r="AF3" i="2"/>
  <c r="X3" i="2"/>
  <c r="W3" i="2"/>
  <c r="V3" i="2"/>
  <c r="U3" i="2"/>
  <c r="T3" i="2"/>
  <c r="O3" i="2"/>
  <c r="G3" i="2"/>
  <c r="F3" i="2"/>
  <c r="D3" i="2"/>
  <c r="C3" i="2"/>
  <c r="A2" i="2"/>
  <c r="A1" i="2"/>
  <c r="AD32" i="1"/>
  <c r="J32" i="1" s="1"/>
  <c r="AB32" i="1"/>
  <c r="Y32" i="1"/>
  <c r="X32" i="1"/>
  <c r="V32" i="1"/>
  <c r="U32" i="1"/>
  <c r="T32" i="1"/>
  <c r="Q32" i="1"/>
  <c r="P32" i="1"/>
  <c r="O32" i="1"/>
  <c r="M32" i="1"/>
  <c r="H32" i="1"/>
  <c r="C32" i="1"/>
  <c r="AB31" i="1"/>
  <c r="AD31" i="1" s="1"/>
  <c r="J31" i="1" s="1"/>
  <c r="K31" i="1" s="1"/>
  <c r="Y31" i="1"/>
  <c r="X31" i="1"/>
  <c r="Q31" i="1"/>
  <c r="P31" i="1"/>
  <c r="O31" i="1"/>
  <c r="M31" i="1"/>
  <c r="I31" i="1"/>
  <c r="H31" i="1"/>
  <c r="C31" i="1"/>
  <c r="AB30" i="1"/>
  <c r="AD30" i="1" s="1"/>
  <c r="J30" i="1" s="1"/>
  <c r="K30" i="1" s="1"/>
  <c r="Y30" i="1"/>
  <c r="X30" i="1"/>
  <c r="P30" i="1"/>
  <c r="Q30" i="1" s="1"/>
  <c r="O30" i="1"/>
  <c r="M30" i="1"/>
  <c r="H30" i="1"/>
  <c r="C30" i="1"/>
  <c r="AD29" i="1"/>
  <c r="J29" i="1" s="1"/>
  <c r="I29" i="1" s="1"/>
  <c r="AB29" i="1"/>
  <c r="Y29" i="1"/>
  <c r="X29" i="1"/>
  <c r="P29" i="1"/>
  <c r="O29" i="1"/>
  <c r="M29" i="1"/>
  <c r="K29" i="1"/>
  <c r="H29" i="1"/>
  <c r="C29" i="1"/>
  <c r="AD28" i="1"/>
  <c r="J28" i="1" s="1"/>
  <c r="I28" i="1" s="1"/>
  <c r="AB28" i="1"/>
  <c r="Y28" i="1"/>
  <c r="X28" i="1"/>
  <c r="P28" i="1"/>
  <c r="Q28" i="1" s="1"/>
  <c r="O28" i="1"/>
  <c r="M28" i="1"/>
  <c r="H28" i="1"/>
  <c r="C28" i="1"/>
  <c r="AD27" i="1"/>
  <c r="J27" i="1" s="1"/>
  <c r="AB27" i="1"/>
  <c r="Y27" i="1"/>
  <c r="X27" i="1"/>
  <c r="P27" i="1"/>
  <c r="O27" i="1"/>
  <c r="Q27" i="1" s="1"/>
  <c r="M27" i="1"/>
  <c r="H27" i="1"/>
  <c r="C27" i="1"/>
  <c r="AB26" i="1"/>
  <c r="AD26" i="1" s="1"/>
  <c r="Y26" i="1"/>
  <c r="X26" i="1"/>
  <c r="P26" i="1"/>
  <c r="O26" i="1"/>
  <c r="Q26" i="1" s="1"/>
  <c r="M26" i="1"/>
  <c r="J26" i="1"/>
  <c r="H26" i="1"/>
  <c r="C26" i="1"/>
  <c r="AB25" i="1"/>
  <c r="AD25" i="1" s="1"/>
  <c r="Y25" i="1"/>
  <c r="X25" i="1"/>
  <c r="Q25" i="1"/>
  <c r="P25" i="1"/>
  <c r="O25" i="1"/>
  <c r="M25" i="1"/>
  <c r="J25" i="1"/>
  <c r="H25" i="1"/>
  <c r="C25" i="1"/>
  <c r="AB24" i="1"/>
  <c r="AD24" i="1" s="1"/>
  <c r="J24" i="1" s="1"/>
  <c r="Y24" i="1"/>
  <c r="X24" i="1"/>
  <c r="Q24" i="1"/>
  <c r="P24" i="1"/>
  <c r="O24" i="1"/>
  <c r="M24" i="1"/>
  <c r="H24" i="1"/>
  <c r="C24" i="1"/>
  <c r="AB23" i="1"/>
  <c r="AD23" i="1" s="1"/>
  <c r="J23" i="1" s="1"/>
  <c r="K23" i="1" s="1"/>
  <c r="Y23" i="1"/>
  <c r="X23" i="1"/>
  <c r="Q23" i="1"/>
  <c r="P23" i="1"/>
  <c r="O23" i="1"/>
  <c r="M23" i="1"/>
  <c r="H23" i="1"/>
  <c r="C23" i="1"/>
  <c r="AB22" i="1"/>
  <c r="AD22" i="1" s="1"/>
  <c r="J22" i="1" s="1"/>
  <c r="K22" i="1" s="1"/>
  <c r="Y22" i="1"/>
  <c r="X22" i="1"/>
  <c r="P22" i="1"/>
  <c r="Q22" i="1" s="1"/>
  <c r="O22" i="1"/>
  <c r="M22" i="1"/>
  <c r="H22" i="1"/>
  <c r="C22" i="1"/>
  <c r="AD21" i="1"/>
  <c r="J21" i="1" s="1"/>
  <c r="I21" i="1" s="1"/>
  <c r="AB21" i="1"/>
  <c r="Y21" i="1"/>
  <c r="X21" i="1"/>
  <c r="P21" i="1"/>
  <c r="O21" i="1"/>
  <c r="Q21" i="1" s="1"/>
  <c r="M21" i="1"/>
  <c r="H21" i="1"/>
  <c r="C21" i="1"/>
  <c r="AD20" i="1"/>
  <c r="J20" i="1" s="1"/>
  <c r="I20" i="1" s="1"/>
  <c r="AB20" i="1"/>
  <c r="Y20" i="1"/>
  <c r="X20" i="1"/>
  <c r="P20" i="1"/>
  <c r="Q20" i="1" s="1"/>
  <c r="O20" i="1"/>
  <c r="M20" i="1"/>
  <c r="H20" i="1"/>
  <c r="C20" i="1"/>
  <c r="AD19" i="1"/>
  <c r="J19" i="1" s="1"/>
  <c r="AB19" i="1"/>
  <c r="Y19" i="1"/>
  <c r="X19" i="1"/>
  <c r="P19" i="1"/>
  <c r="O19" i="1"/>
  <c r="Q19" i="1" s="1"/>
  <c r="M19" i="1"/>
  <c r="H19" i="1"/>
  <c r="C19" i="1"/>
  <c r="AB18" i="1"/>
  <c r="AD18" i="1" s="1"/>
  <c r="Y18" i="1"/>
  <c r="X18" i="1"/>
  <c r="P18" i="1"/>
  <c r="O18" i="1"/>
  <c r="Q18" i="1" s="1"/>
  <c r="M18" i="1"/>
  <c r="J18" i="1"/>
  <c r="H18" i="1"/>
  <c r="C18" i="1"/>
  <c r="AB17" i="1"/>
  <c r="AD17" i="1" s="1"/>
  <c r="J17" i="1" s="1"/>
  <c r="Y17" i="1"/>
  <c r="X17" i="1"/>
  <c r="Q17" i="1"/>
  <c r="P17" i="1"/>
  <c r="O17" i="1"/>
  <c r="M17" i="1"/>
  <c r="H17" i="1"/>
  <c r="C17" i="1"/>
  <c r="AB16" i="1"/>
  <c r="AD16" i="1" s="1"/>
  <c r="J16" i="1" s="1"/>
  <c r="Y16" i="1"/>
  <c r="X16" i="1"/>
  <c r="Q16" i="1"/>
  <c r="P16" i="1"/>
  <c r="O16" i="1"/>
  <c r="M16" i="1"/>
  <c r="H16" i="1"/>
  <c r="C16" i="1"/>
  <c r="AB15" i="1"/>
  <c r="AD15" i="1" s="1"/>
  <c r="J15" i="1" s="1"/>
  <c r="K15" i="1" s="1"/>
  <c r="Y15" i="1"/>
  <c r="X15" i="1"/>
  <c r="Q15" i="1"/>
  <c r="P15" i="1"/>
  <c r="O15" i="1"/>
  <c r="M15" i="1"/>
  <c r="I15" i="1"/>
  <c r="H15" i="1"/>
  <c r="C15" i="1"/>
  <c r="AB14" i="1"/>
  <c r="AD14" i="1" s="1"/>
  <c r="J14" i="1" s="1"/>
  <c r="K14" i="1" s="1"/>
  <c r="Y14" i="1"/>
  <c r="X14" i="1"/>
  <c r="P14" i="1"/>
  <c r="Q14" i="1" s="1"/>
  <c r="O14" i="1"/>
  <c r="M14" i="1"/>
  <c r="H14" i="1"/>
  <c r="C14" i="1"/>
  <c r="AD13" i="1"/>
  <c r="J13" i="1" s="1"/>
  <c r="I13" i="1" s="1"/>
  <c r="AB13" i="1"/>
  <c r="Y13" i="1"/>
  <c r="X13" i="1"/>
  <c r="P13" i="1"/>
  <c r="Q13" i="1" s="1"/>
  <c r="O13" i="1"/>
  <c r="M13" i="1"/>
  <c r="K13" i="1"/>
  <c r="H13" i="1"/>
  <c r="C13" i="1"/>
  <c r="AD12" i="1"/>
  <c r="J12" i="1" s="1"/>
  <c r="I12" i="1" s="1"/>
  <c r="AB12" i="1"/>
  <c r="Y12" i="1"/>
  <c r="X12" i="1"/>
  <c r="P12" i="1"/>
  <c r="O12" i="1"/>
  <c r="Q12" i="1" s="1"/>
  <c r="M12" i="1"/>
  <c r="H12" i="1"/>
  <c r="C12" i="1"/>
  <c r="AD11" i="1"/>
  <c r="J11" i="1" s="1"/>
  <c r="AB11" i="1"/>
  <c r="Y11" i="1"/>
  <c r="X11" i="1"/>
  <c r="P11" i="1"/>
  <c r="O11" i="1"/>
  <c r="Q11" i="1" s="1"/>
  <c r="M11" i="1"/>
  <c r="H11" i="1"/>
  <c r="C11" i="1"/>
  <c r="AB10" i="1"/>
  <c r="AD10" i="1" s="1"/>
  <c r="J10" i="1" s="1"/>
  <c r="Y10" i="1"/>
  <c r="X10" i="1"/>
  <c r="P10" i="1"/>
  <c r="O10" i="1"/>
  <c r="Q10" i="1" s="1"/>
  <c r="M10" i="1"/>
  <c r="H10" i="1"/>
  <c r="C10" i="1"/>
  <c r="AB9" i="1"/>
  <c r="AD9" i="1" s="1"/>
  <c r="Y9" i="1"/>
  <c r="X9" i="1"/>
  <c r="Q9" i="1"/>
  <c r="P9" i="1"/>
  <c r="O9" i="1"/>
  <c r="M9" i="1"/>
  <c r="J9" i="1"/>
  <c r="H9" i="1"/>
  <c r="C9" i="1"/>
  <c r="AB8" i="1"/>
  <c r="AD8" i="1" s="1"/>
  <c r="J8" i="1" s="1"/>
  <c r="Y8" i="1"/>
  <c r="X8" i="1"/>
  <c r="Q8" i="1"/>
  <c r="P8" i="1"/>
  <c r="O8" i="1"/>
  <c r="M8" i="1"/>
  <c r="H8" i="1"/>
  <c r="C8" i="1"/>
  <c r="AB7" i="1"/>
  <c r="AD7" i="1" s="1"/>
  <c r="J7" i="1" s="1"/>
  <c r="K7" i="1" s="1"/>
  <c r="Y7" i="1"/>
  <c r="X7" i="1"/>
  <c r="Q7" i="1"/>
  <c r="P7" i="1"/>
  <c r="O7" i="1"/>
  <c r="M7" i="1"/>
  <c r="H7" i="1"/>
  <c r="C7" i="1"/>
  <c r="AB6" i="1"/>
  <c r="AD6" i="1" s="1"/>
  <c r="J6" i="1" s="1"/>
  <c r="K6" i="1" s="1"/>
  <c r="Y6" i="1"/>
  <c r="X6" i="1"/>
  <c r="P6" i="1"/>
  <c r="Q6" i="1" s="1"/>
  <c r="O6" i="1"/>
  <c r="M6" i="1"/>
  <c r="H6" i="1"/>
  <c r="C6" i="1"/>
  <c r="AD5" i="1"/>
  <c r="J5" i="1" s="1"/>
  <c r="K5" i="1" s="1"/>
  <c r="AB5" i="1"/>
  <c r="Y5" i="1"/>
  <c r="X5" i="1"/>
  <c r="P5" i="1"/>
  <c r="Q5" i="1" s="1"/>
  <c r="O5" i="1"/>
  <c r="M5" i="1"/>
  <c r="H5" i="1"/>
  <c r="C5" i="1"/>
  <c r="AD4" i="1"/>
  <c r="AB4" i="1"/>
  <c r="Y4" i="1"/>
  <c r="X4" i="1"/>
  <c r="P4" i="1"/>
  <c r="O4" i="1"/>
  <c r="Q4" i="1" s="1"/>
  <c r="M4" i="1"/>
  <c r="H4" i="1"/>
  <c r="C4" i="1"/>
  <c r="AG3" i="1"/>
  <c r="AF3" i="1"/>
  <c r="X3" i="1"/>
  <c r="W3" i="1"/>
  <c r="V3" i="1"/>
  <c r="U3" i="1"/>
  <c r="T3" i="1"/>
  <c r="O3" i="1"/>
  <c r="G3" i="1"/>
  <c r="F3" i="1"/>
  <c r="D3" i="1"/>
  <c r="C3" i="1"/>
  <c r="A2" i="1"/>
  <c r="A1" i="1"/>
  <c r="I17" i="7" l="1"/>
  <c r="K17" i="7"/>
  <c r="I17" i="1"/>
  <c r="K17" i="1"/>
  <c r="I17" i="3"/>
  <c r="K17" i="3"/>
  <c r="I25" i="6"/>
  <c r="K25" i="6"/>
  <c r="I9" i="4"/>
  <c r="K9" i="4"/>
  <c r="K18" i="3"/>
  <c r="I18" i="3"/>
  <c r="I17" i="6"/>
  <c r="K17" i="6"/>
  <c r="K10" i="1"/>
  <c r="I10" i="1"/>
  <c r="I9" i="3"/>
  <c r="K9" i="3"/>
  <c r="I25" i="3"/>
  <c r="K25" i="3"/>
  <c r="I17" i="5"/>
  <c r="K17" i="5"/>
  <c r="I17" i="4"/>
  <c r="K17" i="4"/>
  <c r="I9" i="5"/>
  <c r="K9" i="5"/>
  <c r="I25" i="7"/>
  <c r="K25" i="7"/>
  <c r="I17" i="2"/>
  <c r="K17" i="2"/>
  <c r="I9" i="8"/>
  <c r="K9" i="8"/>
  <c r="I17" i="8"/>
  <c r="K17" i="8"/>
  <c r="K11" i="1"/>
  <c r="I11" i="1"/>
  <c r="K27" i="1"/>
  <c r="I27" i="1"/>
  <c r="K27" i="2"/>
  <c r="I27" i="2"/>
  <c r="K31" i="3"/>
  <c r="I31" i="3"/>
  <c r="K32" i="5"/>
  <c r="I32" i="5"/>
  <c r="K13" i="7"/>
  <c r="I13" i="7"/>
  <c r="I27" i="10"/>
  <c r="K27" i="10"/>
  <c r="J5" i="16"/>
  <c r="AD3" i="16"/>
  <c r="I15" i="28"/>
  <c r="K15" i="28"/>
  <c r="K8" i="30"/>
  <c r="I8" i="30"/>
  <c r="K21" i="1"/>
  <c r="K26" i="1"/>
  <c r="I26" i="1"/>
  <c r="K5" i="2"/>
  <c r="K10" i="2"/>
  <c r="I10" i="2"/>
  <c r="K21" i="2"/>
  <c r="K26" i="2"/>
  <c r="I26" i="2"/>
  <c r="K5" i="3"/>
  <c r="K10" i="3"/>
  <c r="I10" i="3"/>
  <c r="K12" i="4"/>
  <c r="K13" i="4"/>
  <c r="I13" i="4"/>
  <c r="K16" i="5"/>
  <c r="I16" i="5"/>
  <c r="K23" i="5"/>
  <c r="I23" i="5"/>
  <c r="J4" i="6"/>
  <c r="AD3" i="6"/>
  <c r="K19" i="6"/>
  <c r="I19" i="6"/>
  <c r="K26" i="6"/>
  <c r="I26" i="6"/>
  <c r="K7" i="7"/>
  <c r="I7" i="7"/>
  <c r="K20" i="7"/>
  <c r="K21" i="7"/>
  <c r="I21" i="7"/>
  <c r="K10" i="8"/>
  <c r="I10" i="8"/>
  <c r="K24" i="8"/>
  <c r="I24" i="8"/>
  <c r="I30" i="9"/>
  <c r="I20" i="10"/>
  <c r="K20" i="10"/>
  <c r="K27" i="14"/>
  <c r="I27" i="14"/>
  <c r="K20" i="15"/>
  <c r="I20" i="15"/>
  <c r="K21" i="15"/>
  <c r="I21" i="15"/>
  <c r="I22" i="15"/>
  <c r="K22" i="15"/>
  <c r="I30" i="15"/>
  <c r="K30" i="15"/>
  <c r="K31" i="15"/>
  <c r="I31" i="15"/>
  <c r="K10" i="16"/>
  <c r="I10" i="16"/>
  <c r="AD3" i="18"/>
  <c r="J4" i="18"/>
  <c r="I5" i="1"/>
  <c r="K23" i="8"/>
  <c r="I23" i="8"/>
  <c r="K7" i="30"/>
  <c r="K19" i="3"/>
  <c r="I19" i="3"/>
  <c r="K26" i="3"/>
  <c r="I26" i="3"/>
  <c r="K7" i="4"/>
  <c r="I7" i="4"/>
  <c r="K21" i="4"/>
  <c r="I21" i="4"/>
  <c r="K10" i="5"/>
  <c r="I10" i="5"/>
  <c r="I22" i="5"/>
  <c r="K24" i="5"/>
  <c r="I24" i="5"/>
  <c r="K31" i="5"/>
  <c r="I31" i="5"/>
  <c r="K5" i="6"/>
  <c r="I5" i="6"/>
  <c r="K27" i="6"/>
  <c r="I27" i="6"/>
  <c r="I6" i="7"/>
  <c r="K8" i="7"/>
  <c r="I8" i="7"/>
  <c r="K15" i="7"/>
  <c r="I15" i="7"/>
  <c r="K29" i="7"/>
  <c r="I29" i="7"/>
  <c r="K32" i="7"/>
  <c r="I32" i="7"/>
  <c r="K11" i="8"/>
  <c r="I11" i="8"/>
  <c r="K18" i="8"/>
  <c r="I18" i="8"/>
  <c r="I30" i="8"/>
  <c r="I19" i="10"/>
  <c r="K19" i="10"/>
  <c r="K14" i="13"/>
  <c r="I14" i="13"/>
  <c r="K15" i="13"/>
  <c r="I15" i="13"/>
  <c r="K19" i="14"/>
  <c r="I19" i="14"/>
  <c r="K28" i="14"/>
  <c r="I28" i="14"/>
  <c r="K19" i="17"/>
  <c r="I19" i="17"/>
  <c r="K20" i="17"/>
  <c r="I20" i="17"/>
  <c r="K16" i="2"/>
  <c r="I16" i="2"/>
  <c r="K15" i="5"/>
  <c r="I15" i="5"/>
  <c r="K29" i="5"/>
  <c r="I29" i="5"/>
  <c r="K11" i="6"/>
  <c r="I11" i="6"/>
  <c r="K9" i="12"/>
  <c r="I9" i="12"/>
  <c r="I31" i="28"/>
  <c r="K31" i="28"/>
  <c r="K12" i="1"/>
  <c r="I22" i="1"/>
  <c r="K28" i="1"/>
  <c r="H3" i="2"/>
  <c r="I6" i="2"/>
  <c r="K12" i="2"/>
  <c r="I22" i="2"/>
  <c r="K28" i="2"/>
  <c r="H3" i="3"/>
  <c r="I6" i="3"/>
  <c r="K12" i="3"/>
  <c r="K13" i="3"/>
  <c r="I13" i="3"/>
  <c r="K27" i="3"/>
  <c r="I27" i="3"/>
  <c r="I6" i="4"/>
  <c r="K8" i="4"/>
  <c r="I8" i="4"/>
  <c r="K15" i="4"/>
  <c r="I15" i="4"/>
  <c r="K28" i="4"/>
  <c r="K29" i="4"/>
  <c r="I29" i="4"/>
  <c r="K32" i="4"/>
  <c r="I32" i="4"/>
  <c r="K11" i="5"/>
  <c r="I11" i="5"/>
  <c r="K18" i="5"/>
  <c r="I18" i="5"/>
  <c r="Q29" i="5"/>
  <c r="I30" i="5"/>
  <c r="K12" i="6"/>
  <c r="K13" i="6"/>
  <c r="I13" i="6"/>
  <c r="Q13" i="7"/>
  <c r="I14" i="7"/>
  <c r="K16" i="7"/>
  <c r="I16" i="7"/>
  <c r="K23" i="7"/>
  <c r="I23" i="7"/>
  <c r="J4" i="8"/>
  <c r="AD3" i="8"/>
  <c r="K19" i="8"/>
  <c r="I19" i="8"/>
  <c r="K26" i="8"/>
  <c r="I26" i="8"/>
  <c r="I6" i="9"/>
  <c r="K17" i="9"/>
  <c r="I17" i="9"/>
  <c r="K18" i="9"/>
  <c r="I18" i="9"/>
  <c r="I19" i="9"/>
  <c r="K19" i="9"/>
  <c r="K25" i="9"/>
  <c r="I25" i="9"/>
  <c r="K7" i="10"/>
  <c r="I7" i="10"/>
  <c r="K11" i="14"/>
  <c r="I11" i="14"/>
  <c r="K20" i="14"/>
  <c r="I20" i="14"/>
  <c r="I13" i="16"/>
  <c r="K13" i="16"/>
  <c r="AD3" i="17"/>
  <c r="K11" i="2"/>
  <c r="I11" i="2"/>
  <c r="I9" i="6"/>
  <c r="K9" i="6"/>
  <c r="K18" i="6"/>
  <c r="I18" i="6"/>
  <c r="K31" i="8"/>
  <c r="I31" i="8"/>
  <c r="K27" i="18"/>
  <c r="I27" i="18"/>
  <c r="K10" i="19"/>
  <c r="I10" i="19"/>
  <c r="H3" i="1"/>
  <c r="I6" i="1"/>
  <c r="I7" i="1"/>
  <c r="K8" i="1"/>
  <c r="I8" i="1"/>
  <c r="K19" i="1"/>
  <c r="I19" i="1"/>
  <c r="I23" i="1"/>
  <c r="K24" i="1"/>
  <c r="I24" i="1"/>
  <c r="I7" i="2"/>
  <c r="K8" i="2"/>
  <c r="I8" i="2"/>
  <c r="K19" i="2"/>
  <c r="I19" i="2"/>
  <c r="I23" i="2"/>
  <c r="K24" i="2"/>
  <c r="I24" i="2"/>
  <c r="I7" i="3"/>
  <c r="K8" i="3"/>
  <c r="I8" i="3"/>
  <c r="I14" i="4"/>
  <c r="K16" i="4"/>
  <c r="I16" i="4"/>
  <c r="K23" i="4"/>
  <c r="I23" i="4"/>
  <c r="J4" i="5"/>
  <c r="AD3" i="5"/>
  <c r="K19" i="5"/>
  <c r="I19" i="5"/>
  <c r="K26" i="5"/>
  <c r="I26" i="5"/>
  <c r="K7" i="6"/>
  <c r="I7" i="6"/>
  <c r="K21" i="6"/>
  <c r="I21" i="6"/>
  <c r="K10" i="7"/>
  <c r="I10" i="7"/>
  <c r="Q21" i="7"/>
  <c r="I22" i="7"/>
  <c r="K24" i="7"/>
  <c r="I24" i="7"/>
  <c r="K31" i="7"/>
  <c r="I31" i="7"/>
  <c r="K5" i="8"/>
  <c r="I5" i="8"/>
  <c r="I25" i="8"/>
  <c r="K25" i="8"/>
  <c r="K27" i="8"/>
  <c r="I27" i="8"/>
  <c r="K26" i="9"/>
  <c r="I26" i="9"/>
  <c r="I27" i="9"/>
  <c r="K27" i="9"/>
  <c r="K17" i="11"/>
  <c r="I17" i="11"/>
  <c r="K25" i="11"/>
  <c r="I25" i="11"/>
  <c r="K17" i="13"/>
  <c r="I17" i="13"/>
  <c r="K5" i="14"/>
  <c r="I5" i="14"/>
  <c r="K12" i="14"/>
  <c r="I12" i="14"/>
  <c r="K12" i="15"/>
  <c r="I12" i="15"/>
  <c r="K13" i="15"/>
  <c r="I13" i="15"/>
  <c r="I14" i="15"/>
  <c r="K14" i="15"/>
  <c r="I26" i="17"/>
  <c r="K26" i="17"/>
  <c r="K32" i="1"/>
  <c r="I32" i="1"/>
  <c r="K18" i="2"/>
  <c r="I18" i="2"/>
  <c r="K32" i="2"/>
  <c r="I32" i="2"/>
  <c r="K15" i="3"/>
  <c r="I15" i="3"/>
  <c r="K21" i="3"/>
  <c r="I21" i="3"/>
  <c r="K10" i="4"/>
  <c r="I10" i="4"/>
  <c r="K24" i="4"/>
  <c r="I24" i="4"/>
  <c r="K31" i="4"/>
  <c r="I31" i="4"/>
  <c r="K5" i="5"/>
  <c r="I5" i="5"/>
  <c r="I25" i="5"/>
  <c r="K25" i="5"/>
  <c r="K27" i="5"/>
  <c r="I27" i="5"/>
  <c r="K8" i="6"/>
  <c r="I8" i="6"/>
  <c r="K15" i="6"/>
  <c r="I15" i="6"/>
  <c r="K29" i="6"/>
  <c r="I29" i="6"/>
  <c r="K32" i="6"/>
  <c r="I32" i="6"/>
  <c r="I9" i="7"/>
  <c r="K9" i="7"/>
  <c r="K11" i="7"/>
  <c r="I11" i="7"/>
  <c r="K18" i="7"/>
  <c r="I18" i="7"/>
  <c r="K13" i="8"/>
  <c r="I13" i="8"/>
  <c r="K8" i="9"/>
  <c r="I8" i="9"/>
  <c r="K9" i="9"/>
  <c r="I9" i="9"/>
  <c r="K31" i="10"/>
  <c r="I31" i="10"/>
  <c r="K17" i="12"/>
  <c r="I17" i="12"/>
  <c r="K6" i="13"/>
  <c r="I6" i="13"/>
  <c r="K7" i="13"/>
  <c r="I7" i="13"/>
  <c r="K30" i="13"/>
  <c r="I30" i="13"/>
  <c r="K31" i="13"/>
  <c r="I31" i="13"/>
  <c r="K15" i="17"/>
  <c r="I15" i="17"/>
  <c r="K7" i="18"/>
  <c r="I7" i="18"/>
  <c r="K16" i="1"/>
  <c r="I16" i="1"/>
  <c r="K11" i="3"/>
  <c r="I11" i="3"/>
  <c r="I25" i="4"/>
  <c r="K25" i="4"/>
  <c r="K5" i="9"/>
  <c r="I5" i="9"/>
  <c r="K8" i="11"/>
  <c r="I8" i="11"/>
  <c r="I15" i="30"/>
  <c r="K15" i="30"/>
  <c r="J4" i="1"/>
  <c r="AD3" i="1"/>
  <c r="J4" i="2"/>
  <c r="AD3" i="2"/>
  <c r="J4" i="3"/>
  <c r="AD3" i="3"/>
  <c r="K16" i="3"/>
  <c r="I16" i="3"/>
  <c r="K28" i="3"/>
  <c r="K29" i="3"/>
  <c r="I29" i="3"/>
  <c r="K32" i="3"/>
  <c r="I32" i="3"/>
  <c r="K11" i="4"/>
  <c r="I11" i="4"/>
  <c r="K18" i="4"/>
  <c r="I18" i="4"/>
  <c r="K12" i="5"/>
  <c r="K13" i="5"/>
  <c r="I13" i="5"/>
  <c r="K16" i="6"/>
  <c r="I16" i="6"/>
  <c r="K23" i="6"/>
  <c r="I23" i="6"/>
  <c r="J4" i="7"/>
  <c r="AD3" i="7"/>
  <c r="K19" i="7"/>
  <c r="I19" i="7"/>
  <c r="K26" i="7"/>
  <c r="I26" i="7"/>
  <c r="K7" i="8"/>
  <c r="I7" i="8"/>
  <c r="K20" i="8"/>
  <c r="K21" i="8"/>
  <c r="I21" i="8"/>
  <c r="K32" i="8"/>
  <c r="I32" i="8"/>
  <c r="I11" i="9"/>
  <c r="K11" i="9"/>
  <c r="K32" i="9"/>
  <c r="I32" i="9"/>
  <c r="I30" i="10"/>
  <c r="K24" i="3"/>
  <c r="I24" i="3"/>
  <c r="K5" i="4"/>
  <c r="I5" i="4"/>
  <c r="K27" i="4"/>
  <c r="I27" i="4"/>
  <c r="K8" i="5"/>
  <c r="I8" i="5"/>
  <c r="K16" i="8"/>
  <c r="I16" i="8"/>
  <c r="K10" i="9"/>
  <c r="I10" i="9"/>
  <c r="K32" i="14"/>
  <c r="I32" i="14"/>
  <c r="K26" i="18"/>
  <c r="I26" i="18"/>
  <c r="K26" i="28"/>
  <c r="K18" i="1"/>
  <c r="I18" i="1"/>
  <c r="I9" i="1"/>
  <c r="K9" i="1"/>
  <c r="I14" i="1"/>
  <c r="K20" i="1"/>
  <c r="I25" i="1"/>
  <c r="K25" i="1"/>
  <c r="Q29" i="1"/>
  <c r="I30" i="1"/>
  <c r="I9" i="2"/>
  <c r="K9" i="2"/>
  <c r="I14" i="2"/>
  <c r="K20" i="2"/>
  <c r="I25" i="2"/>
  <c r="K25" i="2"/>
  <c r="Q29" i="2"/>
  <c r="I30" i="2"/>
  <c r="K23" i="3"/>
  <c r="I23" i="3"/>
  <c r="J4" i="4"/>
  <c r="AD3" i="4"/>
  <c r="K19" i="4"/>
  <c r="I19" i="4"/>
  <c r="K26" i="4"/>
  <c r="I26" i="4"/>
  <c r="K7" i="5"/>
  <c r="I7" i="5"/>
  <c r="K21" i="5"/>
  <c r="I21" i="5"/>
  <c r="K10" i="6"/>
  <c r="I10" i="6"/>
  <c r="I22" i="6"/>
  <c r="K24" i="6"/>
  <c r="I24" i="6"/>
  <c r="K31" i="6"/>
  <c r="I31" i="6"/>
  <c r="K5" i="7"/>
  <c r="I5" i="7"/>
  <c r="K27" i="7"/>
  <c r="I27" i="7"/>
  <c r="I6" i="8"/>
  <c r="K8" i="8"/>
  <c r="I8" i="8"/>
  <c r="K15" i="8"/>
  <c r="I15" i="8"/>
  <c r="K28" i="8"/>
  <c r="K29" i="8"/>
  <c r="I29" i="8"/>
  <c r="J4" i="9"/>
  <c r="AD3" i="9"/>
  <c r="K10" i="10"/>
  <c r="I10" i="10"/>
  <c r="K17" i="10"/>
  <c r="I17" i="10"/>
  <c r="K18" i="10"/>
  <c r="I18" i="10"/>
  <c r="K25" i="10"/>
  <c r="I25" i="10"/>
  <c r="K9" i="13"/>
  <c r="I9" i="13"/>
  <c r="K22" i="13"/>
  <c r="I22" i="13"/>
  <c r="K23" i="13"/>
  <c r="I23" i="13"/>
  <c r="AD3" i="15"/>
  <c r="J4" i="15"/>
  <c r="K5" i="15"/>
  <c r="I5" i="15"/>
  <c r="I6" i="15"/>
  <c r="K6" i="15"/>
  <c r="I11" i="10"/>
  <c r="K11" i="10"/>
  <c r="K21" i="10"/>
  <c r="I21" i="10"/>
  <c r="K26" i="10"/>
  <c r="I26" i="10"/>
  <c r="AD3" i="11"/>
  <c r="J4" i="11"/>
  <c r="K10" i="12"/>
  <c r="I10" i="12"/>
  <c r="I11" i="12"/>
  <c r="K11" i="12"/>
  <c r="K18" i="12"/>
  <c r="I18" i="12"/>
  <c r="I19" i="12"/>
  <c r="K19" i="12"/>
  <c r="K26" i="12"/>
  <c r="I26" i="12"/>
  <c r="I27" i="12"/>
  <c r="K27" i="12"/>
  <c r="Q5" i="13"/>
  <c r="K8" i="13"/>
  <c r="I8" i="13"/>
  <c r="K16" i="13"/>
  <c r="I16" i="13"/>
  <c r="Q21" i="13"/>
  <c r="K24" i="13"/>
  <c r="I24" i="13"/>
  <c r="Q29" i="13"/>
  <c r="I6" i="16"/>
  <c r="K6" i="16"/>
  <c r="I29" i="16"/>
  <c r="K29" i="16"/>
  <c r="K10" i="18"/>
  <c r="I10" i="18"/>
  <c r="I12" i="19"/>
  <c r="K12" i="19"/>
  <c r="AD3" i="21"/>
  <c r="J4" i="21"/>
  <c r="K10" i="21"/>
  <c r="I10" i="21"/>
  <c r="I31" i="24"/>
  <c r="K31" i="24"/>
  <c r="I7" i="27"/>
  <c r="K7" i="27"/>
  <c r="AD3" i="10"/>
  <c r="J4" i="10"/>
  <c r="Q6" i="10"/>
  <c r="K12" i="10"/>
  <c r="I16" i="10"/>
  <c r="K5" i="11"/>
  <c r="I5" i="11"/>
  <c r="K15" i="11"/>
  <c r="I15" i="11"/>
  <c r="K20" i="11"/>
  <c r="K21" i="11"/>
  <c r="I21" i="11"/>
  <c r="K28" i="11"/>
  <c r="K29" i="11"/>
  <c r="I29" i="11"/>
  <c r="K32" i="11"/>
  <c r="I32" i="11"/>
  <c r="K25" i="12"/>
  <c r="I25" i="12"/>
  <c r="K13" i="14"/>
  <c r="I13" i="14"/>
  <c r="I14" i="14"/>
  <c r="K14" i="14"/>
  <c r="K21" i="14"/>
  <c r="I21" i="14"/>
  <c r="I22" i="14"/>
  <c r="K22" i="14"/>
  <c r="K29" i="14"/>
  <c r="I29" i="14"/>
  <c r="I30" i="14"/>
  <c r="K30" i="14"/>
  <c r="K24" i="15"/>
  <c r="I24" i="15"/>
  <c r="I30" i="16"/>
  <c r="K30" i="16"/>
  <c r="I12" i="18"/>
  <c r="K12" i="18"/>
  <c r="K18" i="19"/>
  <c r="I18" i="19"/>
  <c r="I12" i="20"/>
  <c r="K12" i="20"/>
  <c r="I12" i="21"/>
  <c r="K12" i="21"/>
  <c r="I7" i="23"/>
  <c r="K7" i="23"/>
  <c r="I8" i="23"/>
  <c r="K8" i="23"/>
  <c r="K29" i="23"/>
  <c r="I29" i="23"/>
  <c r="X3" i="24"/>
  <c r="K8" i="24"/>
  <c r="I8" i="24"/>
  <c r="K9" i="24"/>
  <c r="I9" i="24"/>
  <c r="I31" i="9"/>
  <c r="K9" i="11"/>
  <c r="I9" i="11"/>
  <c r="K10" i="11"/>
  <c r="I10" i="11"/>
  <c r="AD3" i="12"/>
  <c r="J4" i="12"/>
  <c r="K10" i="13"/>
  <c r="I10" i="13"/>
  <c r="I11" i="13"/>
  <c r="K11" i="13"/>
  <c r="K18" i="13"/>
  <c r="I18" i="13"/>
  <c r="I19" i="13"/>
  <c r="K19" i="13"/>
  <c r="K26" i="13"/>
  <c r="I26" i="13"/>
  <c r="I27" i="13"/>
  <c r="K27" i="13"/>
  <c r="I6" i="14"/>
  <c r="K7" i="15"/>
  <c r="K8" i="15"/>
  <c r="I8" i="15"/>
  <c r="K15" i="15"/>
  <c r="K16" i="15"/>
  <c r="I16" i="15"/>
  <c r="K25" i="16"/>
  <c r="K26" i="16"/>
  <c r="I26" i="16"/>
  <c r="K16" i="17"/>
  <c r="I16" i="17"/>
  <c r="K32" i="17"/>
  <c r="I32" i="17"/>
  <c r="K18" i="18"/>
  <c r="I18" i="18"/>
  <c r="I20" i="19"/>
  <c r="K20" i="19"/>
  <c r="I28" i="19"/>
  <c r="K28" i="19"/>
  <c r="I20" i="20"/>
  <c r="K20" i="20"/>
  <c r="K27" i="20"/>
  <c r="I27" i="20"/>
  <c r="I15" i="24"/>
  <c r="K15" i="24"/>
  <c r="Q22" i="9"/>
  <c r="I23" i="9"/>
  <c r="K28" i="9"/>
  <c r="K13" i="10"/>
  <c r="Q21" i="10"/>
  <c r="K23" i="10"/>
  <c r="I23" i="10"/>
  <c r="K23" i="11"/>
  <c r="I23" i="11"/>
  <c r="K31" i="11"/>
  <c r="I31" i="11"/>
  <c r="K5" i="12"/>
  <c r="I5" i="12"/>
  <c r="K12" i="12"/>
  <c r="K13" i="12"/>
  <c r="I13" i="12"/>
  <c r="K20" i="12"/>
  <c r="K21" i="12"/>
  <c r="I21" i="12"/>
  <c r="K28" i="12"/>
  <c r="K29" i="12"/>
  <c r="I29" i="12"/>
  <c r="K32" i="12"/>
  <c r="I32" i="12"/>
  <c r="K25" i="13"/>
  <c r="I25" i="13"/>
  <c r="K7" i="16"/>
  <c r="I7" i="16"/>
  <c r="I21" i="16"/>
  <c r="K21" i="16"/>
  <c r="K8" i="19"/>
  <c r="I8" i="19"/>
  <c r="K21" i="20"/>
  <c r="I21" i="20"/>
  <c r="K9" i="10"/>
  <c r="I9" i="10"/>
  <c r="K29" i="10"/>
  <c r="I29" i="10"/>
  <c r="K24" i="11"/>
  <c r="I24" i="11"/>
  <c r="AD3" i="13"/>
  <c r="J4" i="13"/>
  <c r="K8" i="14"/>
  <c r="I8" i="14"/>
  <c r="K16" i="14"/>
  <c r="I16" i="14"/>
  <c r="K24" i="14"/>
  <c r="I24" i="14"/>
  <c r="K10" i="15"/>
  <c r="I10" i="15"/>
  <c r="K18" i="15"/>
  <c r="I18" i="15"/>
  <c r="K26" i="15"/>
  <c r="I26" i="15"/>
  <c r="K8" i="18"/>
  <c r="I8" i="18"/>
  <c r="I16" i="9"/>
  <c r="K29" i="9"/>
  <c r="H3" i="10"/>
  <c r="K7" i="11"/>
  <c r="I7" i="11"/>
  <c r="I11" i="11"/>
  <c r="K11" i="11"/>
  <c r="K7" i="12"/>
  <c r="I7" i="12"/>
  <c r="K15" i="12"/>
  <c r="I15" i="12"/>
  <c r="K23" i="12"/>
  <c r="I23" i="12"/>
  <c r="K31" i="12"/>
  <c r="I31" i="12"/>
  <c r="K5" i="13"/>
  <c r="I5" i="13"/>
  <c r="K12" i="13"/>
  <c r="K13" i="13"/>
  <c r="I13" i="13"/>
  <c r="K20" i="13"/>
  <c r="K21" i="13"/>
  <c r="I21" i="13"/>
  <c r="K28" i="13"/>
  <c r="K29" i="13"/>
  <c r="I29" i="13"/>
  <c r="K32" i="13"/>
  <c r="I32" i="13"/>
  <c r="I9" i="15"/>
  <c r="K11" i="15"/>
  <c r="I11" i="15"/>
  <c r="I17" i="15"/>
  <c r="K19" i="15"/>
  <c r="I19" i="15"/>
  <c r="I14" i="16"/>
  <c r="K14" i="16"/>
  <c r="K23" i="16"/>
  <c r="I23" i="16"/>
  <c r="I10" i="17"/>
  <c r="K10" i="17"/>
  <c r="K12" i="17"/>
  <c r="I12" i="17"/>
  <c r="I31" i="19"/>
  <c r="K31" i="19"/>
  <c r="I23" i="21"/>
  <c r="K23" i="21"/>
  <c r="K24" i="21"/>
  <c r="I24" i="21"/>
  <c r="I28" i="21"/>
  <c r="K28" i="21"/>
  <c r="K30" i="21"/>
  <c r="I30" i="21"/>
  <c r="K16" i="32"/>
  <c r="I16" i="32"/>
  <c r="K24" i="32"/>
  <c r="I24" i="32"/>
  <c r="Q12" i="9"/>
  <c r="K21" i="9"/>
  <c r="I24" i="10"/>
  <c r="K12" i="11"/>
  <c r="K13" i="11"/>
  <c r="I13" i="11"/>
  <c r="K18" i="11"/>
  <c r="I18" i="11"/>
  <c r="I19" i="11"/>
  <c r="K19" i="11"/>
  <c r="K26" i="11"/>
  <c r="I26" i="11"/>
  <c r="I27" i="11"/>
  <c r="K27" i="11"/>
  <c r="I6" i="12"/>
  <c r="K8" i="12"/>
  <c r="I8" i="12"/>
  <c r="Q13" i="12"/>
  <c r="I14" i="12"/>
  <c r="K16" i="12"/>
  <c r="I16" i="12"/>
  <c r="Q21" i="12"/>
  <c r="I22" i="12"/>
  <c r="K24" i="12"/>
  <c r="I24" i="12"/>
  <c r="Q29" i="12"/>
  <c r="I30" i="12"/>
  <c r="AD3" i="14"/>
  <c r="J4" i="14"/>
  <c r="K10" i="14"/>
  <c r="I10" i="14"/>
  <c r="K18" i="14"/>
  <c r="I18" i="14"/>
  <c r="K26" i="14"/>
  <c r="I26" i="14"/>
  <c r="I29" i="15"/>
  <c r="K29" i="15"/>
  <c r="I18" i="16"/>
  <c r="K22" i="16"/>
  <c r="I18" i="17"/>
  <c r="K18" i="17"/>
  <c r="K30" i="17"/>
  <c r="I30" i="17"/>
  <c r="K31" i="17"/>
  <c r="I31" i="17"/>
  <c r="K24" i="17"/>
  <c r="I24" i="17"/>
  <c r="K27" i="17"/>
  <c r="I27" i="17"/>
  <c r="K14" i="18"/>
  <c r="I14" i="18"/>
  <c r="K24" i="18"/>
  <c r="I24" i="18"/>
  <c r="AD3" i="19"/>
  <c r="K14" i="19"/>
  <c r="I14" i="19"/>
  <c r="K26" i="19"/>
  <c r="I26" i="19"/>
  <c r="K29" i="20"/>
  <c r="I29" i="20"/>
  <c r="K6" i="21"/>
  <c r="I6" i="21"/>
  <c r="K18" i="21"/>
  <c r="I18" i="21"/>
  <c r="K30" i="22"/>
  <c r="I30" i="22"/>
  <c r="X3" i="23"/>
  <c r="K20" i="23"/>
  <c r="I20" i="23"/>
  <c r="K21" i="23"/>
  <c r="I21" i="23"/>
  <c r="I7" i="25"/>
  <c r="K7" i="25"/>
  <c r="K28" i="25"/>
  <c r="I28" i="25"/>
  <c r="I31" i="26"/>
  <c r="K31" i="26"/>
  <c r="K12" i="27"/>
  <c r="I12" i="27"/>
  <c r="K13" i="27"/>
  <c r="I13" i="27"/>
  <c r="I23" i="28"/>
  <c r="K23" i="28"/>
  <c r="K12" i="29"/>
  <c r="I12" i="29"/>
  <c r="K13" i="29"/>
  <c r="I13" i="29"/>
  <c r="I23" i="31"/>
  <c r="K23" i="31"/>
  <c r="I31" i="36"/>
  <c r="K31" i="36"/>
  <c r="I9" i="39"/>
  <c r="K9" i="39"/>
  <c r="I12" i="41"/>
  <c r="K12" i="41"/>
  <c r="K13" i="41"/>
  <c r="I13" i="41"/>
  <c r="K25" i="42"/>
  <c r="I25" i="42"/>
  <c r="I28" i="46"/>
  <c r="K28" i="46"/>
  <c r="K5" i="48"/>
  <c r="I5" i="48"/>
  <c r="I27" i="50"/>
  <c r="K27" i="50"/>
  <c r="I28" i="15"/>
  <c r="J3" i="17"/>
  <c r="K13" i="17"/>
  <c r="K23" i="17"/>
  <c r="K5" i="18"/>
  <c r="K19" i="18"/>
  <c r="I19" i="18"/>
  <c r="I28" i="18"/>
  <c r="K28" i="18"/>
  <c r="K32" i="18"/>
  <c r="I32" i="18"/>
  <c r="K21" i="19"/>
  <c r="I21" i="19"/>
  <c r="K27" i="19"/>
  <c r="I27" i="19"/>
  <c r="AD3" i="20"/>
  <c r="K10" i="20"/>
  <c r="I10" i="20"/>
  <c r="K24" i="20"/>
  <c r="I24" i="20"/>
  <c r="I28" i="20"/>
  <c r="K28" i="20"/>
  <c r="K30" i="20"/>
  <c r="I30" i="20"/>
  <c r="K13" i="21"/>
  <c r="I13" i="21"/>
  <c r="K19" i="21"/>
  <c r="I19" i="21"/>
  <c r="K31" i="21"/>
  <c r="I15" i="26"/>
  <c r="K15" i="26"/>
  <c r="I23" i="26"/>
  <c r="K23" i="26"/>
  <c r="K27" i="27"/>
  <c r="I27" i="27"/>
  <c r="K11" i="28"/>
  <c r="I11" i="28"/>
  <c r="I31" i="29"/>
  <c r="K31" i="29"/>
  <c r="Q27" i="15"/>
  <c r="I11" i="16"/>
  <c r="I7" i="17"/>
  <c r="K14" i="17"/>
  <c r="I14" i="17"/>
  <c r="Q16" i="17"/>
  <c r="K6" i="18"/>
  <c r="I6" i="18"/>
  <c r="Q8" i="18"/>
  <c r="K29" i="18"/>
  <c r="K30" i="18"/>
  <c r="I30" i="18"/>
  <c r="J4" i="19"/>
  <c r="Q8" i="19"/>
  <c r="K16" i="19"/>
  <c r="I16" i="19"/>
  <c r="K22" i="19"/>
  <c r="I22" i="19"/>
  <c r="Q32" i="19"/>
  <c r="K32" i="19"/>
  <c r="I32" i="19"/>
  <c r="K5" i="20"/>
  <c r="I5" i="20"/>
  <c r="K11" i="20"/>
  <c r="I11" i="20"/>
  <c r="K23" i="20"/>
  <c r="K8" i="21"/>
  <c r="I8" i="21"/>
  <c r="K14" i="21"/>
  <c r="I14" i="21"/>
  <c r="Q24" i="21"/>
  <c r="K26" i="21"/>
  <c r="I26" i="21"/>
  <c r="I15" i="23"/>
  <c r="K15" i="23"/>
  <c r="AD3" i="24"/>
  <c r="K20" i="25"/>
  <c r="I20" i="25"/>
  <c r="K8" i="26"/>
  <c r="I8" i="26"/>
  <c r="K12" i="28"/>
  <c r="I12" i="28"/>
  <c r="K32" i="28"/>
  <c r="I32" i="28"/>
  <c r="K20" i="30"/>
  <c r="I20" i="30"/>
  <c r="I7" i="32"/>
  <c r="K7" i="32"/>
  <c r="K16" i="18"/>
  <c r="I16" i="18"/>
  <c r="K6" i="19"/>
  <c r="I6" i="19"/>
  <c r="K29" i="19"/>
  <c r="I29" i="19"/>
  <c r="I4" i="20"/>
  <c r="J3" i="20"/>
  <c r="K4" i="20"/>
  <c r="K6" i="20"/>
  <c r="I6" i="20"/>
  <c r="K18" i="20"/>
  <c r="I18" i="20"/>
  <c r="K21" i="21"/>
  <c r="I21" i="21"/>
  <c r="K27" i="21"/>
  <c r="I27" i="21"/>
  <c r="I24" i="22"/>
  <c r="K24" i="22"/>
  <c r="AD3" i="23"/>
  <c r="K5" i="23"/>
  <c r="I5" i="23"/>
  <c r="I16" i="23"/>
  <c r="K16" i="23"/>
  <c r="K17" i="23"/>
  <c r="I17" i="23"/>
  <c r="I23" i="23"/>
  <c r="K23" i="23"/>
  <c r="K28" i="23"/>
  <c r="I28" i="23"/>
  <c r="J3" i="24"/>
  <c r="I4" i="24"/>
  <c r="K4" i="24"/>
  <c r="K20" i="24"/>
  <c r="I20" i="24"/>
  <c r="K21" i="24"/>
  <c r="I21" i="24"/>
  <c r="I31" i="25"/>
  <c r="K31" i="25"/>
  <c r="I18" i="26"/>
  <c r="K18" i="26"/>
  <c r="I7" i="29"/>
  <c r="K7" i="29"/>
  <c r="I15" i="29"/>
  <c r="K15" i="29"/>
  <c r="I23" i="29"/>
  <c r="K23" i="29"/>
  <c r="K12" i="30"/>
  <c r="I12" i="30"/>
  <c r="K13" i="30"/>
  <c r="I13" i="30"/>
  <c r="J3" i="31"/>
  <c r="I12" i="16"/>
  <c r="K11" i="17"/>
  <c r="I11" i="17"/>
  <c r="K22" i="17"/>
  <c r="I22" i="17"/>
  <c r="K11" i="18"/>
  <c r="I11" i="18"/>
  <c r="I20" i="18"/>
  <c r="K20" i="18"/>
  <c r="Q24" i="18"/>
  <c r="K11" i="19"/>
  <c r="I11" i="19"/>
  <c r="K24" i="19"/>
  <c r="I24" i="19"/>
  <c r="K30" i="19"/>
  <c r="I30" i="19"/>
  <c r="K13" i="20"/>
  <c r="I13" i="20"/>
  <c r="K19" i="20"/>
  <c r="I19" i="20"/>
  <c r="K31" i="20"/>
  <c r="K16" i="21"/>
  <c r="I16" i="21"/>
  <c r="I20" i="21"/>
  <c r="K20" i="21"/>
  <c r="K22" i="21"/>
  <c r="I22" i="21"/>
  <c r="K32" i="21"/>
  <c r="I32" i="21"/>
  <c r="K28" i="22"/>
  <c r="I28" i="22"/>
  <c r="I24" i="23"/>
  <c r="K24" i="23"/>
  <c r="K30" i="23"/>
  <c r="I30" i="23"/>
  <c r="K12" i="25"/>
  <c r="I12" i="25"/>
  <c r="I23" i="25"/>
  <c r="K23" i="25"/>
  <c r="I15" i="27"/>
  <c r="K15" i="27"/>
  <c r="I23" i="30"/>
  <c r="K23" i="30"/>
  <c r="I25" i="30"/>
  <c r="K25" i="30"/>
  <c r="I29" i="30"/>
  <c r="I7" i="34"/>
  <c r="K7" i="34"/>
  <c r="K8" i="34"/>
  <c r="I8" i="34"/>
  <c r="K20" i="34"/>
  <c r="I20" i="34"/>
  <c r="Q24" i="15"/>
  <c r="X3" i="16"/>
  <c r="Q11" i="16"/>
  <c r="K5" i="17"/>
  <c r="K29" i="17"/>
  <c r="K22" i="18"/>
  <c r="I22" i="18"/>
  <c r="K23" i="19"/>
  <c r="K8" i="20"/>
  <c r="I8" i="20"/>
  <c r="K14" i="20"/>
  <c r="I14" i="20"/>
  <c r="Q24" i="20"/>
  <c r="K26" i="20"/>
  <c r="I26" i="20"/>
  <c r="K15" i="21"/>
  <c r="K29" i="21"/>
  <c r="I29" i="21"/>
  <c r="J23" i="22"/>
  <c r="K29" i="22"/>
  <c r="I29" i="22"/>
  <c r="J4" i="23"/>
  <c r="I31" i="23"/>
  <c r="K31" i="23"/>
  <c r="I7" i="24"/>
  <c r="K7" i="24"/>
  <c r="I23" i="24"/>
  <c r="K23" i="24"/>
  <c r="K28" i="26"/>
  <c r="I28" i="26"/>
  <c r="I23" i="27"/>
  <c r="K23" i="27"/>
  <c r="I7" i="28"/>
  <c r="K7" i="28"/>
  <c r="K20" i="28"/>
  <c r="I20" i="28"/>
  <c r="Q16" i="18"/>
  <c r="K19" i="19"/>
  <c r="I19" i="19"/>
  <c r="K16" i="20"/>
  <c r="I16" i="20"/>
  <c r="K22" i="20"/>
  <c r="I22" i="20"/>
  <c r="Q32" i="20"/>
  <c r="K32" i="20"/>
  <c r="I32" i="20"/>
  <c r="K5" i="21"/>
  <c r="I5" i="21"/>
  <c r="K11" i="21"/>
  <c r="I11" i="21"/>
  <c r="Q24" i="22"/>
  <c r="K31" i="22"/>
  <c r="I31" i="22"/>
  <c r="I26" i="24"/>
  <c r="K26" i="24"/>
  <c r="I15" i="25"/>
  <c r="K15" i="25"/>
  <c r="K27" i="29"/>
  <c r="I27" i="29"/>
  <c r="K28" i="29"/>
  <c r="I28" i="29"/>
  <c r="K27" i="30"/>
  <c r="I27" i="30"/>
  <c r="K16" i="24"/>
  <c r="I16" i="24"/>
  <c r="K22" i="24"/>
  <c r="I22" i="24"/>
  <c r="K13" i="25"/>
  <c r="I13" i="25"/>
  <c r="K29" i="25"/>
  <c r="I29" i="25"/>
  <c r="K14" i="26"/>
  <c r="I14" i="26"/>
  <c r="K29" i="26"/>
  <c r="I29" i="26"/>
  <c r="K8" i="27"/>
  <c r="I8" i="27"/>
  <c r="K19" i="28"/>
  <c r="I19" i="28"/>
  <c r="AD3" i="29"/>
  <c r="K5" i="29"/>
  <c r="I5" i="29"/>
  <c r="K14" i="29"/>
  <c r="I14" i="29"/>
  <c r="K14" i="30"/>
  <c r="I14" i="30"/>
  <c r="K32" i="30"/>
  <c r="I32" i="30"/>
  <c r="K24" i="31"/>
  <c r="I24" i="31"/>
  <c r="K25" i="31"/>
  <c r="I25" i="31"/>
  <c r="K21" i="33"/>
  <c r="I21" i="33"/>
  <c r="I15" i="34"/>
  <c r="K15" i="34"/>
  <c r="K24" i="36"/>
  <c r="I24" i="36"/>
  <c r="K8" i="38"/>
  <c r="I8" i="38"/>
  <c r="I9" i="38"/>
  <c r="K9" i="38"/>
  <c r="K31" i="39"/>
  <c r="I31" i="39"/>
  <c r="I17" i="40"/>
  <c r="K17" i="40"/>
  <c r="K6" i="41"/>
  <c r="I6" i="41"/>
  <c r="I20" i="45"/>
  <c r="K20" i="45"/>
  <c r="K22" i="45"/>
  <c r="I22" i="45"/>
  <c r="I25" i="23"/>
  <c r="Q29" i="23"/>
  <c r="K27" i="24"/>
  <c r="I27" i="24"/>
  <c r="K8" i="25"/>
  <c r="I8" i="25"/>
  <c r="K14" i="25"/>
  <c r="I14" i="25"/>
  <c r="Q16" i="25"/>
  <c r="K18" i="25"/>
  <c r="K24" i="25"/>
  <c r="I24" i="25"/>
  <c r="K30" i="25"/>
  <c r="I30" i="25"/>
  <c r="Q32" i="25"/>
  <c r="K32" i="25"/>
  <c r="I32" i="25"/>
  <c r="AD3" i="26"/>
  <c r="K5" i="26"/>
  <c r="I5" i="26"/>
  <c r="K19" i="26"/>
  <c r="I19" i="26"/>
  <c r="K24" i="26"/>
  <c r="I24" i="26"/>
  <c r="K14" i="27"/>
  <c r="I14" i="27"/>
  <c r="Q16" i="27"/>
  <c r="K18" i="27"/>
  <c r="K29" i="27"/>
  <c r="I29" i="27"/>
  <c r="K16" i="28"/>
  <c r="I16" i="28"/>
  <c r="K27" i="28"/>
  <c r="I27" i="28"/>
  <c r="J4" i="29"/>
  <c r="I9" i="29"/>
  <c r="K18" i="29"/>
  <c r="K24" i="29"/>
  <c r="I24" i="29"/>
  <c r="K29" i="29"/>
  <c r="I29" i="29"/>
  <c r="K18" i="30"/>
  <c r="K24" i="30"/>
  <c r="I24" i="30"/>
  <c r="K30" i="30"/>
  <c r="I30" i="30"/>
  <c r="I7" i="31"/>
  <c r="K7" i="31"/>
  <c r="I31" i="31"/>
  <c r="K31" i="31"/>
  <c r="K13" i="32"/>
  <c r="I13" i="32"/>
  <c r="K16" i="36"/>
  <c r="I16" i="36"/>
  <c r="K23" i="36"/>
  <c r="I12" i="24"/>
  <c r="K19" i="25"/>
  <c r="I19" i="25"/>
  <c r="I9" i="26"/>
  <c r="K30" i="26"/>
  <c r="I30" i="26"/>
  <c r="K32" i="26"/>
  <c r="I32" i="26"/>
  <c r="AD3" i="27"/>
  <c r="K5" i="27"/>
  <c r="I5" i="27"/>
  <c r="K19" i="27"/>
  <c r="I19" i="27"/>
  <c r="K24" i="27"/>
  <c r="I24" i="27"/>
  <c r="I28" i="27"/>
  <c r="K8" i="28"/>
  <c r="I8" i="28"/>
  <c r="K13" i="28"/>
  <c r="I13" i="28"/>
  <c r="K24" i="28"/>
  <c r="I24" i="28"/>
  <c r="K6" i="29"/>
  <c r="I6" i="29"/>
  <c r="K19" i="29"/>
  <c r="I19" i="29"/>
  <c r="K30" i="29"/>
  <c r="I30" i="29"/>
  <c r="K32" i="29"/>
  <c r="I32" i="29"/>
  <c r="AD3" i="30"/>
  <c r="K5" i="30"/>
  <c r="I5" i="30"/>
  <c r="K19" i="30"/>
  <c r="I19" i="30"/>
  <c r="I19" i="31"/>
  <c r="K19" i="31"/>
  <c r="K16" i="33"/>
  <c r="I16" i="33"/>
  <c r="K17" i="33"/>
  <c r="I17" i="33"/>
  <c r="AD3" i="36"/>
  <c r="K15" i="36"/>
  <c r="K24" i="38"/>
  <c r="I24" i="38"/>
  <c r="I25" i="38"/>
  <c r="K25" i="38"/>
  <c r="I23" i="39"/>
  <c r="K23" i="39"/>
  <c r="I6" i="24"/>
  <c r="K13" i="24"/>
  <c r="I13" i="24"/>
  <c r="K29" i="24"/>
  <c r="I29" i="24"/>
  <c r="J3" i="26"/>
  <c r="K4" i="26"/>
  <c r="K6" i="26"/>
  <c r="I6" i="26"/>
  <c r="K10" i="26"/>
  <c r="K21" i="26"/>
  <c r="I21" i="26"/>
  <c r="K30" i="27"/>
  <c r="I30" i="27"/>
  <c r="K32" i="27"/>
  <c r="I32" i="27"/>
  <c r="AD3" i="28"/>
  <c r="K5" i="28"/>
  <c r="I5" i="28"/>
  <c r="K21" i="28"/>
  <c r="I21" i="28"/>
  <c r="K6" i="30"/>
  <c r="I6" i="30"/>
  <c r="Q8" i="30"/>
  <c r="Q12" i="31"/>
  <c r="K8" i="32"/>
  <c r="I8" i="32"/>
  <c r="K9" i="32"/>
  <c r="I9" i="32"/>
  <c r="K6" i="33"/>
  <c r="I6" i="33"/>
  <c r="I15" i="33"/>
  <c r="K15" i="33"/>
  <c r="I23" i="34"/>
  <c r="K23" i="34"/>
  <c r="I30" i="35"/>
  <c r="K30" i="35"/>
  <c r="I25" i="37"/>
  <c r="K25" i="37"/>
  <c r="Q21" i="38"/>
  <c r="I21" i="39"/>
  <c r="K21" i="39"/>
  <c r="I26" i="22"/>
  <c r="I13" i="23"/>
  <c r="Q25" i="23"/>
  <c r="Q5" i="24"/>
  <c r="K14" i="24"/>
  <c r="I14" i="24"/>
  <c r="Q16" i="24"/>
  <c r="K18" i="24"/>
  <c r="K24" i="24"/>
  <c r="I24" i="24"/>
  <c r="I28" i="24"/>
  <c r="K30" i="24"/>
  <c r="I30" i="24"/>
  <c r="Q32" i="24"/>
  <c r="K32" i="24"/>
  <c r="I32" i="24"/>
  <c r="AD3" i="25"/>
  <c r="K5" i="25"/>
  <c r="I5" i="25"/>
  <c r="I9" i="25"/>
  <c r="K21" i="25"/>
  <c r="I21" i="25"/>
  <c r="I25" i="25"/>
  <c r="K11" i="26"/>
  <c r="I11" i="26"/>
  <c r="K16" i="26"/>
  <c r="I16" i="26"/>
  <c r="I20" i="26"/>
  <c r="I25" i="26"/>
  <c r="J4" i="27"/>
  <c r="K6" i="27"/>
  <c r="I6" i="27"/>
  <c r="Q8" i="27"/>
  <c r="K10" i="27"/>
  <c r="K21" i="27"/>
  <c r="I21" i="27"/>
  <c r="K14" i="28"/>
  <c r="I14" i="28"/>
  <c r="Q16" i="28"/>
  <c r="I17" i="28"/>
  <c r="I28" i="28"/>
  <c r="K29" i="28"/>
  <c r="I29" i="28"/>
  <c r="K16" i="29"/>
  <c r="I16" i="29"/>
  <c r="K21" i="29"/>
  <c r="I21" i="29"/>
  <c r="J4" i="30"/>
  <c r="K16" i="30"/>
  <c r="I16" i="30"/>
  <c r="K21" i="30"/>
  <c r="I21" i="30"/>
  <c r="I31" i="30"/>
  <c r="K31" i="30"/>
  <c r="K32" i="31"/>
  <c r="I32" i="31"/>
  <c r="I15" i="32"/>
  <c r="K15" i="32"/>
  <c r="I31" i="32"/>
  <c r="K31" i="32"/>
  <c r="K11" i="33"/>
  <c r="K24" i="33"/>
  <c r="I24" i="33"/>
  <c r="K5" i="34"/>
  <c r="I5" i="34"/>
  <c r="Q28" i="34"/>
  <c r="K30" i="34"/>
  <c r="I30" i="34"/>
  <c r="I22" i="35"/>
  <c r="J3" i="35"/>
  <c r="K22" i="35"/>
  <c r="I25" i="35"/>
  <c r="K25" i="35"/>
  <c r="K26" i="35"/>
  <c r="I26" i="35"/>
  <c r="I28" i="36"/>
  <c r="K28" i="36"/>
  <c r="I17" i="37"/>
  <c r="K17" i="37"/>
  <c r="K26" i="37"/>
  <c r="I26" i="37"/>
  <c r="K27" i="37"/>
  <c r="I27" i="37"/>
  <c r="K15" i="39"/>
  <c r="I15" i="39"/>
  <c r="K19" i="24"/>
  <c r="I19" i="24"/>
  <c r="K6" i="25"/>
  <c r="I6" i="25"/>
  <c r="K16" i="25"/>
  <c r="I16" i="25"/>
  <c r="K22" i="25"/>
  <c r="I22" i="25"/>
  <c r="K22" i="26"/>
  <c r="I22" i="26"/>
  <c r="K11" i="27"/>
  <c r="I11" i="27"/>
  <c r="K16" i="27"/>
  <c r="I16" i="27"/>
  <c r="J3" i="28"/>
  <c r="K4" i="28"/>
  <c r="K6" i="28"/>
  <c r="I6" i="28"/>
  <c r="K22" i="28"/>
  <c r="I22" i="28"/>
  <c r="K11" i="29"/>
  <c r="I11" i="29"/>
  <c r="K22" i="29"/>
  <c r="I22" i="29"/>
  <c r="K11" i="30"/>
  <c r="I11" i="30"/>
  <c r="K22" i="30"/>
  <c r="I22" i="30"/>
  <c r="I15" i="31"/>
  <c r="K15" i="31"/>
  <c r="K22" i="32"/>
  <c r="I22" i="32"/>
  <c r="I26" i="34"/>
  <c r="K26" i="34"/>
  <c r="I20" i="36"/>
  <c r="K20" i="36"/>
  <c r="I9" i="37"/>
  <c r="K9" i="37"/>
  <c r="K18" i="37"/>
  <c r="I18" i="37"/>
  <c r="K19" i="37"/>
  <c r="I19" i="37"/>
  <c r="K16" i="38"/>
  <c r="I16" i="38"/>
  <c r="I17" i="38"/>
  <c r="K17" i="38"/>
  <c r="K7" i="39"/>
  <c r="I7" i="39"/>
  <c r="Q5" i="23"/>
  <c r="I14" i="23"/>
  <c r="J4" i="25"/>
  <c r="K11" i="25"/>
  <c r="I11" i="25"/>
  <c r="K27" i="25"/>
  <c r="I27" i="25"/>
  <c r="K13" i="26"/>
  <c r="I13" i="26"/>
  <c r="K27" i="26"/>
  <c r="I27" i="26"/>
  <c r="K22" i="27"/>
  <c r="I22" i="27"/>
  <c r="Q24" i="27"/>
  <c r="K26" i="27"/>
  <c r="K10" i="28"/>
  <c r="K8" i="29"/>
  <c r="I8" i="29"/>
  <c r="K26" i="29"/>
  <c r="AD3" i="31"/>
  <c r="Q4" i="31"/>
  <c r="I5" i="31"/>
  <c r="I11" i="31"/>
  <c r="K11" i="31"/>
  <c r="K29" i="31"/>
  <c r="I29" i="31"/>
  <c r="I31" i="33"/>
  <c r="K31" i="33"/>
  <c r="K24" i="34"/>
  <c r="I24" i="34"/>
  <c r="J3" i="36"/>
  <c r="I12" i="36"/>
  <c r="K12" i="36"/>
  <c r="K10" i="37"/>
  <c r="I10" i="37"/>
  <c r="K11" i="37"/>
  <c r="I11" i="37"/>
  <c r="Q13" i="38"/>
  <c r="I17" i="39"/>
  <c r="K17" i="39"/>
  <c r="I30" i="28"/>
  <c r="K32" i="32"/>
  <c r="I32" i="32"/>
  <c r="Q20" i="33"/>
  <c r="K22" i="33"/>
  <c r="I22" i="33"/>
  <c r="Q4" i="34"/>
  <c r="K6" i="34"/>
  <c r="I6" i="34"/>
  <c r="K17" i="34"/>
  <c r="I17" i="34"/>
  <c r="K10" i="36"/>
  <c r="I10" i="36"/>
  <c r="K18" i="36"/>
  <c r="I18" i="36"/>
  <c r="K26" i="36"/>
  <c r="I26" i="36"/>
  <c r="K10" i="38"/>
  <c r="I10" i="38"/>
  <c r="K11" i="38"/>
  <c r="I11" i="38"/>
  <c r="K18" i="38"/>
  <c r="I18" i="38"/>
  <c r="K19" i="38"/>
  <c r="I19" i="38"/>
  <c r="K26" i="38"/>
  <c r="I26" i="38"/>
  <c r="K27" i="38"/>
  <c r="I27" i="38"/>
  <c r="K8" i="39"/>
  <c r="I8" i="39"/>
  <c r="I15" i="45"/>
  <c r="K15" i="45"/>
  <c r="K16" i="45"/>
  <c r="I16" i="45"/>
  <c r="I8" i="47"/>
  <c r="K8" i="47"/>
  <c r="K30" i="31"/>
  <c r="I30" i="31"/>
  <c r="AD3" i="32"/>
  <c r="K14" i="32"/>
  <c r="I14" i="32"/>
  <c r="I23" i="32"/>
  <c r="K23" i="32"/>
  <c r="K25" i="32"/>
  <c r="I25" i="32"/>
  <c r="I7" i="33"/>
  <c r="K7" i="33"/>
  <c r="K9" i="33"/>
  <c r="I9" i="33"/>
  <c r="Q11" i="33"/>
  <c r="I31" i="34"/>
  <c r="K31" i="34"/>
  <c r="K28" i="35"/>
  <c r="I28" i="35"/>
  <c r="K32" i="35"/>
  <c r="I32" i="35"/>
  <c r="J4" i="37"/>
  <c r="AD3" i="37"/>
  <c r="K5" i="37"/>
  <c r="I5" i="37"/>
  <c r="K13" i="37"/>
  <c r="I13" i="37"/>
  <c r="K21" i="37"/>
  <c r="I21" i="37"/>
  <c r="K29" i="37"/>
  <c r="I29" i="37"/>
  <c r="K32" i="37"/>
  <c r="I32" i="37"/>
  <c r="K16" i="39"/>
  <c r="I16" i="39"/>
  <c r="K18" i="42"/>
  <c r="I18" i="42"/>
  <c r="I28" i="43"/>
  <c r="K28" i="43"/>
  <c r="K30" i="43"/>
  <c r="I30" i="43"/>
  <c r="K9" i="45"/>
  <c r="I9" i="45"/>
  <c r="Q25" i="30"/>
  <c r="K17" i="31"/>
  <c r="I17" i="31"/>
  <c r="I20" i="31"/>
  <c r="K19" i="32"/>
  <c r="K32" i="33"/>
  <c r="I32" i="33"/>
  <c r="K16" i="34"/>
  <c r="I16" i="34"/>
  <c r="K22" i="34"/>
  <c r="I22" i="34"/>
  <c r="K11" i="36"/>
  <c r="I11" i="36"/>
  <c r="K19" i="36"/>
  <c r="I19" i="36"/>
  <c r="K27" i="36"/>
  <c r="I27" i="36"/>
  <c r="K32" i="36"/>
  <c r="I32" i="36"/>
  <c r="J4" i="38"/>
  <c r="AD3" i="38"/>
  <c r="K5" i="38"/>
  <c r="I5" i="38"/>
  <c r="K13" i="38"/>
  <c r="I13" i="38"/>
  <c r="K21" i="38"/>
  <c r="I21" i="38"/>
  <c r="K29" i="38"/>
  <c r="I29" i="38"/>
  <c r="K32" i="38"/>
  <c r="I32" i="38"/>
  <c r="K10" i="39"/>
  <c r="I10" i="39"/>
  <c r="K11" i="39"/>
  <c r="I11" i="39"/>
  <c r="K28" i="39"/>
  <c r="I28" i="39"/>
  <c r="I25" i="40"/>
  <c r="K25" i="40"/>
  <c r="I20" i="42"/>
  <c r="K20" i="42"/>
  <c r="K30" i="32"/>
  <c r="I30" i="32"/>
  <c r="AD3" i="33"/>
  <c r="K8" i="33"/>
  <c r="I8" i="33"/>
  <c r="K14" i="33"/>
  <c r="I14" i="33"/>
  <c r="I23" i="33"/>
  <c r="K23" i="33"/>
  <c r="K25" i="33"/>
  <c r="I25" i="33"/>
  <c r="K9" i="34"/>
  <c r="I9" i="34"/>
  <c r="Q11" i="34"/>
  <c r="I12" i="34"/>
  <c r="K32" i="34"/>
  <c r="I32" i="34"/>
  <c r="Q26" i="35"/>
  <c r="K29" i="35"/>
  <c r="I29" i="35"/>
  <c r="K7" i="37"/>
  <c r="I7" i="37"/>
  <c r="K15" i="37"/>
  <c r="I15" i="37"/>
  <c r="K23" i="37"/>
  <c r="I23" i="37"/>
  <c r="K31" i="37"/>
  <c r="I31" i="37"/>
  <c r="K12" i="38"/>
  <c r="K20" i="38"/>
  <c r="K28" i="38"/>
  <c r="J4" i="39"/>
  <c r="AD3" i="39"/>
  <c r="K5" i="39"/>
  <c r="I5" i="39"/>
  <c r="K18" i="39"/>
  <c r="I18" i="39"/>
  <c r="K19" i="39"/>
  <c r="I19" i="39"/>
  <c r="K21" i="40"/>
  <c r="I21" i="40"/>
  <c r="I15" i="43"/>
  <c r="K15" i="43"/>
  <c r="K16" i="43"/>
  <c r="I16" i="43"/>
  <c r="K11" i="46"/>
  <c r="I11" i="46"/>
  <c r="I12" i="46"/>
  <c r="K12" i="46"/>
  <c r="K9" i="31"/>
  <c r="I9" i="31"/>
  <c r="K16" i="31"/>
  <c r="I16" i="31"/>
  <c r="K22" i="31"/>
  <c r="I22" i="31"/>
  <c r="K6" i="32"/>
  <c r="I6" i="32"/>
  <c r="K17" i="32"/>
  <c r="I17" i="32"/>
  <c r="I20" i="32"/>
  <c r="K19" i="33"/>
  <c r="AD3" i="35"/>
  <c r="K13" i="36"/>
  <c r="I13" i="36"/>
  <c r="K14" i="36"/>
  <c r="I14" i="36"/>
  <c r="K21" i="36"/>
  <c r="I21" i="36"/>
  <c r="K22" i="36"/>
  <c r="I22" i="36"/>
  <c r="K29" i="36"/>
  <c r="I29" i="36"/>
  <c r="K30" i="36"/>
  <c r="I30" i="36"/>
  <c r="K7" i="38"/>
  <c r="I7" i="38"/>
  <c r="K15" i="38"/>
  <c r="I15" i="38"/>
  <c r="K23" i="38"/>
  <c r="I23" i="38"/>
  <c r="K31" i="38"/>
  <c r="I31" i="38"/>
  <c r="K13" i="39"/>
  <c r="I13" i="39"/>
  <c r="K20" i="39"/>
  <c r="I20" i="39"/>
  <c r="I25" i="41"/>
  <c r="K25" i="41"/>
  <c r="K27" i="41"/>
  <c r="I27" i="41"/>
  <c r="K9" i="43"/>
  <c r="I9" i="43"/>
  <c r="I28" i="45"/>
  <c r="K28" i="45"/>
  <c r="K29" i="45"/>
  <c r="I29" i="45"/>
  <c r="K32" i="45"/>
  <c r="I32" i="45"/>
  <c r="K27" i="31"/>
  <c r="K11" i="32"/>
  <c r="Q28" i="33"/>
  <c r="I29" i="33"/>
  <c r="K30" i="33"/>
  <c r="I30" i="33"/>
  <c r="AD3" i="34"/>
  <c r="Q12" i="34"/>
  <c r="I13" i="34"/>
  <c r="K14" i="34"/>
  <c r="I14" i="34"/>
  <c r="K25" i="34"/>
  <c r="I25" i="34"/>
  <c r="K23" i="35"/>
  <c r="I23" i="35"/>
  <c r="K24" i="35"/>
  <c r="I24" i="35"/>
  <c r="K31" i="35"/>
  <c r="I31" i="35"/>
  <c r="Q5" i="37"/>
  <c r="K8" i="37"/>
  <c r="I8" i="37"/>
  <c r="Q13" i="37"/>
  <c r="K16" i="37"/>
  <c r="I16" i="37"/>
  <c r="K24" i="37"/>
  <c r="I24" i="37"/>
  <c r="Q29" i="37"/>
  <c r="I6" i="38"/>
  <c r="I14" i="38"/>
  <c r="I22" i="38"/>
  <c r="I30" i="38"/>
  <c r="K12" i="39"/>
  <c r="K22" i="39"/>
  <c r="I22" i="39"/>
  <c r="K29" i="39"/>
  <c r="I31" i="42"/>
  <c r="K31" i="42"/>
  <c r="I12" i="44"/>
  <c r="K12" i="44"/>
  <c r="K19" i="44"/>
  <c r="I19" i="44"/>
  <c r="I20" i="44"/>
  <c r="K20" i="44"/>
  <c r="J4" i="32"/>
  <c r="J4" i="33"/>
  <c r="J4" i="34"/>
  <c r="K21" i="41"/>
  <c r="I21" i="41"/>
  <c r="Q16" i="42"/>
  <c r="K19" i="42"/>
  <c r="I19" i="42"/>
  <c r="K24" i="43"/>
  <c r="I24" i="43"/>
  <c r="K8" i="44"/>
  <c r="I8" i="44"/>
  <c r="K14" i="44"/>
  <c r="I14" i="44"/>
  <c r="K21" i="44"/>
  <c r="I21" i="44"/>
  <c r="Q24" i="44"/>
  <c r="K26" i="44"/>
  <c r="I26" i="44"/>
  <c r="I4" i="46"/>
  <c r="J3" i="46"/>
  <c r="K4" i="46"/>
  <c r="K6" i="46"/>
  <c r="I6" i="46"/>
  <c r="K13" i="46"/>
  <c r="I13" i="46"/>
  <c r="Q16" i="46"/>
  <c r="K18" i="46"/>
  <c r="I18" i="46"/>
  <c r="K9" i="47"/>
  <c r="I9" i="47"/>
  <c r="K16" i="47"/>
  <c r="I16" i="47"/>
  <c r="K23" i="48"/>
  <c r="I23" i="48"/>
  <c r="K24" i="48"/>
  <c r="I24" i="48"/>
  <c r="I11" i="49"/>
  <c r="K11" i="49"/>
  <c r="K18" i="51"/>
  <c r="I18" i="51"/>
  <c r="I20" i="54"/>
  <c r="K20" i="54"/>
  <c r="K16" i="40"/>
  <c r="I16" i="40"/>
  <c r="K18" i="40"/>
  <c r="I18" i="40"/>
  <c r="K7" i="41"/>
  <c r="I7" i="41"/>
  <c r="K29" i="41"/>
  <c r="I29" i="41"/>
  <c r="K21" i="42"/>
  <c r="I21" i="42"/>
  <c r="K26" i="42"/>
  <c r="I26" i="42"/>
  <c r="K10" i="43"/>
  <c r="I10" i="43"/>
  <c r="K27" i="44"/>
  <c r="I27" i="44"/>
  <c r="AD3" i="45"/>
  <c r="K5" i="45"/>
  <c r="I5" i="45"/>
  <c r="K10" i="45"/>
  <c r="I10" i="45"/>
  <c r="K24" i="45"/>
  <c r="I24" i="45"/>
  <c r="K30" i="45"/>
  <c r="I30" i="45"/>
  <c r="K19" i="46"/>
  <c r="I19" i="46"/>
  <c r="K18" i="47"/>
  <c r="I18" i="47"/>
  <c r="I19" i="47"/>
  <c r="K19" i="47"/>
  <c r="K24" i="47"/>
  <c r="I24" i="47"/>
  <c r="K7" i="48"/>
  <c r="I7" i="48"/>
  <c r="K8" i="48"/>
  <c r="I8" i="48"/>
  <c r="I19" i="50"/>
  <c r="K19" i="50"/>
  <c r="I11" i="52"/>
  <c r="K11" i="52"/>
  <c r="I28" i="52"/>
  <c r="K28" i="52"/>
  <c r="I12" i="53"/>
  <c r="K12" i="53"/>
  <c r="I23" i="53"/>
  <c r="K23" i="53"/>
  <c r="I26" i="39"/>
  <c r="I30" i="39"/>
  <c r="I22" i="40"/>
  <c r="K23" i="40"/>
  <c r="I23" i="40"/>
  <c r="Q5" i="41"/>
  <c r="K8" i="41"/>
  <c r="I8" i="41"/>
  <c r="I14" i="41"/>
  <c r="K15" i="41"/>
  <c r="I15" i="41"/>
  <c r="K28" i="41"/>
  <c r="K32" i="41"/>
  <c r="I32" i="41"/>
  <c r="K27" i="42"/>
  <c r="I27" i="42"/>
  <c r="AD3" i="43"/>
  <c r="K5" i="43"/>
  <c r="I5" i="43"/>
  <c r="Q8" i="43"/>
  <c r="K11" i="43"/>
  <c r="I11" i="43"/>
  <c r="I17" i="43"/>
  <c r="K18" i="43"/>
  <c r="I18" i="43"/>
  <c r="K31" i="43"/>
  <c r="K16" i="44"/>
  <c r="I16" i="44"/>
  <c r="K22" i="44"/>
  <c r="I22" i="44"/>
  <c r="K29" i="44"/>
  <c r="I29" i="44"/>
  <c r="Q32" i="44"/>
  <c r="K32" i="44"/>
  <c r="I32" i="44"/>
  <c r="K11" i="45"/>
  <c r="I11" i="45"/>
  <c r="I17" i="45"/>
  <c r="K23" i="45"/>
  <c r="K8" i="46"/>
  <c r="I8" i="46"/>
  <c r="K14" i="46"/>
  <c r="I14" i="46"/>
  <c r="K21" i="46"/>
  <c r="I21" i="46"/>
  <c r="Q24" i="46"/>
  <c r="K26" i="46"/>
  <c r="I26" i="46"/>
  <c r="K8" i="51"/>
  <c r="I8" i="51"/>
  <c r="K9" i="51"/>
  <c r="I9" i="51"/>
  <c r="I28" i="55"/>
  <c r="K28" i="55"/>
  <c r="J3" i="40"/>
  <c r="K10" i="41"/>
  <c r="I10" i="41"/>
  <c r="K16" i="41"/>
  <c r="I16" i="41"/>
  <c r="I22" i="41"/>
  <c r="K23" i="41"/>
  <c r="I23" i="41"/>
  <c r="K22" i="42"/>
  <c r="I22" i="42"/>
  <c r="K29" i="42"/>
  <c r="I29" i="42"/>
  <c r="K32" i="42"/>
  <c r="I32" i="42"/>
  <c r="K13" i="43"/>
  <c r="I13" i="43"/>
  <c r="K19" i="43"/>
  <c r="I19" i="43"/>
  <c r="I25" i="43"/>
  <c r="K26" i="43"/>
  <c r="I26" i="43"/>
  <c r="I9" i="44"/>
  <c r="K15" i="44"/>
  <c r="J4" i="45"/>
  <c r="K6" i="45"/>
  <c r="I6" i="45"/>
  <c r="K13" i="45"/>
  <c r="I13" i="45"/>
  <c r="Q16" i="45"/>
  <c r="K18" i="45"/>
  <c r="I18" i="45"/>
  <c r="K7" i="46"/>
  <c r="K27" i="46"/>
  <c r="I27" i="46"/>
  <c r="AD3" i="47"/>
  <c r="K5" i="47"/>
  <c r="I5" i="47"/>
  <c r="K10" i="47"/>
  <c r="Q22" i="47"/>
  <c r="I23" i="47"/>
  <c r="K26" i="47"/>
  <c r="I26" i="47"/>
  <c r="K32" i="48"/>
  <c r="I32" i="48"/>
  <c r="I27" i="49"/>
  <c r="K27" i="49"/>
  <c r="I11" i="51"/>
  <c r="K11" i="51"/>
  <c r="K6" i="53"/>
  <c r="I6" i="53"/>
  <c r="K32" i="40"/>
  <c r="I32" i="40"/>
  <c r="K18" i="41"/>
  <c r="I18" i="41"/>
  <c r="Q21" i="41"/>
  <c r="K24" i="41"/>
  <c r="I24" i="41"/>
  <c r="K31" i="41"/>
  <c r="I31" i="41"/>
  <c r="J15" i="42"/>
  <c r="AD3" i="42"/>
  <c r="K16" i="42"/>
  <c r="I16" i="42"/>
  <c r="I4" i="43"/>
  <c r="J3" i="43"/>
  <c r="K4" i="43"/>
  <c r="K6" i="43"/>
  <c r="I6" i="43"/>
  <c r="K21" i="43"/>
  <c r="I21" i="43"/>
  <c r="Q24" i="43"/>
  <c r="K27" i="43"/>
  <c r="I27" i="43"/>
  <c r="AD3" i="44"/>
  <c r="K5" i="44"/>
  <c r="I5" i="44"/>
  <c r="Q8" i="44"/>
  <c r="K10" i="44"/>
  <c r="I10" i="44"/>
  <c r="K24" i="44"/>
  <c r="I24" i="44"/>
  <c r="I28" i="44"/>
  <c r="K28" i="44"/>
  <c r="K30" i="44"/>
  <c r="I30" i="44"/>
  <c r="K19" i="45"/>
  <c r="I19" i="45"/>
  <c r="I25" i="45"/>
  <c r="K16" i="46"/>
  <c r="I16" i="46"/>
  <c r="I20" i="46"/>
  <c r="K20" i="46"/>
  <c r="K22" i="46"/>
  <c r="I22" i="46"/>
  <c r="K29" i="46"/>
  <c r="I29" i="46"/>
  <c r="Q32" i="46"/>
  <c r="K32" i="46"/>
  <c r="I32" i="46"/>
  <c r="K25" i="47"/>
  <c r="I25" i="47"/>
  <c r="I11" i="48"/>
  <c r="K11" i="48"/>
  <c r="K18" i="48"/>
  <c r="I18" i="48"/>
  <c r="I19" i="48"/>
  <c r="K19" i="48"/>
  <c r="I19" i="49"/>
  <c r="K19" i="49"/>
  <c r="I26" i="52"/>
  <c r="K26" i="52"/>
  <c r="K24" i="40"/>
  <c r="I24" i="40"/>
  <c r="K26" i="40"/>
  <c r="I26" i="40"/>
  <c r="I9" i="41"/>
  <c r="K9" i="41"/>
  <c r="K11" i="41"/>
  <c r="I11" i="41"/>
  <c r="K26" i="41"/>
  <c r="I26" i="41"/>
  <c r="K24" i="42"/>
  <c r="I24" i="42"/>
  <c r="I28" i="42"/>
  <c r="K28" i="42"/>
  <c r="K30" i="42"/>
  <c r="I30" i="42"/>
  <c r="I12" i="43"/>
  <c r="K12" i="43"/>
  <c r="K14" i="43"/>
  <c r="I14" i="43"/>
  <c r="K29" i="43"/>
  <c r="I29" i="43"/>
  <c r="K32" i="43"/>
  <c r="I32" i="43"/>
  <c r="K11" i="44"/>
  <c r="I11" i="44"/>
  <c r="K8" i="45"/>
  <c r="I8" i="45"/>
  <c r="I12" i="45"/>
  <c r="K12" i="45"/>
  <c r="K14" i="45"/>
  <c r="I14" i="45"/>
  <c r="K21" i="45"/>
  <c r="I21" i="45"/>
  <c r="K26" i="45"/>
  <c r="I26" i="45"/>
  <c r="I4" i="47"/>
  <c r="J3" i="47"/>
  <c r="K4" i="47"/>
  <c r="K20" i="49"/>
  <c r="I20" i="49"/>
  <c r="K21" i="49"/>
  <c r="I21" i="49"/>
  <c r="Q26" i="39"/>
  <c r="K15" i="40"/>
  <c r="I15" i="40"/>
  <c r="I30" i="40"/>
  <c r="K31" i="40"/>
  <c r="I31" i="40"/>
  <c r="J4" i="41"/>
  <c r="AD3" i="41"/>
  <c r="K5" i="41"/>
  <c r="I5" i="41"/>
  <c r="I17" i="41"/>
  <c r="K17" i="41"/>
  <c r="K19" i="41"/>
  <c r="I19" i="41"/>
  <c r="K23" i="42"/>
  <c r="K8" i="43"/>
  <c r="I8" i="43"/>
  <c r="I20" i="43"/>
  <c r="K20" i="43"/>
  <c r="K22" i="43"/>
  <c r="I22" i="43"/>
  <c r="I4" i="44"/>
  <c r="J3" i="44"/>
  <c r="K4" i="44"/>
  <c r="K6" i="44"/>
  <c r="I6" i="44"/>
  <c r="K13" i="44"/>
  <c r="I13" i="44"/>
  <c r="Q16" i="44"/>
  <c r="K18" i="44"/>
  <c r="I18" i="44"/>
  <c r="K7" i="45"/>
  <c r="K27" i="45"/>
  <c r="I27" i="45"/>
  <c r="AD3" i="46"/>
  <c r="K5" i="46"/>
  <c r="I5" i="46"/>
  <c r="Q8" i="46"/>
  <c r="K10" i="46"/>
  <c r="I10" i="46"/>
  <c r="K24" i="46"/>
  <c r="I24" i="46"/>
  <c r="K30" i="46"/>
  <c r="I30" i="46"/>
  <c r="K7" i="47"/>
  <c r="I7" i="47"/>
  <c r="K13" i="48"/>
  <c r="I13" i="48"/>
  <c r="K28" i="48"/>
  <c r="I28" i="48"/>
  <c r="I14" i="50"/>
  <c r="K14" i="50"/>
  <c r="K15" i="50"/>
  <c r="I15" i="50"/>
  <c r="I27" i="51"/>
  <c r="K27" i="51"/>
  <c r="AD3" i="48"/>
  <c r="K12" i="49"/>
  <c r="I12" i="49"/>
  <c r="K13" i="49"/>
  <c r="I13" i="49"/>
  <c r="K31" i="49"/>
  <c r="I31" i="49"/>
  <c r="K7" i="50"/>
  <c r="I7" i="50"/>
  <c r="K17" i="50"/>
  <c r="I17" i="50"/>
  <c r="K25" i="50"/>
  <c r="I25" i="50"/>
  <c r="K10" i="51"/>
  <c r="I10" i="51"/>
  <c r="K28" i="51"/>
  <c r="I28" i="51"/>
  <c r="K29" i="51"/>
  <c r="I29" i="51"/>
  <c r="K12" i="52"/>
  <c r="I12" i="52"/>
  <c r="K13" i="52"/>
  <c r="I13" i="52"/>
  <c r="K7" i="53"/>
  <c r="I7" i="53"/>
  <c r="I26" i="53"/>
  <c r="K26" i="53"/>
  <c r="I28" i="54"/>
  <c r="K28" i="54"/>
  <c r="I28" i="57"/>
  <c r="K28" i="57"/>
  <c r="K29" i="60"/>
  <c r="I29" i="60"/>
  <c r="I13" i="47"/>
  <c r="I15" i="47"/>
  <c r="K17" i="47"/>
  <c r="I17" i="47"/>
  <c r="Q27" i="47"/>
  <c r="Q29" i="47"/>
  <c r="K25" i="48"/>
  <c r="I25" i="48"/>
  <c r="AD3" i="49"/>
  <c r="K5" i="49"/>
  <c r="I5" i="49"/>
  <c r="K23" i="49"/>
  <c r="I23" i="49"/>
  <c r="K30" i="49"/>
  <c r="K6" i="50"/>
  <c r="K9" i="50"/>
  <c r="I9" i="50"/>
  <c r="K26" i="50"/>
  <c r="I26" i="50"/>
  <c r="K20" i="51"/>
  <c r="I20" i="51"/>
  <c r="K21" i="51"/>
  <c r="I21" i="51"/>
  <c r="AD3" i="52"/>
  <c r="K5" i="52"/>
  <c r="I5" i="52"/>
  <c r="K22" i="52"/>
  <c r="I22" i="52"/>
  <c r="K31" i="52"/>
  <c r="I31" i="52"/>
  <c r="K20" i="53"/>
  <c r="I20" i="53"/>
  <c r="K25" i="53"/>
  <c r="K17" i="55"/>
  <c r="I17" i="55"/>
  <c r="K19" i="55"/>
  <c r="I19" i="55"/>
  <c r="I20" i="55"/>
  <c r="K20" i="55"/>
  <c r="K9" i="56"/>
  <c r="I9" i="56"/>
  <c r="K11" i="56"/>
  <c r="I11" i="56"/>
  <c r="I12" i="56"/>
  <c r="K12" i="56"/>
  <c r="I20" i="57"/>
  <c r="K20" i="57"/>
  <c r="K29" i="59"/>
  <c r="I29" i="59"/>
  <c r="K14" i="48"/>
  <c r="K15" i="48"/>
  <c r="I15" i="48"/>
  <c r="K15" i="49"/>
  <c r="I15" i="49"/>
  <c r="K22" i="49"/>
  <c r="K25" i="49"/>
  <c r="I25" i="49"/>
  <c r="K18" i="50"/>
  <c r="I18" i="50"/>
  <c r="K12" i="51"/>
  <c r="I12" i="51"/>
  <c r="K13" i="51"/>
  <c r="I13" i="51"/>
  <c r="I19" i="51"/>
  <c r="K19" i="51"/>
  <c r="K31" i="51"/>
  <c r="I31" i="51"/>
  <c r="K15" i="52"/>
  <c r="I15" i="52"/>
  <c r="K23" i="52"/>
  <c r="I23" i="52"/>
  <c r="K24" i="52"/>
  <c r="I24" i="52"/>
  <c r="K30" i="52"/>
  <c r="I30" i="52"/>
  <c r="K9" i="53"/>
  <c r="I9" i="53"/>
  <c r="K14" i="53"/>
  <c r="I14" i="53"/>
  <c r="AD3" i="54"/>
  <c r="J4" i="54"/>
  <c r="AD3" i="55"/>
  <c r="J4" i="55"/>
  <c r="K32" i="55"/>
  <c r="I32" i="55"/>
  <c r="I23" i="58"/>
  <c r="K23" i="58"/>
  <c r="K11" i="47"/>
  <c r="K9" i="48"/>
  <c r="I9" i="48"/>
  <c r="K20" i="48"/>
  <c r="I20" i="48"/>
  <c r="K26" i="48"/>
  <c r="I26" i="48"/>
  <c r="K30" i="48"/>
  <c r="K31" i="48"/>
  <c r="I31" i="48"/>
  <c r="K7" i="49"/>
  <c r="I7" i="49"/>
  <c r="K14" i="49"/>
  <c r="K17" i="49"/>
  <c r="I17" i="49"/>
  <c r="I8" i="50"/>
  <c r="K10" i="50"/>
  <c r="I10" i="50"/>
  <c r="K28" i="50"/>
  <c r="I28" i="50"/>
  <c r="K29" i="50"/>
  <c r="I29" i="50"/>
  <c r="AD3" i="51"/>
  <c r="K5" i="51"/>
  <c r="I5" i="51"/>
  <c r="K23" i="51"/>
  <c r="I23" i="51"/>
  <c r="K30" i="51"/>
  <c r="K7" i="52"/>
  <c r="I7" i="52"/>
  <c r="K14" i="52"/>
  <c r="K25" i="52"/>
  <c r="I25" i="52"/>
  <c r="H3" i="53"/>
  <c r="AD3" i="53"/>
  <c r="J4" i="53"/>
  <c r="K8" i="53"/>
  <c r="I8" i="53"/>
  <c r="K15" i="53"/>
  <c r="I15" i="53"/>
  <c r="K28" i="53"/>
  <c r="I28" i="53"/>
  <c r="K9" i="54"/>
  <c r="I9" i="54"/>
  <c r="K10" i="54"/>
  <c r="I10" i="54"/>
  <c r="K14" i="55"/>
  <c r="I14" i="55"/>
  <c r="K6" i="56"/>
  <c r="I6" i="56"/>
  <c r="H3" i="48"/>
  <c r="K6" i="49"/>
  <c r="K9" i="49"/>
  <c r="I9" i="49"/>
  <c r="I24" i="49"/>
  <c r="K26" i="49"/>
  <c r="I26" i="49"/>
  <c r="K20" i="50"/>
  <c r="I20" i="50"/>
  <c r="K21" i="50"/>
  <c r="I21" i="50"/>
  <c r="K15" i="51"/>
  <c r="I15" i="51"/>
  <c r="K22" i="51"/>
  <c r="K6" i="52"/>
  <c r="K17" i="52"/>
  <c r="I17" i="52"/>
  <c r="I18" i="52"/>
  <c r="K18" i="52"/>
  <c r="K22" i="53"/>
  <c r="I22" i="53"/>
  <c r="K8" i="54"/>
  <c r="I8" i="54"/>
  <c r="K16" i="54"/>
  <c r="I16" i="54"/>
  <c r="K17" i="54"/>
  <c r="I17" i="54"/>
  <c r="Q11" i="47"/>
  <c r="I31" i="47"/>
  <c r="Q11" i="48"/>
  <c r="K17" i="48"/>
  <c r="I17" i="48"/>
  <c r="I16" i="49"/>
  <c r="K18" i="49"/>
  <c r="I18" i="49"/>
  <c r="K12" i="50"/>
  <c r="I12" i="50"/>
  <c r="K13" i="50"/>
  <c r="I13" i="50"/>
  <c r="K31" i="50"/>
  <c r="I31" i="50"/>
  <c r="K7" i="51"/>
  <c r="I7" i="51"/>
  <c r="K14" i="51"/>
  <c r="K25" i="51"/>
  <c r="I25" i="51"/>
  <c r="K9" i="52"/>
  <c r="I9" i="52"/>
  <c r="I16" i="52"/>
  <c r="K32" i="52"/>
  <c r="I32" i="52"/>
  <c r="K10" i="53"/>
  <c r="K6" i="54"/>
  <c r="I6" i="54"/>
  <c r="K24" i="54"/>
  <c r="I24" i="54"/>
  <c r="K25" i="54"/>
  <c r="I25" i="54"/>
  <c r="I9" i="61"/>
  <c r="K9" i="61"/>
  <c r="Q20" i="48"/>
  <c r="K10" i="49"/>
  <c r="I10" i="49"/>
  <c r="K28" i="49"/>
  <c r="I28" i="49"/>
  <c r="K29" i="49"/>
  <c r="I29" i="49"/>
  <c r="AD3" i="50"/>
  <c r="K5" i="50"/>
  <c r="I5" i="50"/>
  <c r="I11" i="50"/>
  <c r="K11" i="50"/>
  <c r="K23" i="50"/>
  <c r="I23" i="50"/>
  <c r="K17" i="51"/>
  <c r="I17" i="51"/>
  <c r="K26" i="51"/>
  <c r="I26" i="51"/>
  <c r="I8" i="52"/>
  <c r="K10" i="52"/>
  <c r="I10" i="52"/>
  <c r="K20" i="52"/>
  <c r="I20" i="52"/>
  <c r="I18" i="53"/>
  <c r="K18" i="53"/>
  <c r="K24" i="53"/>
  <c r="I24" i="53"/>
  <c r="K30" i="53"/>
  <c r="I30" i="53"/>
  <c r="K31" i="53"/>
  <c r="I31" i="53"/>
  <c r="I12" i="54"/>
  <c r="K12" i="54"/>
  <c r="K9" i="55"/>
  <c r="I9" i="55"/>
  <c r="K25" i="55"/>
  <c r="I25" i="55"/>
  <c r="K17" i="56"/>
  <c r="I17" i="56"/>
  <c r="K9" i="57"/>
  <c r="I9" i="57"/>
  <c r="K10" i="55"/>
  <c r="I10" i="55"/>
  <c r="K24" i="55"/>
  <c r="I24" i="55"/>
  <c r="K29" i="55"/>
  <c r="I29" i="55"/>
  <c r="K16" i="56"/>
  <c r="I16" i="56"/>
  <c r="K32" i="56"/>
  <c r="I32" i="56"/>
  <c r="AD3" i="57"/>
  <c r="I15" i="57"/>
  <c r="K15" i="57"/>
  <c r="I15" i="59"/>
  <c r="K15" i="59"/>
  <c r="K16" i="60"/>
  <c r="I16" i="60"/>
  <c r="K17" i="60"/>
  <c r="I17" i="60"/>
  <c r="K32" i="53"/>
  <c r="I32" i="53"/>
  <c r="K32" i="54"/>
  <c r="I32" i="54"/>
  <c r="K5" i="55"/>
  <c r="I5" i="55"/>
  <c r="K5" i="57"/>
  <c r="I5" i="57"/>
  <c r="K14" i="57"/>
  <c r="I14" i="57"/>
  <c r="K7" i="61"/>
  <c r="I7" i="61"/>
  <c r="K18" i="54"/>
  <c r="I18" i="54"/>
  <c r="K26" i="54"/>
  <c r="I26" i="54"/>
  <c r="K11" i="55"/>
  <c r="I11" i="55"/>
  <c r="K26" i="55"/>
  <c r="I26" i="55"/>
  <c r="K18" i="56"/>
  <c r="I18" i="56"/>
  <c r="K19" i="56"/>
  <c r="I19" i="56"/>
  <c r="K20" i="56"/>
  <c r="I20" i="56"/>
  <c r="I21" i="56"/>
  <c r="K21" i="56"/>
  <c r="J4" i="57"/>
  <c r="I9" i="58"/>
  <c r="K24" i="59"/>
  <c r="I24" i="59"/>
  <c r="K25" i="59"/>
  <c r="I25" i="59"/>
  <c r="I25" i="60"/>
  <c r="K22" i="61"/>
  <c r="I22" i="61"/>
  <c r="I13" i="54"/>
  <c r="I21" i="54"/>
  <c r="I29" i="54"/>
  <c r="K16" i="55"/>
  <c r="I16" i="55"/>
  <c r="K21" i="55"/>
  <c r="I21" i="55"/>
  <c r="I30" i="55"/>
  <c r="K8" i="56"/>
  <c r="I8" i="56"/>
  <c r="K13" i="56"/>
  <c r="I13" i="56"/>
  <c r="I7" i="57"/>
  <c r="K7" i="57"/>
  <c r="K17" i="58"/>
  <c r="I17" i="58"/>
  <c r="K19" i="58"/>
  <c r="I19" i="58"/>
  <c r="I10" i="59"/>
  <c r="K10" i="59"/>
  <c r="J4" i="48"/>
  <c r="J4" i="49"/>
  <c r="J4" i="50"/>
  <c r="J4" i="51"/>
  <c r="J4" i="52"/>
  <c r="Q18" i="52"/>
  <c r="Q5" i="55"/>
  <c r="I6" i="55"/>
  <c r="K27" i="55"/>
  <c r="I27" i="55"/>
  <c r="K29" i="56"/>
  <c r="I29" i="56"/>
  <c r="K30" i="56"/>
  <c r="I30" i="56"/>
  <c r="I31" i="56"/>
  <c r="K31" i="56"/>
  <c r="K6" i="57"/>
  <c r="I6" i="57"/>
  <c r="AD3" i="58"/>
  <c r="J4" i="58"/>
  <c r="K5" i="58"/>
  <c r="I5" i="58"/>
  <c r="I12" i="58"/>
  <c r="K12" i="58"/>
  <c r="AD3" i="59"/>
  <c r="J4" i="59"/>
  <c r="AD3" i="60"/>
  <c r="J4" i="60"/>
  <c r="I12" i="60"/>
  <c r="K12" i="60"/>
  <c r="K27" i="60"/>
  <c r="I27" i="60"/>
  <c r="K16" i="61"/>
  <c r="I16" i="61"/>
  <c r="I17" i="61"/>
  <c r="K17" i="61"/>
  <c r="K16" i="53"/>
  <c r="I16" i="53"/>
  <c r="K18" i="55"/>
  <c r="I18" i="55"/>
  <c r="I4" i="56"/>
  <c r="J3" i="56"/>
  <c r="AD3" i="56"/>
  <c r="K10" i="56"/>
  <c r="I10" i="56"/>
  <c r="K14" i="58"/>
  <c r="I14" i="58"/>
  <c r="I20" i="58"/>
  <c r="K20" i="58"/>
  <c r="I28" i="58"/>
  <c r="K28" i="58"/>
  <c r="K32" i="59"/>
  <c r="I32" i="59"/>
  <c r="K8" i="55"/>
  <c r="I8" i="55"/>
  <c r="K12" i="55"/>
  <c r="K13" i="55"/>
  <c r="I13" i="55"/>
  <c r="Q21" i="55"/>
  <c r="I22" i="55"/>
  <c r="K4" i="56"/>
  <c r="K5" i="56"/>
  <c r="I5" i="56"/>
  <c r="Q13" i="56"/>
  <c r="I14" i="56"/>
  <c r="I12" i="57"/>
  <c r="K17" i="57"/>
  <c r="K24" i="57"/>
  <c r="I24" i="57"/>
  <c r="K25" i="57"/>
  <c r="I25" i="57"/>
  <c r="I20" i="59"/>
  <c r="K20" i="59"/>
  <c r="I10" i="58"/>
  <c r="K10" i="58"/>
  <c r="K11" i="59"/>
  <c r="I11" i="59"/>
  <c r="K31" i="60"/>
  <c r="I31" i="60"/>
  <c r="K23" i="61"/>
  <c r="I23" i="61"/>
  <c r="K10" i="62"/>
  <c r="I10" i="62"/>
  <c r="K11" i="62"/>
  <c r="I11" i="62"/>
  <c r="K30" i="65"/>
  <c r="I30" i="65"/>
  <c r="K31" i="65"/>
  <c r="I31" i="65"/>
  <c r="I13" i="67"/>
  <c r="K13" i="67"/>
  <c r="I16" i="68"/>
  <c r="K16" i="68"/>
  <c r="K21" i="57"/>
  <c r="I21" i="57"/>
  <c r="K29" i="57"/>
  <c r="I29" i="57"/>
  <c r="K11" i="58"/>
  <c r="I11" i="58"/>
  <c r="K24" i="58"/>
  <c r="I24" i="58"/>
  <c r="K29" i="58"/>
  <c r="I29" i="58"/>
  <c r="I6" i="59"/>
  <c r="K16" i="59"/>
  <c r="I16" i="59"/>
  <c r="K21" i="59"/>
  <c r="I21" i="59"/>
  <c r="K7" i="60"/>
  <c r="K13" i="60"/>
  <c r="I13" i="60"/>
  <c r="I22" i="60"/>
  <c r="K6" i="61"/>
  <c r="I6" i="61"/>
  <c r="I9" i="62"/>
  <c r="K9" i="62"/>
  <c r="I17" i="62"/>
  <c r="K17" i="62"/>
  <c r="I9" i="63"/>
  <c r="K9" i="63"/>
  <c r="K16" i="63"/>
  <c r="I16" i="63"/>
  <c r="I17" i="63"/>
  <c r="K17" i="63"/>
  <c r="I25" i="63"/>
  <c r="K25" i="63"/>
  <c r="I23" i="56"/>
  <c r="I25" i="56"/>
  <c r="I27" i="56"/>
  <c r="K18" i="57"/>
  <c r="I6" i="58"/>
  <c r="K15" i="58"/>
  <c r="Q5" i="59"/>
  <c r="I26" i="59"/>
  <c r="K26" i="59"/>
  <c r="I30" i="59"/>
  <c r="K8" i="60"/>
  <c r="I8" i="60"/>
  <c r="I18" i="60"/>
  <c r="K18" i="60"/>
  <c r="Q21" i="60"/>
  <c r="I19" i="61"/>
  <c r="K19" i="61"/>
  <c r="K5" i="62"/>
  <c r="I5" i="62"/>
  <c r="I29" i="64"/>
  <c r="K29" i="64"/>
  <c r="K13" i="57"/>
  <c r="I13" i="57"/>
  <c r="K16" i="57"/>
  <c r="I16" i="57"/>
  <c r="K32" i="57"/>
  <c r="I32" i="57"/>
  <c r="K16" i="58"/>
  <c r="I16" i="58"/>
  <c r="K21" i="58"/>
  <c r="I21" i="58"/>
  <c r="K32" i="58"/>
  <c r="I32" i="58"/>
  <c r="K13" i="59"/>
  <c r="I13" i="59"/>
  <c r="K27" i="59"/>
  <c r="I27" i="59"/>
  <c r="K19" i="60"/>
  <c r="I19" i="60"/>
  <c r="J3" i="61"/>
  <c r="AD3" i="61"/>
  <c r="I5" i="61"/>
  <c r="Q31" i="56"/>
  <c r="Q18" i="57"/>
  <c r="I19" i="57"/>
  <c r="I22" i="57"/>
  <c r="I30" i="57"/>
  <c r="K7" i="58"/>
  <c r="I25" i="58"/>
  <c r="I26" i="58"/>
  <c r="K26" i="58"/>
  <c r="I30" i="58"/>
  <c r="K8" i="59"/>
  <c r="I8" i="59"/>
  <c r="K12" i="59"/>
  <c r="I17" i="59"/>
  <c r="I18" i="59"/>
  <c r="K18" i="59"/>
  <c r="I22" i="59"/>
  <c r="K31" i="59"/>
  <c r="K5" i="60"/>
  <c r="I5" i="60"/>
  <c r="I14" i="60"/>
  <c r="K24" i="60"/>
  <c r="I24" i="60"/>
  <c r="K32" i="60"/>
  <c r="I32" i="60"/>
  <c r="K8" i="61"/>
  <c r="I8" i="61"/>
  <c r="K14" i="61"/>
  <c r="I14" i="61"/>
  <c r="K27" i="57"/>
  <c r="I27" i="57"/>
  <c r="K8" i="58"/>
  <c r="I8" i="58"/>
  <c r="K13" i="58"/>
  <c r="I13" i="58"/>
  <c r="K27" i="58"/>
  <c r="I27" i="58"/>
  <c r="K19" i="59"/>
  <c r="I19" i="59"/>
  <c r="I10" i="60"/>
  <c r="K10" i="60"/>
  <c r="K30" i="60"/>
  <c r="I30" i="60"/>
  <c r="K13" i="61"/>
  <c r="I13" i="61"/>
  <c r="K21" i="61"/>
  <c r="I21" i="61"/>
  <c r="J4" i="64"/>
  <c r="AD3" i="64"/>
  <c r="K5" i="64"/>
  <c r="I5" i="64"/>
  <c r="Q23" i="56"/>
  <c r="Q10" i="57"/>
  <c r="I11" i="57"/>
  <c r="K31" i="57"/>
  <c r="I18" i="58"/>
  <c r="K18" i="58"/>
  <c r="I22" i="58"/>
  <c r="K31" i="58"/>
  <c r="K5" i="59"/>
  <c r="I5" i="59"/>
  <c r="I14" i="59"/>
  <c r="K23" i="59"/>
  <c r="K11" i="60"/>
  <c r="I11" i="60"/>
  <c r="K15" i="60"/>
  <c r="K21" i="60"/>
  <c r="I21" i="60"/>
  <c r="I25" i="61"/>
  <c r="K25" i="61"/>
  <c r="K27" i="61"/>
  <c r="I27" i="61"/>
  <c r="K21" i="62"/>
  <c r="I21" i="62"/>
  <c r="K30" i="63"/>
  <c r="I30" i="63"/>
  <c r="K31" i="63"/>
  <c r="I31" i="63"/>
  <c r="I31" i="64"/>
  <c r="K31" i="64"/>
  <c r="K15" i="61"/>
  <c r="I15" i="61"/>
  <c r="J4" i="62"/>
  <c r="AD3" i="62"/>
  <c r="I25" i="62"/>
  <c r="K25" i="62"/>
  <c r="K8" i="63"/>
  <c r="I8" i="63"/>
  <c r="K23" i="63"/>
  <c r="I23" i="63"/>
  <c r="I5" i="66"/>
  <c r="K5" i="66"/>
  <c r="I21" i="66"/>
  <c r="K21" i="66"/>
  <c r="K32" i="71"/>
  <c r="I32" i="71"/>
  <c r="I24" i="72"/>
  <c r="K24" i="72"/>
  <c r="K26" i="73"/>
  <c r="I26" i="73"/>
  <c r="K27" i="75"/>
  <c r="I27" i="75"/>
  <c r="I30" i="76"/>
  <c r="K30" i="76"/>
  <c r="K31" i="76"/>
  <c r="I31" i="76"/>
  <c r="K29" i="62"/>
  <c r="I29" i="62"/>
  <c r="K32" i="62"/>
  <c r="I32" i="62"/>
  <c r="K10" i="63"/>
  <c r="I10" i="63"/>
  <c r="K11" i="63"/>
  <c r="I11" i="63"/>
  <c r="K24" i="63"/>
  <c r="I24" i="63"/>
  <c r="I24" i="66"/>
  <c r="K24" i="66"/>
  <c r="K25" i="66"/>
  <c r="I25" i="66"/>
  <c r="K7" i="62"/>
  <c r="I7" i="62"/>
  <c r="K23" i="62"/>
  <c r="I23" i="62"/>
  <c r="K18" i="63"/>
  <c r="I18" i="63"/>
  <c r="K19" i="63"/>
  <c r="I19" i="63"/>
  <c r="K11" i="64"/>
  <c r="I11" i="64"/>
  <c r="K19" i="64"/>
  <c r="I19" i="64"/>
  <c r="K20" i="64"/>
  <c r="I20" i="64"/>
  <c r="J3" i="65"/>
  <c r="K4" i="65"/>
  <c r="I4" i="65"/>
  <c r="I5" i="65"/>
  <c r="K5" i="65"/>
  <c r="K15" i="65"/>
  <c r="I15" i="65"/>
  <c r="K22" i="65"/>
  <c r="I22" i="65"/>
  <c r="K23" i="65"/>
  <c r="I23" i="65"/>
  <c r="I13" i="66"/>
  <c r="K13" i="66"/>
  <c r="K26" i="67"/>
  <c r="I26" i="67"/>
  <c r="K27" i="67"/>
  <c r="I27" i="67"/>
  <c r="K32" i="67"/>
  <c r="I32" i="67"/>
  <c r="I6" i="62"/>
  <c r="I22" i="62"/>
  <c r="K31" i="62"/>
  <c r="I31" i="62"/>
  <c r="J4" i="63"/>
  <c r="AD3" i="63"/>
  <c r="K5" i="63"/>
  <c r="I5" i="63"/>
  <c r="K26" i="63"/>
  <c r="I26" i="63"/>
  <c r="K27" i="63"/>
  <c r="I27" i="63"/>
  <c r="I6" i="64"/>
  <c r="I10" i="64"/>
  <c r="K32" i="64"/>
  <c r="I32" i="64"/>
  <c r="I5" i="67"/>
  <c r="K5" i="67"/>
  <c r="Q25" i="60"/>
  <c r="K19" i="62"/>
  <c r="I19" i="62"/>
  <c r="K24" i="62"/>
  <c r="I24" i="62"/>
  <c r="I30" i="62"/>
  <c r="K13" i="63"/>
  <c r="I13" i="63"/>
  <c r="I16" i="66"/>
  <c r="K16" i="66"/>
  <c r="K17" i="66"/>
  <c r="I17" i="66"/>
  <c r="K18" i="67"/>
  <c r="I18" i="67"/>
  <c r="K19" i="67"/>
  <c r="I19" i="67"/>
  <c r="K7" i="63"/>
  <c r="I7" i="63"/>
  <c r="K21" i="63"/>
  <c r="I21" i="63"/>
  <c r="I12" i="64"/>
  <c r="K12" i="64"/>
  <c r="K26" i="64"/>
  <c r="I26" i="64"/>
  <c r="K27" i="64"/>
  <c r="I27" i="64"/>
  <c r="K11" i="65"/>
  <c r="I11" i="65"/>
  <c r="K18" i="65"/>
  <c r="I18" i="65"/>
  <c r="K29" i="61"/>
  <c r="I29" i="61"/>
  <c r="K31" i="61"/>
  <c r="I31" i="61"/>
  <c r="K13" i="62"/>
  <c r="I13" i="62"/>
  <c r="K15" i="62"/>
  <c r="I15" i="62"/>
  <c r="Q17" i="62"/>
  <c r="K26" i="62"/>
  <c r="I26" i="62"/>
  <c r="K27" i="62"/>
  <c r="I27" i="62"/>
  <c r="I6" i="63"/>
  <c r="K15" i="63"/>
  <c r="I15" i="63"/>
  <c r="K29" i="63"/>
  <c r="I29" i="63"/>
  <c r="K32" i="63"/>
  <c r="I32" i="63"/>
  <c r="K28" i="64"/>
  <c r="I28" i="64"/>
  <c r="K10" i="67"/>
  <c r="I10" i="67"/>
  <c r="K11" i="67"/>
  <c r="I11" i="67"/>
  <c r="I21" i="67"/>
  <c r="K21" i="67"/>
  <c r="Q7" i="64"/>
  <c r="I23" i="64"/>
  <c r="I25" i="64"/>
  <c r="I21" i="65"/>
  <c r="K21" i="65"/>
  <c r="I29" i="65"/>
  <c r="K29" i="65"/>
  <c r="K9" i="66"/>
  <c r="I9" i="66"/>
  <c r="K17" i="68"/>
  <c r="I17" i="68"/>
  <c r="K23" i="68"/>
  <c r="I23" i="68"/>
  <c r="I10" i="70"/>
  <c r="K10" i="70"/>
  <c r="I26" i="71"/>
  <c r="K26" i="71"/>
  <c r="K25" i="65"/>
  <c r="I25" i="65"/>
  <c r="K11" i="66"/>
  <c r="I11" i="66"/>
  <c r="K19" i="66"/>
  <c r="I19" i="66"/>
  <c r="K27" i="66"/>
  <c r="I27" i="66"/>
  <c r="K12" i="67"/>
  <c r="I12" i="67"/>
  <c r="K20" i="67"/>
  <c r="I20" i="67"/>
  <c r="K28" i="67"/>
  <c r="I28" i="67"/>
  <c r="K24" i="68"/>
  <c r="I24" i="68"/>
  <c r="I18" i="71"/>
  <c r="K18" i="71"/>
  <c r="I15" i="64"/>
  <c r="I17" i="64"/>
  <c r="K21" i="64"/>
  <c r="Q29" i="64"/>
  <c r="K9" i="65"/>
  <c r="I9" i="65"/>
  <c r="K19" i="65"/>
  <c r="I19" i="65"/>
  <c r="K24" i="65"/>
  <c r="K32" i="65"/>
  <c r="I18" i="66"/>
  <c r="I26" i="66"/>
  <c r="AD3" i="67"/>
  <c r="K31" i="69"/>
  <c r="I31" i="69"/>
  <c r="I10" i="71"/>
  <c r="K10" i="71"/>
  <c r="I12" i="65"/>
  <c r="K27" i="65"/>
  <c r="I27" i="65"/>
  <c r="I10" i="66"/>
  <c r="K12" i="66"/>
  <c r="I12" i="66"/>
  <c r="K20" i="66"/>
  <c r="I20" i="66"/>
  <c r="K28" i="66"/>
  <c r="I28" i="66"/>
  <c r="K14" i="67"/>
  <c r="I14" i="67"/>
  <c r="K15" i="67"/>
  <c r="I15" i="67"/>
  <c r="K22" i="67"/>
  <c r="I22" i="67"/>
  <c r="K23" i="67"/>
  <c r="I23" i="67"/>
  <c r="I7" i="64"/>
  <c r="I9" i="64"/>
  <c r="K13" i="64"/>
  <c r="Q21" i="64"/>
  <c r="Q11" i="65"/>
  <c r="I26" i="65"/>
  <c r="AD3" i="66"/>
  <c r="K6" i="67"/>
  <c r="I6" i="67"/>
  <c r="K7" i="67"/>
  <c r="I7" i="67"/>
  <c r="I29" i="67"/>
  <c r="K29" i="67"/>
  <c r="I27" i="68"/>
  <c r="K27" i="68"/>
  <c r="K23" i="69"/>
  <c r="I23" i="69"/>
  <c r="K24" i="69"/>
  <c r="I24" i="69"/>
  <c r="I26" i="70"/>
  <c r="K26" i="70"/>
  <c r="AD3" i="65"/>
  <c r="K17" i="65"/>
  <c r="I17" i="65"/>
  <c r="K28" i="65"/>
  <c r="I28" i="65"/>
  <c r="K14" i="66"/>
  <c r="I14" i="66"/>
  <c r="K15" i="66"/>
  <c r="I15" i="66"/>
  <c r="K22" i="66"/>
  <c r="I22" i="66"/>
  <c r="K23" i="66"/>
  <c r="I23" i="66"/>
  <c r="K30" i="66"/>
  <c r="I30" i="66"/>
  <c r="K31" i="66"/>
  <c r="I31" i="66"/>
  <c r="AD3" i="68"/>
  <c r="J4" i="68"/>
  <c r="K9" i="68"/>
  <c r="I9" i="68"/>
  <c r="K21" i="68"/>
  <c r="I21" i="68"/>
  <c r="I26" i="69"/>
  <c r="K26" i="69"/>
  <c r="Q13" i="64"/>
  <c r="K13" i="65"/>
  <c r="Q19" i="65"/>
  <c r="K6" i="66"/>
  <c r="I6" i="66"/>
  <c r="K7" i="66"/>
  <c r="I7" i="66"/>
  <c r="I29" i="66"/>
  <c r="K29" i="66"/>
  <c r="K9" i="67"/>
  <c r="I9" i="67"/>
  <c r="K17" i="67"/>
  <c r="I17" i="67"/>
  <c r="K25" i="67"/>
  <c r="I25" i="67"/>
  <c r="I8" i="68"/>
  <c r="I11" i="68"/>
  <c r="K11" i="68"/>
  <c r="I18" i="70"/>
  <c r="K18" i="70"/>
  <c r="K25" i="69"/>
  <c r="I25" i="69"/>
  <c r="AD3" i="70"/>
  <c r="J4" i="70"/>
  <c r="K11" i="70"/>
  <c r="I11" i="70"/>
  <c r="K12" i="70"/>
  <c r="I12" i="70"/>
  <c r="K19" i="70"/>
  <c r="I19" i="70"/>
  <c r="K20" i="70"/>
  <c r="I20" i="70"/>
  <c r="K27" i="70"/>
  <c r="I27" i="70"/>
  <c r="K28" i="70"/>
  <c r="I28" i="70"/>
  <c r="I22" i="72"/>
  <c r="K22" i="72"/>
  <c r="J3" i="72"/>
  <c r="I30" i="72"/>
  <c r="K30" i="72"/>
  <c r="I22" i="74"/>
  <c r="K22" i="74"/>
  <c r="K23" i="74"/>
  <c r="I23" i="74"/>
  <c r="K20" i="68"/>
  <c r="I20" i="68"/>
  <c r="K30" i="68"/>
  <c r="H3" i="70"/>
  <c r="K32" i="70"/>
  <c r="I32" i="70"/>
  <c r="K6" i="71"/>
  <c r="I6" i="71"/>
  <c r="K14" i="71"/>
  <c r="I14" i="71"/>
  <c r="K22" i="71"/>
  <c r="I22" i="71"/>
  <c r="K30" i="71"/>
  <c r="I30" i="71"/>
  <c r="K31" i="72"/>
  <c r="I31" i="72"/>
  <c r="K11" i="73"/>
  <c r="I11" i="73"/>
  <c r="K20" i="75"/>
  <c r="I20" i="75"/>
  <c r="I30" i="75"/>
  <c r="K30" i="75"/>
  <c r="I22" i="76"/>
  <c r="K22" i="76"/>
  <c r="K24" i="76"/>
  <c r="I24" i="76"/>
  <c r="J4" i="66"/>
  <c r="J4" i="67"/>
  <c r="Q29" i="67"/>
  <c r="Q5" i="68"/>
  <c r="Q13" i="68"/>
  <c r="K31" i="68"/>
  <c r="I31" i="68"/>
  <c r="AD3" i="69"/>
  <c r="K20" i="69"/>
  <c r="I20" i="69"/>
  <c r="K27" i="69"/>
  <c r="I27" i="69"/>
  <c r="K28" i="69"/>
  <c r="I28" i="69"/>
  <c r="K16" i="74"/>
  <c r="I16" i="74"/>
  <c r="K12" i="75"/>
  <c r="I12" i="75"/>
  <c r="I22" i="75"/>
  <c r="K22" i="75"/>
  <c r="K15" i="68"/>
  <c r="I15" i="68"/>
  <c r="K32" i="69"/>
  <c r="I32" i="69"/>
  <c r="K6" i="70"/>
  <c r="I6" i="70"/>
  <c r="K14" i="70"/>
  <c r="I14" i="70"/>
  <c r="K22" i="70"/>
  <c r="I22" i="70"/>
  <c r="K30" i="70"/>
  <c r="I30" i="70"/>
  <c r="K8" i="71"/>
  <c r="I8" i="71"/>
  <c r="K16" i="71"/>
  <c r="I16" i="71"/>
  <c r="K24" i="71"/>
  <c r="I24" i="71"/>
  <c r="K4" i="73"/>
  <c r="I4" i="73"/>
  <c r="J3" i="73"/>
  <c r="I30" i="73"/>
  <c r="K30" i="73"/>
  <c r="I6" i="74"/>
  <c r="K6" i="74"/>
  <c r="J3" i="74"/>
  <c r="J8" i="74"/>
  <c r="AD3" i="74"/>
  <c r="K4" i="75"/>
  <c r="I4" i="75"/>
  <c r="J3" i="75"/>
  <c r="I14" i="75"/>
  <c r="K14" i="75"/>
  <c r="I9" i="76"/>
  <c r="K9" i="76"/>
  <c r="K10" i="76"/>
  <c r="I10" i="76"/>
  <c r="I18" i="68"/>
  <c r="K25" i="68"/>
  <c r="I25" i="68"/>
  <c r="K28" i="68"/>
  <c r="I28" i="68"/>
  <c r="I7" i="71"/>
  <c r="K9" i="71"/>
  <c r="I9" i="71"/>
  <c r="I15" i="71"/>
  <c r="K17" i="71"/>
  <c r="I17" i="71"/>
  <c r="I23" i="71"/>
  <c r="K25" i="71"/>
  <c r="I25" i="71"/>
  <c r="I31" i="71"/>
  <c r="I6" i="75"/>
  <c r="K6" i="75"/>
  <c r="K22" i="69"/>
  <c r="I22" i="69"/>
  <c r="K30" i="69"/>
  <c r="I30" i="69"/>
  <c r="K8" i="70"/>
  <c r="I8" i="70"/>
  <c r="K16" i="70"/>
  <c r="I16" i="70"/>
  <c r="K24" i="70"/>
  <c r="I24" i="70"/>
  <c r="K32" i="72"/>
  <c r="I32" i="72"/>
  <c r="I6" i="73"/>
  <c r="K6" i="73"/>
  <c r="I10" i="68"/>
  <c r="K22" i="68"/>
  <c r="I7" i="70"/>
  <c r="K9" i="70"/>
  <c r="I9" i="70"/>
  <c r="I15" i="70"/>
  <c r="K17" i="70"/>
  <c r="I17" i="70"/>
  <c r="I23" i="70"/>
  <c r="K25" i="70"/>
  <c r="I25" i="70"/>
  <c r="I31" i="70"/>
  <c r="AD3" i="71"/>
  <c r="J4" i="71"/>
  <c r="K11" i="71"/>
  <c r="I11" i="71"/>
  <c r="K12" i="71"/>
  <c r="I12" i="71"/>
  <c r="K19" i="71"/>
  <c r="I19" i="71"/>
  <c r="K20" i="71"/>
  <c r="I20" i="71"/>
  <c r="K27" i="71"/>
  <c r="I27" i="71"/>
  <c r="K28" i="71"/>
  <c r="I28" i="71"/>
  <c r="K29" i="74"/>
  <c r="I29" i="74"/>
  <c r="I30" i="74"/>
  <c r="K30" i="74"/>
  <c r="J3" i="76"/>
  <c r="K5" i="73"/>
  <c r="I5" i="73"/>
  <c r="K12" i="73"/>
  <c r="I12" i="73"/>
  <c r="I14" i="74"/>
  <c r="K14" i="74"/>
  <c r="K24" i="74"/>
  <c r="I24" i="74"/>
  <c r="K31" i="74"/>
  <c r="I31" i="74"/>
  <c r="K5" i="75"/>
  <c r="I5" i="75"/>
  <c r="K13" i="75"/>
  <c r="I13" i="75"/>
  <c r="K21" i="75"/>
  <c r="I21" i="75"/>
  <c r="K28" i="75"/>
  <c r="I28" i="75"/>
  <c r="K18" i="76"/>
  <c r="I18" i="76"/>
  <c r="J23" i="72"/>
  <c r="K13" i="73"/>
  <c r="I13" i="73"/>
  <c r="I19" i="73"/>
  <c r="K20" i="73"/>
  <c r="I20" i="73"/>
  <c r="K7" i="75"/>
  <c r="I7" i="75"/>
  <c r="K15" i="75"/>
  <c r="I15" i="75"/>
  <c r="K23" i="75"/>
  <c r="I23" i="75"/>
  <c r="K29" i="75"/>
  <c r="I29" i="75"/>
  <c r="K4" i="76"/>
  <c r="I4" i="76"/>
  <c r="K7" i="73"/>
  <c r="I7" i="73"/>
  <c r="K8" i="73"/>
  <c r="I8" i="73"/>
  <c r="K21" i="73"/>
  <c r="I21" i="73"/>
  <c r="I27" i="73"/>
  <c r="K28" i="73"/>
  <c r="I28" i="73"/>
  <c r="K9" i="74"/>
  <c r="K10" i="74"/>
  <c r="I10" i="74"/>
  <c r="K17" i="74"/>
  <c r="K18" i="74"/>
  <c r="I18" i="74"/>
  <c r="K8" i="75"/>
  <c r="I8" i="75"/>
  <c r="K16" i="75"/>
  <c r="I16" i="75"/>
  <c r="K24" i="75"/>
  <c r="I24" i="75"/>
  <c r="K31" i="75"/>
  <c r="I31" i="75"/>
  <c r="K5" i="76"/>
  <c r="I5" i="76"/>
  <c r="I11" i="76"/>
  <c r="K12" i="76"/>
  <c r="I12" i="76"/>
  <c r="K25" i="76"/>
  <c r="K26" i="76"/>
  <c r="I26" i="76"/>
  <c r="K15" i="73"/>
  <c r="I15" i="73"/>
  <c r="K16" i="73"/>
  <c r="I16" i="73"/>
  <c r="K29" i="73"/>
  <c r="I29" i="73"/>
  <c r="K4" i="74"/>
  <c r="I4" i="74"/>
  <c r="K25" i="74"/>
  <c r="K26" i="74"/>
  <c r="I26" i="74"/>
  <c r="K13" i="76"/>
  <c r="I13" i="76"/>
  <c r="I19" i="76"/>
  <c r="K20" i="76"/>
  <c r="I20" i="76"/>
  <c r="J19" i="69"/>
  <c r="AD3" i="73"/>
  <c r="I14" i="73"/>
  <c r="K14" i="73"/>
  <c r="K23" i="73"/>
  <c r="I23" i="73"/>
  <c r="K24" i="73"/>
  <c r="I24" i="73"/>
  <c r="K5" i="74"/>
  <c r="I5" i="74"/>
  <c r="K12" i="74"/>
  <c r="I12" i="74"/>
  <c r="AD3" i="75"/>
  <c r="K7" i="76"/>
  <c r="I7" i="76"/>
  <c r="K21" i="76"/>
  <c r="I21" i="76"/>
  <c r="K10" i="73"/>
  <c r="I10" i="73"/>
  <c r="I22" i="73"/>
  <c r="K22" i="73"/>
  <c r="K31" i="73"/>
  <c r="I31" i="73"/>
  <c r="K13" i="74"/>
  <c r="I13" i="74"/>
  <c r="K20" i="74"/>
  <c r="I20" i="74"/>
  <c r="K10" i="75"/>
  <c r="I10" i="75"/>
  <c r="K18" i="75"/>
  <c r="I18" i="75"/>
  <c r="K26" i="75"/>
  <c r="I26" i="75"/>
  <c r="I6" i="76"/>
  <c r="K6" i="76"/>
  <c r="K8" i="76"/>
  <c r="I8" i="76"/>
  <c r="K15" i="76"/>
  <c r="I15" i="76"/>
  <c r="K28" i="76"/>
  <c r="I28" i="76"/>
  <c r="K25" i="72"/>
  <c r="I28" i="72"/>
  <c r="K17" i="73"/>
  <c r="K18" i="73"/>
  <c r="I18" i="73"/>
  <c r="K7" i="74"/>
  <c r="I7" i="74"/>
  <c r="K15" i="74"/>
  <c r="I15" i="74"/>
  <c r="K21" i="74"/>
  <c r="I21" i="74"/>
  <c r="I27" i="74"/>
  <c r="K28" i="74"/>
  <c r="I28" i="74"/>
  <c r="AD3" i="76"/>
  <c r="I14" i="76"/>
  <c r="K14" i="76"/>
  <c r="K16" i="76"/>
  <c r="I16" i="76"/>
  <c r="K23" i="76"/>
  <c r="I23" i="76"/>
  <c r="K29" i="76"/>
  <c r="I29" i="76"/>
  <c r="I32" i="73"/>
  <c r="I32" i="74"/>
  <c r="I32" i="75"/>
  <c r="I32" i="76"/>
  <c r="K3" i="46" l="1"/>
  <c r="I3" i="46"/>
  <c r="I3" i="76"/>
  <c r="K3" i="76"/>
  <c r="K8" i="74"/>
  <c r="I8" i="74"/>
  <c r="K3" i="65"/>
  <c r="I3" i="65"/>
  <c r="I4" i="54"/>
  <c r="J3" i="54"/>
  <c r="K4" i="54"/>
  <c r="I15" i="42"/>
  <c r="J3" i="42"/>
  <c r="K15" i="42"/>
  <c r="I4" i="37"/>
  <c r="J3" i="37"/>
  <c r="K4" i="37"/>
  <c r="I4" i="2"/>
  <c r="J3" i="2"/>
  <c r="K4" i="2"/>
  <c r="J3" i="25"/>
  <c r="K4" i="25"/>
  <c r="I4" i="25"/>
  <c r="I4" i="63"/>
  <c r="J3" i="63"/>
  <c r="K4" i="63"/>
  <c r="I3" i="61"/>
  <c r="K3" i="61"/>
  <c r="J3" i="34"/>
  <c r="K4" i="34"/>
  <c r="I4" i="34"/>
  <c r="K3" i="35"/>
  <c r="I3" i="35"/>
  <c r="J3" i="27"/>
  <c r="K4" i="27"/>
  <c r="I4" i="27"/>
  <c r="K3" i="20"/>
  <c r="I3" i="20"/>
  <c r="J3" i="11"/>
  <c r="I4" i="11"/>
  <c r="K4" i="11"/>
  <c r="J3" i="52"/>
  <c r="K4" i="52"/>
  <c r="I4" i="52"/>
  <c r="J3" i="33"/>
  <c r="K4" i="33"/>
  <c r="I4" i="33"/>
  <c r="I4" i="39"/>
  <c r="J3" i="39"/>
  <c r="K4" i="39"/>
  <c r="K3" i="24"/>
  <c r="I3" i="24"/>
  <c r="J3" i="10"/>
  <c r="I4" i="10"/>
  <c r="K4" i="10"/>
  <c r="I4" i="21"/>
  <c r="J3" i="21"/>
  <c r="K4" i="21"/>
  <c r="I4" i="7"/>
  <c r="J3" i="7"/>
  <c r="K4" i="7"/>
  <c r="I4" i="1"/>
  <c r="J3" i="1"/>
  <c r="K4" i="1"/>
  <c r="K23" i="72"/>
  <c r="I23" i="72"/>
  <c r="J3" i="60"/>
  <c r="I4" i="60"/>
  <c r="K4" i="60"/>
  <c r="J3" i="58"/>
  <c r="I4" i="58"/>
  <c r="K4" i="58"/>
  <c r="J3" i="51"/>
  <c r="K4" i="51"/>
  <c r="I4" i="51"/>
  <c r="J3" i="57"/>
  <c r="K4" i="57"/>
  <c r="I4" i="57"/>
  <c r="K3" i="44"/>
  <c r="I3" i="44"/>
  <c r="I4" i="41"/>
  <c r="J3" i="41"/>
  <c r="K4" i="41"/>
  <c r="K3" i="43"/>
  <c r="I3" i="43"/>
  <c r="K3" i="40"/>
  <c r="I3" i="40"/>
  <c r="J3" i="32"/>
  <c r="K4" i="32"/>
  <c r="I4" i="32"/>
  <c r="I3" i="36"/>
  <c r="K3" i="36"/>
  <c r="K3" i="28"/>
  <c r="I3" i="28"/>
  <c r="K3" i="26"/>
  <c r="I3" i="26"/>
  <c r="J3" i="23"/>
  <c r="I4" i="23"/>
  <c r="K4" i="23"/>
  <c r="I4" i="4"/>
  <c r="J3" i="4"/>
  <c r="K4" i="4"/>
  <c r="K3" i="72"/>
  <c r="I3" i="72"/>
  <c r="I4" i="38"/>
  <c r="J3" i="38"/>
  <c r="K4" i="38"/>
  <c r="I3" i="74"/>
  <c r="K3" i="74"/>
  <c r="J3" i="69"/>
  <c r="K19" i="69"/>
  <c r="I19" i="69"/>
  <c r="I3" i="75"/>
  <c r="K3" i="75"/>
  <c r="J3" i="68"/>
  <c r="I4" i="68"/>
  <c r="K4" i="68"/>
  <c r="I4" i="62"/>
  <c r="J3" i="62"/>
  <c r="K4" i="62"/>
  <c r="J3" i="50"/>
  <c r="K4" i="50"/>
  <c r="I4" i="50"/>
  <c r="I4" i="45"/>
  <c r="J3" i="45"/>
  <c r="K4" i="45"/>
  <c r="I4" i="19"/>
  <c r="J3" i="19"/>
  <c r="K4" i="19"/>
  <c r="J3" i="14"/>
  <c r="I4" i="14"/>
  <c r="K4" i="14"/>
  <c r="I4" i="8"/>
  <c r="J3" i="8"/>
  <c r="K4" i="8"/>
  <c r="J3" i="18"/>
  <c r="K4" i="18"/>
  <c r="I4" i="18"/>
  <c r="I4" i="64"/>
  <c r="J3" i="64"/>
  <c r="K4" i="64"/>
  <c r="J3" i="30"/>
  <c r="K4" i="30"/>
  <c r="I4" i="30"/>
  <c r="J3" i="13"/>
  <c r="I4" i="13"/>
  <c r="K4" i="13"/>
  <c r="J3" i="12"/>
  <c r="I4" i="12"/>
  <c r="K4" i="12"/>
  <c r="J3" i="71"/>
  <c r="K4" i="71"/>
  <c r="I4" i="71"/>
  <c r="J3" i="67"/>
  <c r="K4" i="67"/>
  <c r="I4" i="67"/>
  <c r="K3" i="56"/>
  <c r="I3" i="56"/>
  <c r="J3" i="59"/>
  <c r="I4" i="59"/>
  <c r="K4" i="59"/>
  <c r="J3" i="49"/>
  <c r="K4" i="49"/>
  <c r="I4" i="49"/>
  <c r="I3" i="31"/>
  <c r="K3" i="31"/>
  <c r="K4" i="15"/>
  <c r="I4" i="15"/>
  <c r="J3" i="15"/>
  <c r="I4" i="6"/>
  <c r="J3" i="6"/>
  <c r="K4" i="6"/>
  <c r="K3" i="47"/>
  <c r="I3" i="47"/>
  <c r="I3" i="73"/>
  <c r="K3" i="73"/>
  <c r="J3" i="66"/>
  <c r="K4" i="66"/>
  <c r="I4" i="66"/>
  <c r="J3" i="70"/>
  <c r="K4" i="70"/>
  <c r="I4" i="70"/>
  <c r="J3" i="48"/>
  <c r="K4" i="48"/>
  <c r="I4" i="48"/>
  <c r="J3" i="53"/>
  <c r="K4" i="53"/>
  <c r="I4" i="53"/>
  <c r="I4" i="55"/>
  <c r="J3" i="55"/>
  <c r="K4" i="55"/>
  <c r="J3" i="29"/>
  <c r="K4" i="29"/>
  <c r="I4" i="29"/>
  <c r="I23" i="22"/>
  <c r="J3" i="22"/>
  <c r="K23" i="22"/>
  <c r="K3" i="17"/>
  <c r="I3" i="17"/>
  <c r="I4" i="9"/>
  <c r="J3" i="9"/>
  <c r="K4" i="9"/>
  <c r="I4" i="3"/>
  <c r="J3" i="3"/>
  <c r="K4" i="3"/>
  <c r="I4" i="5"/>
  <c r="J3" i="5"/>
  <c r="K4" i="5"/>
  <c r="I5" i="16"/>
  <c r="J3" i="16"/>
  <c r="K5" i="16"/>
  <c r="K3" i="32" l="1"/>
  <c r="I3" i="32"/>
  <c r="K3" i="48"/>
  <c r="I3" i="48"/>
  <c r="K3" i="59"/>
  <c r="I3" i="59"/>
  <c r="K3" i="71"/>
  <c r="I3" i="71"/>
  <c r="K3" i="62"/>
  <c r="I3" i="62"/>
  <c r="K3" i="1"/>
  <c r="I3" i="1"/>
  <c r="K3" i="11"/>
  <c r="I3" i="11"/>
  <c r="K3" i="19"/>
  <c r="I3" i="19"/>
  <c r="K3" i="55"/>
  <c r="I3" i="55"/>
  <c r="K3" i="30"/>
  <c r="I3" i="30"/>
  <c r="K3" i="8"/>
  <c r="I3" i="8"/>
  <c r="I3" i="69"/>
  <c r="K3" i="69"/>
  <c r="K3" i="58"/>
  <c r="I3" i="58"/>
  <c r="K3" i="18"/>
  <c r="I3" i="18"/>
  <c r="K3" i="45"/>
  <c r="I3" i="45"/>
  <c r="K3" i="4"/>
  <c r="I3" i="4"/>
  <c r="I3" i="10"/>
  <c r="K3" i="10"/>
  <c r="K3" i="33"/>
  <c r="I3" i="33"/>
  <c r="K3" i="34"/>
  <c r="I3" i="34"/>
  <c r="K3" i="25"/>
  <c r="I3" i="25"/>
  <c r="K3" i="42"/>
  <c r="I3" i="42"/>
  <c r="K3" i="3"/>
  <c r="I3" i="3"/>
  <c r="K3" i="22"/>
  <c r="I3" i="22"/>
  <c r="K3" i="70"/>
  <c r="I3" i="70"/>
  <c r="K3" i="12"/>
  <c r="I3" i="12"/>
  <c r="K3" i="64"/>
  <c r="I3" i="64"/>
  <c r="K3" i="57"/>
  <c r="I3" i="57"/>
  <c r="K3" i="7"/>
  <c r="I3" i="7"/>
  <c r="K3" i="29"/>
  <c r="I3" i="29"/>
  <c r="K3" i="5"/>
  <c r="I3" i="5"/>
  <c r="K3" i="6"/>
  <c r="I3" i="6"/>
  <c r="K3" i="68"/>
  <c r="I3" i="68"/>
  <c r="K3" i="60"/>
  <c r="I3" i="60"/>
  <c r="K3" i="2"/>
  <c r="I3" i="2"/>
  <c r="K3" i="37"/>
  <c r="I3" i="37"/>
  <c r="I3" i="16"/>
  <c r="K3" i="16"/>
  <c r="K3" i="53"/>
  <c r="I3" i="53"/>
  <c r="I3" i="49"/>
  <c r="K3" i="49"/>
  <c r="K3" i="67"/>
  <c r="I3" i="67"/>
  <c r="K3" i="14"/>
  <c r="I3" i="14"/>
  <c r="K3" i="38"/>
  <c r="I3" i="38"/>
  <c r="K3" i="41"/>
  <c r="I3" i="41"/>
  <c r="I3" i="52"/>
  <c r="K3" i="52"/>
  <c r="K3" i="27"/>
  <c r="I3" i="27"/>
  <c r="K3" i="54"/>
  <c r="I3" i="54"/>
  <c r="K3" i="9"/>
  <c r="I3" i="9"/>
  <c r="K3" i="66"/>
  <c r="I3" i="66"/>
  <c r="I3" i="15"/>
  <c r="K3" i="15"/>
  <c r="K3" i="13"/>
  <c r="I3" i="13"/>
  <c r="I3" i="50"/>
  <c r="K3" i="50"/>
  <c r="K3" i="23"/>
  <c r="I3" i="23"/>
  <c r="I3" i="51"/>
  <c r="K3" i="51"/>
  <c r="K3" i="21"/>
  <c r="I3" i="21"/>
  <c r="K3" i="39"/>
  <c r="I3" i="39"/>
  <c r="K3" i="63"/>
  <c r="I3" i="6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</rPr>
          <t>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1 replacement sent out (no revenue attributed to that sale)
	-Cassidy Jones
----
plenty in us storage. could you make more profit if you increased velocity and got more inventory?
	-Bryan Mercer
----
can we get to 20% margin or more
	-Bryan Mercer
----
1 replacement sent out (no revenue attributed to that sale)
	-Cassidy Jones
----
plenty in us storage. could you make more profit if you increased velocity and got more inventory?
	-Bryan Mercer
----
can we get to 20% margin or more
	-Bryan Mercer
----
1 replacement sent out (no revenue attributed to that sale)
	-Cassidy Jones
----
plenty in us storage. could you make more profit if you increased velocity and got more inventory?
	-Bryan Mercer
----
can we get to 20% margin or more
	-Bryan Mercer
----
1 replacement sent out (no revenue attributed to that sale)
	-Cassidy Jones
----
plenty in us storage. could you make more profit if you increased velocity and got more inventory?
	-Bryan Mercer
----
can we get to 20% margin or more
	-Bryan Mercer
----
1 replacement sent out (no revenue attributed to that sale)
	-Cassidy Jones
----
plenty in us storage. could you make more profit if you increased velocity and got more inventory?
	-Bryan Mercer
----
can we get to 20% margin or more
	-Bryan Mercer
----
1 replacement sent out (no revenue attributed to that sale)
	-Cassidy Jones
----
plenty in us storage. could you make more profit if you increased velocity and got more inventory?
	-Bryan Mercer
----
can we get to 20% margin or more
	-Bryan Mercer
----
1 replacement sent out (no revenue attributed to that sale)
	-Cassidy Jones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9" authorId="0" shapeId="0" xr:uid="{00000000-0006-0000-3300-000002000000}">
      <text>
        <r>
          <rPr>
            <sz val="11"/>
            <color rgb="FF000000"/>
            <rFont val="Calibri"/>
          </rPr>
          <t>can we get to 20% margin or more
	-Bryan Mercer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9" authorId="0" shapeId="0" xr:uid="{00000000-0006-0000-3B00-000002000000}">
      <text>
        <r>
          <rPr>
            <sz val="11"/>
            <color rgb="FF000000"/>
            <rFont val="Calibri"/>
          </rPr>
          <t>plenty in us storage. could you make more profit if you increased velocity and got more inventory?
	-Bryan Mercer</t>
        </r>
      </text>
    </comment>
    <comment ref="B30" authorId="0" shapeId="0" xr:uid="{00000000-0006-0000-3B00-000003000000}">
      <text>
        <r>
          <rPr>
            <sz val="11"/>
            <color rgb="FF000000"/>
            <rFont val="Calibri"/>
          </rPr>
          <t>plenty in us storage. could you make more profit if you increased velocity and got more inventory?
	-Bryan Mercer</t>
        </r>
      </text>
    </comment>
    <comment ref="B31" authorId="0" shapeId="0" xr:uid="{00000000-0006-0000-3B00-000004000000}">
      <text>
        <r>
          <rPr>
            <sz val="11"/>
            <color rgb="FF000000"/>
            <rFont val="Calibri"/>
          </rPr>
          <t>plenty in us storage. could you make more profit if you increased velocity and got more inventory?
	-Bryan Mercer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<sst xmlns="http://schemas.openxmlformats.org/spreadsheetml/2006/main" count="11797" uniqueCount="1523">
  <si>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</si>
  <si>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</si>
  <si>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</si>
  <si>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</si>
  <si>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</si>
  <si>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</si>
  <si>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</si>
  <si>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</si>
  <si>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</si>
  <si>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</si>
  <si>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</si>
  <si>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</si>
  <si>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</si>
  <si>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</si>
  <si>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</si>
  <si>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DOH of Comp Inv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</si>
  <si>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</si>
  <si>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</si>
  <si>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</si>
  <si>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</si>
  <si>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</si>
  <si>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</si>
  <si>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</si>
  <si>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</si>
  <si>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</si>
  <si>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</si>
  <si>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</si>
  <si>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</si>
  <si>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</si>
  <si>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</si>
  <si>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PL-IL-BTL16A-12</t>
  </si>
  <si>
    <t>Totals</t>
  </si>
  <si>
    <t>12/28 to 1/3</t>
  </si>
  <si>
    <t>Back in stock; waiting for PPEAK to sync</t>
  </si>
  <si>
    <t/>
  </si>
  <si>
    <t>1/4 to 1/10</t>
  </si>
  <si>
    <t>PPEAK $35.99 to $55.99 because large restock just hit</t>
  </si>
  <si>
    <t>UsLargeStandardSize</t>
  </si>
  <si>
    <t>1/11 to 1/17</t>
  </si>
  <si>
    <t>PPEAK $32.99 to $49.99 with a target velocity of 18</t>
  </si>
  <si>
    <t xml:space="preserve">#310;SW: 900 - 02/09/21 :  -  :  -  :  -  :  -  :  -  :  -  :  -  :  -  :  - :  -  :  -  :  -  :  -  :  -  :  -  :  -  :  -  :  - </t>
  </si>
  <si>
    <t>1/18 to 1/24</t>
  </si>
  <si>
    <t>Raised PPEAK by $1 to $33.99</t>
  </si>
  <si>
    <t>1/25 to 1/31</t>
  </si>
  <si>
    <t>Manually priced at $35.99 for A/B testing titles; lower prices didn't bring up sales so $35.99 is more ideal</t>
  </si>
  <si>
    <t>2/1 to 2/7</t>
  </si>
  <si>
    <t>Maintain</t>
  </si>
  <si>
    <t xml:space="preserve"> | #310: 900 - 02/12/21</t>
  </si>
  <si>
    <t>2/8 to 2/14</t>
  </si>
  <si>
    <t>A/B test ended - original main image won. PPeak set 33.99-49.99</t>
  </si>
  <si>
    <t>2/15 to 2/21</t>
  </si>
  <si>
    <t>Price scheduling was running somehow - delated so we can try lower prices</t>
  </si>
  <si>
    <t>2/22 to 2/28</t>
  </si>
  <si>
    <t>Continue with PPeak</t>
  </si>
  <si>
    <t>3/1 to 3/7</t>
  </si>
  <si>
    <t>Decreasing min to 31.99 (sharing buy box with OS and SS)</t>
  </si>
  <si>
    <t>3/8 to 3/14</t>
  </si>
  <si>
    <t>Maintain (sharing buy box with SS)</t>
  </si>
  <si>
    <t>3/15 to 3/21</t>
  </si>
  <si>
    <t>#390: 1328 - TBD</t>
  </si>
  <si>
    <t>3/22 to 3/28</t>
  </si>
  <si>
    <t>3/29 to 4/4</t>
  </si>
  <si>
    <t>4/5 to 4/11</t>
  </si>
  <si>
    <t>#390: 342 - 05/27/21</t>
  </si>
  <si>
    <t>4/12 to 4/18</t>
  </si>
  <si>
    <t>4/19 to 4/25</t>
  </si>
  <si>
    <t>4/26 to 5/2</t>
  </si>
  <si>
    <t>5/3 to 5/9</t>
  </si>
  <si>
    <t>5/10 to 5/16</t>
  </si>
  <si>
    <t>Sold out of other accounts - lowering min to 29.99 to improve sell through</t>
  </si>
  <si>
    <t>#390: 342 - 05/31/21</t>
  </si>
  <si>
    <t>5/17 to 5/23</t>
  </si>
  <si>
    <t>31.99-39.99 to get more $$$ out of units</t>
  </si>
  <si>
    <t>5/24 to 5/30</t>
  </si>
  <si>
    <t>33.99-39.99 to get more $$$ out of last units</t>
  </si>
  <si>
    <t>5/31 to 6/6</t>
  </si>
  <si>
    <t>Out</t>
  </si>
  <si>
    <t>6/7 to 6/13</t>
  </si>
  <si>
    <t>33.99-39.99</t>
  </si>
  <si>
    <t>6/14 to 6/20</t>
  </si>
  <si>
    <t>Velocity picking up - continue with PPeak</t>
  </si>
  <si>
    <t>| 415  - 658 units 07/07</t>
  </si>
  <si>
    <t>6/21 to 6/27</t>
  </si>
  <si>
    <t>Decreasing min to 31.99</t>
  </si>
  <si>
    <t>6/28 to 7/4</t>
  </si>
  <si>
    <t>Decreasing min to 29.99 (sharing buy box with OS)</t>
  </si>
  <si>
    <t xml:space="preserve"> | AGL253: 358 - </t>
  </si>
  <si>
    <t>7/5 to 7/11</t>
  </si>
  <si>
    <t>Maintain (300 units in OS)</t>
  </si>
  <si>
    <t>| S210704  - 300 units 09/17| AGL253 STAR - 358 units 11/01</t>
  </si>
  <si>
    <t>7/12 to 7/18</t>
  </si>
  <si>
    <t>PL-IL-BTL16C-12-A</t>
  </si>
  <si>
    <t>PPEAK $40.99 to $45.99 due to low DOH</t>
  </si>
  <si>
    <t>PPEAK $41.99 to $49.99 due to low DOH</t>
  </si>
  <si>
    <t>Maintain; from Caroline: #310;SW: 700 - 02/09/21</t>
  </si>
  <si>
    <t>#310;SW: 700 - 02/09/21 #342: 122 - 03/01/21</t>
  </si>
  <si>
    <t>Test price scheduling at $37.99</t>
  </si>
  <si>
    <t>#342;SW: 122 - 03/01/21</t>
  </si>
  <si>
    <t>Lowered PPEAK to $35.99 and turned PPC on (under beer bottles - manual)</t>
  </si>
  <si>
    <t>#342;SW: 122 - 03/19/21 | #343;SW: 360 - 03/19/21 | #310: 700 - 02/12/21</t>
  </si>
  <si>
    <t>Optimizing PPC and price scheduling at 33.99</t>
  </si>
  <si>
    <t>#342;SW: 122 - 03/24/21 | #343;SW: 360 - 03/24/21 | #310: 700 - 02/12/21</t>
  </si>
  <si>
    <t>Continue with price scheduling</t>
  </si>
  <si>
    <t>Set PPeak 29.99-39.99 and optimized PPC</t>
  </si>
  <si>
    <t>#342;SW: 122 - 03/24/21 | #343;SW: 360 - 03/24/21</t>
  </si>
  <si>
    <t>Optimizing PPC</t>
  </si>
  <si>
    <t xml:space="preserve"> | #343;SW: 360 - 03/25/21</t>
  </si>
  <si>
    <t>Increasing min to 32.99 and pausing PPC</t>
  </si>
  <si>
    <t>#390: 614 - TBD</t>
  </si>
  <si>
    <t>Increasing PPeak 34.99-41.99</t>
  </si>
  <si>
    <t>#390: 324 - 05/27/21</t>
  </si>
  <si>
    <t>Lowering min to 32.99</t>
  </si>
  <si>
    <t>34.99-41.99</t>
  </si>
  <si>
    <t>32.99-41.99</t>
  </si>
  <si>
    <t>29.99-39.99 to get velocity up since its well below target</t>
  </si>
  <si>
    <t>#390: 324 - 05/31/21 | #412: 800 - 07/13/21</t>
  </si>
  <si>
    <t>29.99-39.99 (plenty of labels and trying to get velocity back up to target)</t>
  </si>
  <si>
    <t xml:space="preserve"> | #412: 800 - 07/13/21</t>
  </si>
  <si>
    <t>Increasing min to 31.99 to get margin up and keep in stock until restock</t>
  </si>
  <si>
    <t xml:space="preserve"> | #412: 800 - 07/22/21</t>
  </si>
  <si>
    <t>Dropping min back to 29.99</t>
  </si>
  <si>
    <t>Decreasing min to 27.99 to get velocity up and increasing auto bid</t>
  </si>
  <si>
    <t>| 412  - 800 units 07/22</t>
  </si>
  <si>
    <t>Maintain for now</t>
  </si>
  <si>
    <t>Maintain - low sales probably due to holiday</t>
  </si>
  <si>
    <t xml:space="preserve"> | #412: 800 - 07/21/21</t>
  </si>
  <si>
    <t>Maintain - large restock about to hit</t>
  </si>
  <si>
    <t>| 412  - 800 units 07/16| AGL253 STAR - 210 units 11/01</t>
  </si>
  <si>
    <t>Increasing min to 29.99 pausing PPC</t>
  </si>
  <si>
    <t>PL-IL-BTL32A-6PK</t>
  </si>
  <si>
    <t>PPEAK $24.99 to $30.99</t>
  </si>
  <si>
    <t>PPEAK $26.99 to $30.99 due to low DOH</t>
  </si>
  <si>
    <t>PPEAK $29.99. to $39.99 due to low DOH; from Caroline: trouble producing</t>
  </si>
  <si>
    <t>Raised PPEAK min to $32.99 due to low DOH</t>
  </si>
  <si>
    <t>No sales; manually priced at $28.99 because of A/B testing</t>
  </si>
  <si>
    <t>Matched prices with SS at $28.99</t>
  </si>
  <si>
    <t>Prices werent matched - now both prices set at 28.99</t>
  </si>
  <si>
    <t>Price matched with SS</t>
  </si>
  <si>
    <t>Selling out so that SS can have the buy box</t>
  </si>
  <si>
    <t>Stranded - case in (selling in SS)</t>
  </si>
  <si>
    <t xml:space="preserve"> | #412: 150 - 07/13/21</t>
  </si>
  <si>
    <t xml:space="preserve"> | #412: 150 - 07/13/21 | AGL211: 220 - 07/09/21</t>
  </si>
  <si>
    <t xml:space="preserve"> | #412: 150 - 07/22/21 | AGL211: 220 - 07/15/21</t>
  </si>
  <si>
    <t xml:space="preserve"> | #412: 150 - 07/22/21 | AGL211: 220 - 07/17/21</t>
  </si>
  <si>
    <t>| AGL211  - 220 units 07/17| 412  - 150 units 07/22</t>
  </si>
  <si>
    <t xml:space="preserve"> | #412: 150 - 07/21/21 | AGL211: 220 - 07/17/21</t>
  </si>
  <si>
    <t>| 412  - 150 units 07/16| AGL211  - 220 units 07/23</t>
  </si>
  <si>
    <t>Pricing at 25.99 and Justin is putting this back on the parent listing</t>
  </si>
  <si>
    <t>PL-IL-BTL32C-6PK</t>
  </si>
  <si>
    <t>PPEAK $30.99 to $35.99 due to low DOH</t>
  </si>
  <si>
    <t xml:space="preserve">
#310;SW: 60 - 02/06/21</t>
  </si>
  <si>
    <t>#310;SW: 60 - 02/09/21 #342: 90 - TBD</t>
  </si>
  <si>
    <t>#310;SW: 60 - 02/09/21 #342: 90 - 03/01/21</t>
  </si>
  <si>
    <t>Raised PPEAK min by $1 to $31.99</t>
  </si>
  <si>
    <t>#342;SW: 90 - 03/01/21</t>
  </si>
  <si>
    <t>Matched prices with SS at $29.99</t>
  </si>
  <si>
    <t>#342;SW: 90 - 03/19/21 | #343;SW: 150 - 03/19/21 | #310: 60 - 02/12/21</t>
  </si>
  <si>
    <t>Decreasing price to 26.99</t>
  </si>
  <si>
    <t>#342;SW: 90 - 03/24/21 | #343;SW: 150 - 03/24/21 | #310: 60 - 02/12/21</t>
  </si>
  <si>
    <t>Decreasing price to 25.99</t>
  </si>
  <si>
    <t>Continue at 25.99 - also selling in SS</t>
  </si>
  <si>
    <t>#342;SW: 90 - 03/24/21 | #343;SW: 150 - 03/24/21</t>
  </si>
  <si>
    <t>1 unit left (then selling in SS)</t>
  </si>
  <si>
    <t xml:space="preserve"> | #343;SW: 150 - 03/25/21</t>
  </si>
  <si>
    <t>#390: 3 - TBD</t>
  </si>
  <si>
    <t>Out (selling in SS)</t>
  </si>
  <si>
    <t>Restocked - continue at 25.99 (sharing buy box with SS)</t>
  </si>
  <si>
    <t>Continue at 25.99 (sharing buy box with SS)</t>
  </si>
  <si>
    <t>Continue at 25.99 (sharing buy box with SS and on excess in SS so its priced lower)</t>
  </si>
  <si>
    <t>Sold out of SS so this has buy box now</t>
  </si>
  <si>
    <t>Pricing at 22.99</t>
  </si>
  <si>
    <t>Continue at 22.99</t>
  </si>
  <si>
    <t>| 415  - 243 units 07/07</t>
  </si>
  <si>
    <t xml:space="preserve"> | AGL253: 183 - </t>
  </si>
  <si>
    <t>24.99-29.99 on 7/15</t>
  </si>
  <si>
    <t>| S210704  - 60 units 09/17| AGL253 STAR - 183 units 11/01</t>
  </si>
  <si>
    <t>Replacements? 25.99-31.99</t>
  </si>
  <si>
    <t>PL-IL-SQBTL8C-12PK</t>
  </si>
  <si>
    <t>PPEAK $31.99 to $39.99 due to low DOH</t>
  </si>
  <si>
    <t xml:space="preserve">
#310;SW: 34 - 02/06/21</t>
  </si>
  <si>
    <t>#310;SW: 34 - 02/09/21 #342: 672 - TBD</t>
  </si>
  <si>
    <t>#310;SW: 34 - 02/09/21 #342: 672 - 03/01/21</t>
  </si>
  <si>
    <t>Lowered PPEAK min by $1 to $30.99</t>
  </si>
  <si>
    <t>#342;SW: 672 - 03/01/21</t>
  </si>
  <si>
    <t>Lowered PPEAK min by $2 to $28.99 with a target velocity of 15</t>
  </si>
  <si>
    <t>#342;SW: 672 - 03/19/21 | #343;SW: 700 - 03/19/21 | #310: 34 - 02/12/21</t>
  </si>
  <si>
    <t>Decreasing min to 25.99 - turned on auto campaign with a $5 budget</t>
  </si>
  <si>
    <t>#342;SW: 672 - 03/24/21 | #343;SW: 700 - 03/24/21 | #310: 34 - 02/12/21</t>
  </si>
  <si>
    <t>Pausing PPC</t>
  </si>
  <si>
    <t>Increasing min to 27.99</t>
  </si>
  <si>
    <t>#342;SW: 672 - 03/24/21 | #343;SW: 700 - 03/24/21</t>
  </si>
  <si>
    <t>Increasing min to 28.99</t>
  </si>
  <si>
    <t xml:space="preserve"> | #343;SW: 700 - 03/25/21</t>
  </si>
  <si>
    <t>Increasing min to 30.99</t>
  </si>
  <si>
    <t>#390: 628 - TBD</t>
  </si>
  <si>
    <t>PPeak 24.99-35.99 - enabled auto PPC</t>
  </si>
  <si>
    <t>Increasing min to 25.99</t>
  </si>
  <si>
    <t>#390: 100 - 05/27/21</t>
  </si>
  <si>
    <t>Pausing PPC - increasing PPeak 27.99-35.99</t>
  </si>
  <si>
    <t>28.99-35.99</t>
  </si>
  <si>
    <t>26.99-35.99</t>
  </si>
  <si>
    <t>Price scheduling at 24.99 to get velocity to target and improve DOH/sell through</t>
  </si>
  <si>
    <t>#390: 100 - 05/31/21</t>
  </si>
  <si>
    <t>Price scheduling at 24.99 to get velocity to target</t>
  </si>
  <si>
    <t>Continue with price scheduling and increasing PPC budget</t>
  </si>
  <si>
    <t>Taking off of price scheduling and decreasing PPC budget to prolong stock</t>
  </si>
  <si>
    <t>Increasing PPC budget to $8</t>
  </si>
  <si>
    <t>| 415  - 800 units 07/07</t>
  </si>
  <si>
    <t xml:space="preserve"> | AGL253: 800 - </t>
  </si>
  <si>
    <t>Increasing min to 27.99 and trimming PPC</t>
  </si>
  <si>
    <t>| S210703  - 450 units 09/17| AGL253 STAR - 700 units 11/01</t>
  </si>
  <si>
    <t>Increasing min to 29.99</t>
  </si>
  <si>
    <t>PL-IL-GRO64A-2PK</t>
  </si>
  <si>
    <t>Closed; from Caroline: AGL164 1/16 or sooner</t>
  </si>
  <si>
    <t>AGL164: 351 - 01/09/21</t>
  </si>
  <si>
    <t>AGL164: 351 - 01/16/21</t>
  </si>
  <si>
    <t>PPEAK $23.99 to $35.99</t>
  </si>
  <si>
    <t>Maintain (pricing aligns with Barcaloo)</t>
  </si>
  <si>
    <t>Increasing to 27.99</t>
  </si>
  <si>
    <t>Decreasing back to 26.99 to improve sell through</t>
  </si>
  <si>
    <t>Decreasing price to 23.99 (BCL at 19.99) to improve sell through</t>
  </si>
  <si>
    <t>5 units left - maintain to sell out (high on inventory age)</t>
  </si>
  <si>
    <t xml:space="preserve"> | AGL211: 300 - 07/09/21</t>
  </si>
  <si>
    <t xml:space="preserve"> | AGL211: 300 - 07/15/21</t>
  </si>
  <si>
    <t xml:space="preserve"> | AGL211: 300 - 07/17/21</t>
  </si>
  <si>
    <t>| AGL211  - 300 units 07/17</t>
  </si>
  <si>
    <t>| AGL211  - 300 units 07/23</t>
  </si>
  <si>
    <t>PL-IL-GRO64A-3PK</t>
  </si>
  <si>
    <t>AGL164: 156 - 01/09/21</t>
  </si>
  <si>
    <t>AGL164: 156 - 01/16/21</t>
  </si>
  <si>
    <t>Relisted</t>
  </si>
  <si>
    <t>PPEAK $38.99 to $49.99</t>
  </si>
  <si>
    <t xml:space="preserve">Lowered PPEAK min by $2 to $36.99 </t>
  </si>
  <si>
    <t>Decreasing PPeak 29.99-39.99</t>
  </si>
  <si>
    <t>Price scheduling at 29.99</t>
  </si>
  <si>
    <t>Deleted price schedule</t>
  </si>
  <si>
    <t>Increasing min to 31.99 (BCL 3 Pack set at 29.99)</t>
  </si>
  <si>
    <t>Increasing min to 32.99 (BCL 3 Pack set at 29.99)</t>
  </si>
  <si>
    <t>Increasing min to 33.99</t>
  </si>
  <si>
    <t>Increasing min to 34.99</t>
  </si>
  <si>
    <t>36.99-42.99</t>
  </si>
  <si>
    <t xml:space="preserve"> | AGL211: 100 - 07/09/21</t>
  </si>
  <si>
    <t xml:space="preserve"> | AGL211: 100 - 07/15/21</t>
  </si>
  <si>
    <t xml:space="preserve"> | AGL211: 100 - 07/17/21</t>
  </si>
  <si>
    <t>| AGL211  - 100 units 07/17</t>
  </si>
  <si>
    <t xml:space="preserve"> | AGL211: 102 - 07/17/21</t>
  </si>
  <si>
    <t>| AGL211  - 100 units 07/23</t>
  </si>
  <si>
    <t>PL-IL-CM30X48LW-A-RL</t>
  </si>
  <si>
    <t>Price scheduling at 25.99 (also added a target of 4 for when price scheduling ends)</t>
  </si>
  <si>
    <t>AGL162: 245 - 01/25/21</t>
  </si>
  <si>
    <t>UsSmallOversize</t>
  </si>
  <si>
    <t>AGL162: 245 - 02/05/21</t>
  </si>
  <si>
    <t>Decreasing min to 24.99 and turning on auto PPC (about to have over 250 DOH)</t>
  </si>
  <si>
    <t>AGL162: 245 - 01/31/21</t>
  </si>
  <si>
    <t>New strategy in place - Sean optimized PPC</t>
  </si>
  <si>
    <t>AGL162: 245 - 02/06/21</t>
  </si>
  <si>
    <t>New strategy in place - Sean optimized PPC and new inventory just hit</t>
  </si>
  <si>
    <t>Price scheduling at 22.99 and enabled manual campagin with $5 budget</t>
  </si>
  <si>
    <t>Set to 22.99, optimizing PPC and set up a/b test for main image</t>
  </si>
  <si>
    <t>Increasing $1 to 24.99</t>
  </si>
  <si>
    <t>Increasing $1 to 25.99</t>
  </si>
  <si>
    <t>Maintain at 25.99</t>
  </si>
  <si>
    <t>AGL197: 124 - 05/24/21</t>
  </si>
  <si>
    <t>PPeak 24.99-29.99</t>
  </si>
  <si>
    <t>23.99-29.99</t>
  </si>
  <si>
    <t>19.99-25.99 to improve sell through and prep for new stock</t>
  </si>
  <si>
    <t>AGL 197: 124 - 05/26/21 | AGL 232: 200 - TBD</t>
  </si>
  <si>
    <t>Pricing back up to 21.99-27.99 because shipment got delayed 3 weeks</t>
  </si>
  <si>
    <t>AGL 197: 124 - 06/15/21 | AGL 232: 200 - 07/06/21</t>
  </si>
  <si>
    <t>23.99-29.99 to prolong stock since shipment got pushed back</t>
  </si>
  <si>
    <t>AGL197: 124 - 06/20/21 | AGL232: 200 - 07/06/21</t>
  </si>
  <si>
    <t>AGL197: 124 - 06/30/21 | AGL232: 200 - 07/19/21</t>
  </si>
  <si>
    <t>23.99-29.99 with $2 off coupon</t>
  </si>
  <si>
    <t>AGL232: 200 - 07/19/21</t>
  </si>
  <si>
    <t>Enabling auto campaign</t>
  </si>
  <si>
    <t>| AGL232  - 200 units 07/19</t>
  </si>
  <si>
    <t>Optimizing PPC (increase low bid campaign to .50)</t>
  </si>
  <si>
    <t>Turning off nonconverters and high click keywords to get ad spend % down and margin up - enabling $2 coupon again</t>
  </si>
  <si>
    <t>AGL232: 200 - 07/22/21</t>
  </si>
  <si>
    <t>Almost to target - optimizing PPC (24.99 min 7/15)</t>
  </si>
  <si>
    <t>| AGL232  - 200 units 07/22</t>
  </si>
  <si>
    <t>Pausing auto campaign and increasing PPeak to 26.99-31.99</t>
  </si>
  <si>
    <t>PL-IL-CM30X48RW-2PK-FN-RL</t>
  </si>
  <si>
    <t>Sales jumped from 8 to 20 WoW. Continuing with PPeak and increased PPC</t>
  </si>
  <si>
    <t>AGL162: 289 - 01/25/21</t>
  </si>
  <si>
    <t>AGL162: 289 - 02/05/21</t>
  </si>
  <si>
    <t>Optimizing PPC - adding target and decreasing min to 37.99 (large restock about to hit)</t>
  </si>
  <si>
    <t>AGL162: 289 - 01/31/21</t>
  </si>
  <si>
    <t xml:space="preserve">AGL162: 289 - 02/06/21 </t>
  </si>
  <si>
    <t>Decreased price to 35.99</t>
  </si>
  <si>
    <t>Price scheduling at 34.99 - enabled auto campaign with $5 budget</t>
  </si>
  <si>
    <t>Continue price scheduling at 34.99</t>
  </si>
  <si>
    <t>Increasing $1 to 35.99</t>
  </si>
  <si>
    <t>Increasing $1 to 36.99</t>
  </si>
  <si>
    <t>PPeak enabled again (maintain 36.99-49.99)</t>
  </si>
  <si>
    <t>Increasing min to 37.99</t>
  </si>
  <si>
    <t>AGL197: 281 - 05/24/21</t>
  </si>
  <si>
    <t>36.99-45.99</t>
  </si>
  <si>
    <t>34.99-45.99</t>
  </si>
  <si>
    <t>31.99-39.99 to improve sell through and prep for new stock</t>
  </si>
  <si>
    <t>AGL 197: 281 - 05/26/21 | AGL 232: 200 - TBD</t>
  </si>
  <si>
    <t>83 units in processing</t>
  </si>
  <si>
    <t>AGL 197: 281 - 06/15/21 | AGL 232: 200 - 07/06/21</t>
  </si>
  <si>
    <t>Units out of processing - 33.99-39.99 to prolong stock and pausing PPC (shipment got pushed back)</t>
  </si>
  <si>
    <t>AGL197: 281 - 06/20/21 | AGL232: 200 - 07/06/21</t>
  </si>
  <si>
    <t>35.99-41.99 to prolong stock</t>
  </si>
  <si>
    <t>AGL197: 281 - 06/30/21 | AGL232: 200 - 07/19/21</t>
  </si>
  <si>
    <t>33.99-41.99 with $2 off coupon</t>
  </si>
  <si>
    <t>Optimizing PPC (increase low bid to .50)</t>
  </si>
  <si>
    <t>Further increasing low bid campaign bid - enabling $2 coupon again and increased budget of auto campaign (think about kick starting but pricing even lower/at a loss)</t>
  </si>
  <si>
    <t>Almost to target - optimizing PPC (33.99 min 7/15)</t>
  </si>
  <si>
    <t>Heavily trimming PPC and increasing min to 35.99</t>
  </si>
  <si>
    <t>PL-IL-CM30X48RW-RL</t>
  </si>
  <si>
    <t>Trimming PPC and increasing min to 28.99</t>
  </si>
  <si>
    <t>Adding a target and decreasing min to 25.99 (large restock about to hit)</t>
  </si>
  <si>
    <t>AGL162: 1184 - 01/31/21</t>
  </si>
  <si>
    <t xml:space="preserve">AGL162: 1184 - 02/06/21 </t>
  </si>
  <si>
    <t>Price scheduling at 23.99</t>
  </si>
  <si>
    <t>Continue price scheduling at 23.99</t>
  </si>
  <si>
    <t>Increasing $2 to 27.99</t>
  </si>
  <si>
    <t>PPeak enabled again (maintain 25.99-37.99)</t>
  </si>
  <si>
    <t>Increasing PPeak min to 26.99</t>
  </si>
  <si>
    <t xml:space="preserve">Continue with PPeak </t>
  </si>
  <si>
    <t xml:space="preserve">Trimming PPC  </t>
  </si>
  <si>
    <t>AGL197: 558 - 05/24/21</t>
  </si>
  <si>
    <t>26.99-37.99 to improve sell through and prep for new stock</t>
  </si>
  <si>
    <t>24.99-29.99 to improve sell through and prep for new stock</t>
  </si>
  <si>
    <t>AGL 197: 558 - 05/26/21 | AGL 232: 900 - TBD</t>
  </si>
  <si>
    <t>AGL 197: 558 - 06/15/21 | AGL 232: 900 - 07/06/21</t>
  </si>
  <si>
    <t>AGL197: 558 - 06/20/21 | AGL232: 900 - 07/06/21</t>
  </si>
  <si>
    <t>AGL197: 558 - 06/30/21 | AGL232: 900 - 07/19/21</t>
  </si>
  <si>
    <t>24.99-29.99 with $2 off coupon</t>
  </si>
  <si>
    <t>AGL232: 900 - 07/19/21</t>
  </si>
  <si>
    <t>Enabling auto PPC</t>
  </si>
  <si>
    <t>| AGL232  - 900 units 07/19</t>
  </si>
  <si>
    <t>Further increasing low bid campaign bid - enabling $2 coupon again and negating more keywords</t>
  </si>
  <si>
    <t>AGL232: 900 - 07/22/21</t>
  </si>
  <si>
    <t>| AGL232  - 900 units 07/22</t>
  </si>
  <si>
    <t>Trimming PPC and increasing PPeak 26.99-31.99</t>
  </si>
  <si>
    <t>PL-IL-CM36X48LW-A-RL</t>
  </si>
  <si>
    <t>Adding a target of 5 for now and optimizing PPC</t>
  </si>
  <si>
    <t>Price scheduling at 26.99</t>
  </si>
  <si>
    <t>Price scheduling at 25.99</t>
  </si>
  <si>
    <t>Decreasing min to 23.99</t>
  </si>
  <si>
    <t>Replacement unit makes this show as negative. Optimizing PPC</t>
  </si>
  <si>
    <t>Continue price scheduling at 23.99 and optimizing manual PPC</t>
  </si>
  <si>
    <t>Increasing price $2 to 25.99</t>
  </si>
  <si>
    <t>Increasing price $2 to 27.99</t>
  </si>
  <si>
    <t>Continue at 27.99</t>
  </si>
  <si>
    <t>Continue at 27.99 - optimizing PPC</t>
  </si>
  <si>
    <t>Decreasing to 25.99 (high on inventory age)</t>
  </si>
  <si>
    <t>AGL197: 280 - 05/24/21</t>
  </si>
  <si>
    <t>Increasing budget of auto campaign (high on inventory age report) - PPeak 23.99-29.99</t>
  </si>
  <si>
    <t>22.99-29.99 (high on inventory age)</t>
  </si>
  <si>
    <t>21.99-25.99 to improve sell through and prep for new stock</t>
  </si>
  <si>
    <t>AGL 197: 280 - 05/26/21 | AGL 232: 250 - TBD</t>
  </si>
  <si>
    <t>Pricing back up to 23.99-27.99 and pausing PPC because shipment got delayed 3 weeks</t>
  </si>
  <si>
    <t>AGL 197: 280 - 06/15/21 | AGL 232: 250 - 07/06/21</t>
  </si>
  <si>
    <t>25.99-31.99 to prolong stock</t>
  </si>
  <si>
    <t>AGL197: 280 - 06/20/21 | AGL232: 250 - 07/06/21</t>
  </si>
  <si>
    <t>AGL197: 280 - 06/30/21 | AGL232: 250 - 07/19/21</t>
  </si>
  <si>
    <t>Adding a $2 off coupon</t>
  </si>
  <si>
    <t>AGL232: 250 - 07/19/21</t>
  </si>
  <si>
    <t>Lowering min to 25.99</t>
  </si>
  <si>
    <t>| AGL232  - 250 units 07/19</t>
  </si>
  <si>
    <t>Further increasing low bid campaign bid - enabling $2 coupon again (think about lowering price and promotions for chair/desk mats)</t>
  </si>
  <si>
    <t>AGL232: 250 - 07/22/21</t>
  </si>
  <si>
    <t>| AGL232  - 250 units 07/22</t>
  </si>
  <si>
    <t>PPeak 27.99-33.99</t>
  </si>
  <si>
    <t>PL-IL-CM36X48RW-2PK-FN-RL</t>
  </si>
  <si>
    <t>AGL162: 480 - 01/25/21</t>
  </si>
  <si>
    <t>Optimizing PPC and adding a target of 10 for now</t>
  </si>
  <si>
    <t>AGL162: 480 - 02/05/21</t>
  </si>
  <si>
    <t>Decreasing min to 45.99</t>
  </si>
  <si>
    <t>AGL162: 480 - 01/31/21</t>
  </si>
  <si>
    <t>AGL162: 480 - 02/06/21</t>
  </si>
  <si>
    <t>Price scheduling at 39.99</t>
  </si>
  <si>
    <t>Continue price scheduling at 39.99</t>
  </si>
  <si>
    <t>Increasing price $2 to 42.99</t>
  </si>
  <si>
    <t>Increasing price $2 to 44.99</t>
  </si>
  <si>
    <t>Increasing price to 45.99</t>
  </si>
  <si>
    <t>Increasing price to 46.99</t>
  </si>
  <si>
    <t>Maintain at 46.99</t>
  </si>
  <si>
    <t>Enabled PPeak 47.99-55.99</t>
  </si>
  <si>
    <t>PPeak didnt stick - enabled again</t>
  </si>
  <si>
    <t>AGL197: 525 - 05/24/21</t>
  </si>
  <si>
    <t>49.99-55.99</t>
  </si>
  <si>
    <t>39.99-49.99 to get velocity up (prep for new stock)</t>
  </si>
  <si>
    <t>AGL 197: 525 - 05/26/21 | AGL 232: 700 - TBD</t>
  </si>
  <si>
    <t>AGL 197: 525 - 06/15/21 | AGL 232: 700 - 07/06/21</t>
  </si>
  <si>
    <t>AGL197: 525 - 06/20/21 | AGL232: 700 - 07/06/21</t>
  </si>
  <si>
    <t>AGL197: 525 - 06/30/21 | AGL232: 700 - 07/19/21</t>
  </si>
  <si>
    <t>AGL232: 700 - 07/19/21</t>
  </si>
  <si>
    <t>Lowering min to 39.99</t>
  </si>
  <si>
    <t>| AGL232  - 700 units 07/19</t>
  </si>
  <si>
    <t xml:space="preserve">Created an isolation campaign </t>
  </si>
  <si>
    <t>Isolation campaign performing well - Further increasing low bid campaign bid and enabling $2 coupon again (push harder with PPC)</t>
  </si>
  <si>
    <t>AGL232: 700 - 07/22/21</t>
  </si>
  <si>
    <t>Increasing budgets and low bid</t>
  </si>
  <si>
    <t>| AGL232  - 700 units 07/22</t>
  </si>
  <si>
    <t>Trimming PPC and increasing min to 41.99</t>
  </si>
  <si>
    <t>PL-IL-CM36X48RW-RL</t>
  </si>
  <si>
    <t>Adding a target of 25 for now</t>
  </si>
  <si>
    <t>Decreasing min to 26.99 and optimizing PPC</t>
  </si>
  <si>
    <t>AGL162: 760 - 01/31/21</t>
  </si>
  <si>
    <t>AGL162: 760 - 02/06/21</t>
  </si>
  <si>
    <t>Price scheduling at 24.99</t>
  </si>
  <si>
    <t>Set price to 24.99 and running a/b test on main iamge</t>
  </si>
  <si>
    <t>Increasing price $1 to 28.99</t>
  </si>
  <si>
    <t>Increasing price $2 to 30.99</t>
  </si>
  <si>
    <t>Increasing to 32.99</t>
  </si>
  <si>
    <t>Decreasing budget to $5</t>
  </si>
  <si>
    <t>Increasing to 33.99</t>
  </si>
  <si>
    <t>Enabled PPeak 34.99-39.99</t>
  </si>
  <si>
    <t>AGL197: 1700 - 05/24/21</t>
  </si>
  <si>
    <t>31.99-39.99</t>
  </si>
  <si>
    <t>26.99-31.99 to get velocity up (prep for new stock)</t>
  </si>
  <si>
    <t>AGL 197: 1700 - 05/26/21 | AGL 232: 2250 - TBD</t>
  </si>
  <si>
    <t>AGL 197: 1700 - 06/15/21 | AGL 232: 2250 - 07/06/21</t>
  </si>
  <si>
    <t>AGL197: 1700 - 06/20/21 | AGL232: 2250 - 07/06/21</t>
  </si>
  <si>
    <t>AGL197: 1700 - 06/30/21 | AGL232: 2250 - 07/19/21</t>
  </si>
  <si>
    <t>AGL232: 2250 - 07/19/21</t>
  </si>
  <si>
    <t>Enabling Display Cobalt Test and optimizing PPC</t>
  </si>
  <si>
    <t>| AGL232  - 2250 units 07/19</t>
  </si>
  <si>
    <t>Further increasing low bid campaign bid - enabling $2 coupon again (push harder with PPC - increase budgets)</t>
  </si>
  <si>
    <t>AGL232: 2250 - 07/22/21</t>
  </si>
  <si>
    <t>Increasing PPC budgets</t>
  </si>
  <si>
    <t>| AGL232  - 2250 units 07/22</t>
  </si>
  <si>
    <t>Optimizing PPC - HUGE restock coming in</t>
  </si>
  <si>
    <t>PL-IL-CM59X47RW</t>
  </si>
  <si>
    <t>Trimming PPC</t>
  </si>
  <si>
    <t>Added a target and decreased min to 35.99 (large restock hitting) - enabled auto PPC</t>
  </si>
  <si>
    <t>AGL162: 1100 - 01/31/21</t>
  </si>
  <si>
    <t xml:space="preserve">AGL162: 1100 - 02/06/21 </t>
  </si>
  <si>
    <t>Price scheduling at 33.99 - enabled auto campaign with $5 budget</t>
  </si>
  <si>
    <t>Continue with price scheduling at 33.99</t>
  </si>
  <si>
    <t>Increasing price $1 to 35.99</t>
  </si>
  <si>
    <t>Increasing min to 35.99 (PPeak enabled again)</t>
  </si>
  <si>
    <t>Increasing PPeak 37.99-47.99</t>
  </si>
  <si>
    <t>AGL197: 902 - 05/24/21</t>
  </si>
  <si>
    <t>35.99-47.99 and increasing PPC budget</t>
  </si>
  <si>
    <t>31.99-36.99 to improve sell through and prep for new stock</t>
  </si>
  <si>
    <t>AGL 197: 902 - 05/26/21 | AGL 232: 600 - TBD</t>
  </si>
  <si>
    <t>33.99-39.99 and trimmed PPC budget because shipment got delayed 3 weeks</t>
  </si>
  <si>
    <t>AGL 197: 902 - 06/15/21 | AGL 232: 600 - 07/06/21</t>
  </si>
  <si>
    <t>35.99-41.99 and pausing PPC to prolong stock since shipment got pushed back</t>
  </si>
  <si>
    <t>AGL197: 902 - 06/20/21 | AGL232: 600 - 07/06/21</t>
  </si>
  <si>
    <t>37.99-43.99 to prolong stock</t>
  </si>
  <si>
    <t>AGL197: 902 - 06/30/21 | AGL232: 600 - 07/19/21</t>
  </si>
  <si>
    <t>34.99-39.99 with $2 off coupon and enabled PPC</t>
  </si>
  <si>
    <t>AGL232: 600 - 07/19/21</t>
  </si>
  <si>
    <t>Enabling manual campaign</t>
  </si>
  <si>
    <t>| AGL232  - 600 units 07/19</t>
  </si>
  <si>
    <t>AGL232: 600 - 07/22/21</t>
  </si>
  <si>
    <t>Need to increase price because of increased landed cost PPeak 37.99-45.99 - still can spend more on PPC here so increasing budgets</t>
  </si>
  <si>
    <t>| AGL232  - 600 units 07/22</t>
  </si>
  <si>
    <t>PL-IL-DM17X28PU-EGBK</t>
  </si>
  <si>
    <t>Increasing PPeak 13.99-17.99</t>
  </si>
  <si>
    <t>Increasing PPeak 14.99-19.99</t>
  </si>
  <si>
    <t>Increasing min to 15.99</t>
  </si>
  <si>
    <t>Increasing min to 16.99</t>
  </si>
  <si>
    <t>Out (closed)</t>
  </si>
  <si>
    <t>AGL204: 180 - 05/27/21</t>
  </si>
  <si>
    <t>AGL 204: 180 - TBD</t>
  </si>
  <si>
    <t>AGL204: 180 - 06/04/21</t>
  </si>
  <si>
    <t>AGL204: 180 - 06/17/21</t>
  </si>
  <si>
    <t>No Transit, But 320 At Factory 50-75 days from Earliest Arrival</t>
  </si>
  <si>
    <t>Pricing at 8.99</t>
  </si>
  <si>
    <t>Continue at 8.99</t>
  </si>
  <si>
    <t>No Transit, But 324 At Factory 50-75 days from Earliest Arrival</t>
  </si>
  <si>
    <t>PL-IL-DM17X28PU-GRBH</t>
  </si>
  <si>
    <t>Increasing min to 10.99</t>
  </si>
  <si>
    <t>Increasing PPeak 11.99-15.99</t>
  </si>
  <si>
    <t>Increasing PPeak 13.99-19.99</t>
  </si>
  <si>
    <t>Increasing min to 14.99</t>
  </si>
  <si>
    <t>AGL204: 144 - 05/27/21</t>
  </si>
  <si>
    <t>AGL 204: 144 - TBD</t>
  </si>
  <si>
    <t>AGL204: 144 - 06/04/21</t>
  </si>
  <si>
    <t>AGL204: 144 - 06/17/21</t>
  </si>
  <si>
    <t>No Transit, But 196 At Factory 50-75 days from Earliest Arrival</t>
  </si>
  <si>
    <t>Pricing didnt correctly stick - pricing at 7.99</t>
  </si>
  <si>
    <t>No Transit, But 360 At Factory 50-75 days from Earliest Arrival</t>
  </si>
  <si>
    <t>Catch all spend - maintain</t>
  </si>
  <si>
    <t>PL-IL-DM17X36FELT-BK</t>
  </si>
  <si>
    <t>Price scheduling worked well! Continuing price scheduling at 11.99</t>
  </si>
  <si>
    <t>Continuing price scheduling</t>
  </si>
  <si>
    <t>Discontinued price scheduling to test higher prices in PPeak</t>
  </si>
  <si>
    <t>Continue with PPeak (less eyes on this listing since the grey variation is out of stock)</t>
  </si>
  <si>
    <t>PPeak 9.99-13.99 with target of 3</t>
  </si>
  <si>
    <t>Continue with PPeak - added a $1 off coupon and a creative request to lighten the lifestyle so its easier to see</t>
  </si>
  <si>
    <t>Continue with PPeak and $1 off coupon - enabled some PPC to get sessions up since the grey (best seller) is out of stock</t>
  </si>
  <si>
    <t>Paused PPC - continue at 9.99 and activating coupon again</t>
  </si>
  <si>
    <t>Continue at 9.99 with coupon</t>
  </si>
  <si>
    <t>AGL204: 120 - 05/27/21</t>
  </si>
  <si>
    <t>Price scheduling at 7.99 to help sell through</t>
  </si>
  <si>
    <t>AGL 204: 120 - TBD</t>
  </si>
  <si>
    <t>Adding $1 coupon back on to sell through last units</t>
  </si>
  <si>
    <t>Looks like coupon is slightly helping - continue at 7.99 with coupon to sell through last units</t>
  </si>
  <si>
    <t>AGL204: 120 - 06/04/21</t>
  </si>
  <si>
    <t>Continue at 7.99 with coupon to sell through last units</t>
  </si>
  <si>
    <t>AGL204: 120 - 06/17/21</t>
  </si>
  <si>
    <t>Submitted outlet deal</t>
  </si>
  <si>
    <t>No Transit, But 738 At Factory 50-75 days from Earliest Arrival</t>
  </si>
  <si>
    <t>Increased to 11.99 for increased perceived value</t>
  </si>
  <si>
    <t>Price decreased back to 7.99 - price scheduling at 11.99 with $2 off coupon</t>
  </si>
  <si>
    <t>No Transit, But 750 At Factory 50-75 days from Earliest Arrival</t>
  </si>
  <si>
    <t>PPeak 7.99-13.99</t>
  </si>
  <si>
    <t>PL-IL-DM17X36NFELT-GRY</t>
  </si>
  <si>
    <t>Increasing PPeak 17.99-25.99</t>
  </si>
  <si>
    <t>Increasing min to 19.99</t>
  </si>
  <si>
    <t>Continue with PPeak (priced a lot higher than black felt mat)</t>
  </si>
  <si>
    <t>Increasing min to 21.99</t>
  </si>
  <si>
    <t>AGL204: 240 - 05/27/21</t>
  </si>
  <si>
    <t>AGL 204: 240 - TBD</t>
  </si>
  <si>
    <t>AGL204: 240 - 06/04/21</t>
  </si>
  <si>
    <t>AGL204: 240 - 06/17/21</t>
  </si>
  <si>
    <t>Priced at 9.99 and enabled PPC</t>
  </si>
  <si>
    <t>No Transit, But 690 At Factory 50-75 days from Earliest Arrival</t>
  </si>
  <si>
    <t>Pausing PPC - increasing price to 13.99 for increased perceived value</t>
  </si>
  <si>
    <t>No Transit, But 630 At Factory 50-75 days from Earliest Arrival</t>
  </si>
  <si>
    <t>Enabling PPC with $5 budget</t>
  </si>
  <si>
    <t>PL-IL-DM17X36PU-BHMV</t>
  </si>
  <si>
    <t>Price scheduling at 11.99</t>
  </si>
  <si>
    <t>Continue price scheduling</t>
  </si>
  <si>
    <t>11.99 price scheduling is showing as 15.99 for some reason - pausing PPeak and manually setting price at 11.99</t>
  </si>
  <si>
    <t>Continue at 11.99</t>
  </si>
  <si>
    <t>Dropping to 10.99</t>
  </si>
  <si>
    <t>Continue at 10.99</t>
  </si>
  <si>
    <t>Enabled PPeak 9.99-16.99 and enabled Seans sponsored brands campaign</t>
  </si>
  <si>
    <t>Price scheduling at 9.99 and enabled auto PPC with $5 budget</t>
  </si>
  <si>
    <t>35 units left on excess - added more relevent search terms to back end</t>
  </si>
  <si>
    <t>Deleting price scheduling and added a $1 off coupon - set up new manual campaign targeting converters, updated title</t>
  </si>
  <si>
    <t>Pausing PPC (hoping now that larger mats are in, more eyes will get to this listing without PPC)</t>
  </si>
  <si>
    <t>AGL204: 60 - 05/27/21</t>
  </si>
  <si>
    <t>Continue at 9.99 (reactivating coupon)</t>
  </si>
  <si>
    <t>Price scheduling at 8.99 with coupon to improve sell through and DOH - enabled auto PPC with $5 budget</t>
  </si>
  <si>
    <t>AGL 204: 60 - TBD</t>
  </si>
  <si>
    <t>Pausing PPC to help margin</t>
  </si>
  <si>
    <t>Continue at 8.99 with coupon to sell through last units</t>
  </si>
  <si>
    <t>AGL204: 60 - 06/04/21</t>
  </si>
  <si>
    <t>Liquidating last units</t>
  </si>
  <si>
    <t>AGL204: 60 - 06/17/21</t>
  </si>
  <si>
    <t>Liquidated last units - maintain price at 8.99 for new units</t>
  </si>
  <si>
    <t>No Transit, But 150 At Factory 50-75 days from Earliest Arrival</t>
  </si>
  <si>
    <t>Readded $1 off coupon</t>
  </si>
  <si>
    <t xml:space="preserve">Continue at 8.99 with coupon   </t>
  </si>
  <si>
    <t>No Transit, But 120 At Factory 50-75 days from Earliest Arrival</t>
  </si>
  <si>
    <t>PL-IL-DM17X36PU-EGCK</t>
  </si>
  <si>
    <t>Price scheduling worked well! Continuing price scheduling at 14.99</t>
  </si>
  <si>
    <t>Continuing with price scheduling</t>
  </si>
  <si>
    <t>Continue with PPeak - price scheduling ended</t>
  </si>
  <si>
    <t>Dropping min to 12.99</t>
  </si>
  <si>
    <t>PPeak 10.99-13.99</t>
  </si>
  <si>
    <t>AGL204: 150 - 05/27/21</t>
  </si>
  <si>
    <t>Added a $1 off coupon to help this sell through</t>
  </si>
  <si>
    <t>AGL 204: 150 - TBD</t>
  </si>
  <si>
    <t>Price scheduling at 9.99 with coupon to sell through last units</t>
  </si>
  <si>
    <t>Continue with price scheduling and coupon to sell through last units</t>
  </si>
  <si>
    <t>AGL204: 150 - 06/04/21</t>
  </si>
  <si>
    <t>AGL204: 150 - 06/17/21</t>
  </si>
  <si>
    <t xml:space="preserve">Continue with price scheduling and coupon to sell through </t>
  </si>
  <si>
    <t>No Transit, But 180 At Factory 50-75 days from Earliest Arrival</t>
  </si>
  <si>
    <t>No Transit, But 210 At Factory 50-75 days from Earliest Arrival</t>
  </si>
  <si>
    <t>PL-IL-DM17X36PU-GRBK</t>
  </si>
  <si>
    <t>Decreased PPeak to 12.99-17.99 to get velocity back up</t>
  </si>
  <si>
    <t>Decreased min to 9.99 and enabled Seans sponsored brands campaign</t>
  </si>
  <si>
    <t>Reconnected SKU to PPPeak (spooky error)</t>
  </si>
  <si>
    <t>Increasing to 11.99</t>
  </si>
  <si>
    <t>Blocked - on case log</t>
  </si>
  <si>
    <t>1 unit left - maintain</t>
  </si>
  <si>
    <t>Price scheduling at 9.99</t>
  </si>
  <si>
    <t>**No Inventory In The Works**</t>
  </si>
  <si>
    <t>No Transit, But 60 At Factory 50-75 days from Earliest Arrival</t>
  </si>
  <si>
    <t>Adding a $1 off coupon</t>
  </si>
  <si>
    <t>PL-IL-DM17X36PU-GRLB</t>
  </si>
  <si>
    <t>Still inbound</t>
  </si>
  <si>
    <t>Pricing at 9.99</t>
  </si>
  <si>
    <t>Added a $1 off coupon</t>
  </si>
  <si>
    <t>No Transit, But 90 At Factory 50-75 days from Earliest Arrival</t>
  </si>
  <si>
    <t>Decreasing to 8.99</t>
  </si>
  <si>
    <t>PL-IL-DM17X36PU-MVBK</t>
  </si>
  <si>
    <t>Continuing price scheduling at 11.99</t>
  </si>
  <si>
    <t>Ended price scheduling and enabled Seans sponsored brands campaign</t>
  </si>
  <si>
    <t>Continue with PPeak and enabled auto PPC with $5 budget</t>
  </si>
  <si>
    <t>37 units left on excess - added more relevent search terms to back end</t>
  </si>
  <si>
    <t>Adding a $1 off coupon, updated title, paused manual campaign and increased auto budget</t>
  </si>
  <si>
    <t>Pausing PPC for now</t>
  </si>
  <si>
    <t xml:space="preserve">Continue at 9.99 </t>
  </si>
  <si>
    <t>Added $1 off coupon and price scheduling at 8.99 to get sell through up</t>
  </si>
  <si>
    <t>8.99 with coupon to sell through</t>
  </si>
  <si>
    <t>1 replacement sent out - maintain at 8.99 with coupon to sell through last units</t>
  </si>
  <si>
    <t>PPC is from catch all campaign - maintin to sell through units</t>
  </si>
  <si>
    <t>Maintain to sell through units</t>
  </si>
  <si>
    <t xml:space="preserve">Added $1 off coupon </t>
  </si>
  <si>
    <t xml:space="preserve">Continue at 8.99 with coupon  </t>
  </si>
  <si>
    <t>PL-IL-DM17X36PU-TNBL</t>
  </si>
  <si>
    <t>Continue at 9.99</t>
  </si>
  <si>
    <t>Price got changed to 14.99 - decreasing back to 9.99</t>
  </si>
  <si>
    <t>Continue at 9.99 - enabled Seans sponsored bradns campaign</t>
  </si>
  <si>
    <t>13 units left on excess - adding a $1 off coupon, added more relevent search terms to back end and enabled auto PPC with $5 budget</t>
  </si>
  <si>
    <t>Lowered to 8.99 and updated title</t>
  </si>
  <si>
    <t>Enabled manual PPC - a/b testing bullets (added keywords)</t>
  </si>
  <si>
    <t>Paused PPC and set up an isolation campaign</t>
  </si>
  <si>
    <t>Optimizing isolation campaign and created a low bid campaign</t>
  </si>
  <si>
    <t xml:space="preserve">Coupon is working - decreasing price another $1 to 7.99 to get sell through up and prep for new stock </t>
  </si>
  <si>
    <t>Maintain to sell out</t>
  </si>
  <si>
    <t>No Transit, But 290 At Factory 50-75 days from Earliest Arrival</t>
  </si>
  <si>
    <t>Continue at 7.99 - readding coupon</t>
  </si>
  <si>
    <t>Continue at 7.99 with coupon</t>
  </si>
  <si>
    <t>PL-IL-DM17X36RW</t>
  </si>
  <si>
    <t>Units in defective - case in</t>
  </si>
  <si>
    <t>AGL162: 225 - 01/25/21</t>
  </si>
  <si>
    <t>AGL162: 225 - 02/05/21</t>
  </si>
  <si>
    <t xml:space="preserve">AGL162: 225 - 01/31/21 </t>
  </si>
  <si>
    <t>AGL162: 225 - 02/06/21</t>
  </si>
  <si>
    <t>Spooky error in PPeak - reconnected 20.99-25.99</t>
  </si>
  <si>
    <t>Blocked - case in</t>
  </si>
  <si>
    <t>Removed</t>
  </si>
  <si>
    <t>Pricing at 17.99</t>
  </si>
  <si>
    <t>20.99-25.99 to get more $$$ out of units</t>
  </si>
  <si>
    <t>Dropping min to 17.99 to get moving again</t>
  </si>
  <si>
    <t>Continue with PPeak - added a request to put this on same listing as 23x47 (best seller)</t>
  </si>
  <si>
    <t>Just put on listing with best selling 23x47 clear mat so sessions should start increasing - maintain</t>
  </si>
  <si>
    <t>Sales and sessions picking up since putting on same listing as 23x47 - maintain</t>
  </si>
  <si>
    <t>Decreased PPeak to 16.99-22.99 and updated title to include more keywords</t>
  </si>
  <si>
    <t>Increasing min to 17.99</t>
  </si>
  <si>
    <t>PL-IL-DM23X47PU-BHMV</t>
  </si>
  <si>
    <t>Optimizing PPC (PPC carrier)</t>
  </si>
  <si>
    <t>Optimizing PPC (PPC carrier - 18 other SKU sales)</t>
  </si>
  <si>
    <t>Increasing PPeak 21.99-27.99</t>
  </si>
  <si>
    <t>Decreasing min to 19.99</t>
  </si>
  <si>
    <t>Price scheduling at 19.99</t>
  </si>
  <si>
    <t>Paused a/b test so PPeak could run 19.99-27.99</t>
  </si>
  <si>
    <t>Price scheduling at 17.99 to sell through last units</t>
  </si>
  <si>
    <t xml:space="preserve"> | AGL 209: 96 - TBD</t>
  </si>
  <si>
    <t>Continue price scheduling to sell through</t>
  </si>
  <si>
    <t xml:space="preserve"> | AGL 209: 96 - 06/20/21</t>
  </si>
  <si>
    <t xml:space="preserve"> | AGL209: 96 - 06/20/21</t>
  </si>
  <si>
    <t xml:space="preserve"> | AGL209: 96 - 06/30/21</t>
  </si>
  <si>
    <t xml:space="preserve"> | AGL209: 96 - 07/09/21</t>
  </si>
  <si>
    <t>| AGL209  - 96 units 06/22</t>
  </si>
  <si>
    <t>17.99-25.99</t>
  </si>
  <si>
    <t xml:space="preserve"> | AGL209: 96 - 07/20/21</t>
  </si>
  <si>
    <t>No Transit, But 234 At Factory 50-75 days from Earliest Arrival</t>
  </si>
  <si>
    <t>PL-IL-DM23X47PUC-EGCK</t>
  </si>
  <si>
    <t>Increasing min to 23.99</t>
  </si>
  <si>
    <t>Setting to 24.99</t>
  </si>
  <si>
    <t>Ppeak 25.99-31.99</t>
  </si>
  <si>
    <t>22.99-29.99 to sell through</t>
  </si>
  <si>
    <t>19.99-25.99 to sell through last 11 units</t>
  </si>
  <si>
    <t>1 replacement sent - maintain to sell through last units</t>
  </si>
  <si>
    <t>Maintain to sell through last units</t>
  </si>
  <si>
    <t>Enabled auto PPC with $5 budget</t>
  </si>
  <si>
    <t>No Transit, But 396 At Factory 50-75 days from Earliest Arrival</t>
  </si>
  <si>
    <t>PL-IL-DM23X47PUC-BKCK</t>
  </si>
  <si>
    <t>AGL173: 192 - TBD</t>
  </si>
  <si>
    <t>Increasing PPeak 30.99-37.99</t>
  </si>
  <si>
    <t>AGL173: 192 - 03/01/21</t>
  </si>
  <si>
    <t>AGL173: 240 - 03/01/21</t>
  </si>
  <si>
    <t>AGL173: 240 - 03/27/21</t>
  </si>
  <si>
    <t>AGL173: 240 - 03/21/21</t>
  </si>
  <si>
    <t>2 units left - maintain</t>
  </si>
  <si>
    <t>AGL173: 240 - 03/23/21</t>
  </si>
  <si>
    <t>Set to 24.99 - enabled auto campaign</t>
  </si>
  <si>
    <t>Pausing PPC and setting to 21.99</t>
  </si>
  <si>
    <t>PPeak 21.99-29.99</t>
  </si>
  <si>
    <t>Added a target to PPeak</t>
  </si>
  <si>
    <t>19.99-29.99</t>
  </si>
  <si>
    <t>Price scheduling at 19.99 to improve sell through and DOH</t>
  </si>
  <si>
    <t>PPC working well for this - maintain to get DOH and sell through moving</t>
  </si>
  <si>
    <t>Price scheduling at 17.99 to get DOH down and sell through up - optimizing PPC</t>
  </si>
  <si>
    <t>Continue with price scheduling and increasing PPC budget to sell through units</t>
  </si>
  <si>
    <t>Continue with price scheduling - optimizing PPC</t>
  </si>
  <si>
    <t>No Transit, But 304 At Factory 50-75 days from Earliest Arrival</t>
  </si>
  <si>
    <t>PPeak 18.99-25.99</t>
  </si>
  <si>
    <t>PPeak 20.99-25.99 - negating a good amount of search terms to get rid of waste</t>
  </si>
  <si>
    <t xml:space="preserve">Pausing PPC </t>
  </si>
  <si>
    <t>PL-IL-DM23X47PU-EGBK</t>
  </si>
  <si>
    <t>Increasing PPeak to 21.99-27.99</t>
  </si>
  <si>
    <t>AGL173: 128 - TBD</t>
  </si>
  <si>
    <t>Increasing PPeak 23.99-29.99</t>
  </si>
  <si>
    <t>Increasing PPeak 24.99-31.99</t>
  </si>
  <si>
    <t>AGL173: 128 - 03/01/21</t>
  </si>
  <si>
    <t>Increasing min to 26.99</t>
  </si>
  <si>
    <t>4 units left - maintain</t>
  </si>
  <si>
    <t>AGL173: 128 - 03/27/21</t>
  </si>
  <si>
    <t>AGL173: 128 - 03/21/21</t>
  </si>
  <si>
    <t>AGL173: 128 - 03/23/21</t>
  </si>
  <si>
    <t>Pausing PPC and setting to 19.99</t>
  </si>
  <si>
    <t>Out?</t>
  </si>
  <si>
    <t>19.99-25.99</t>
  </si>
  <si>
    <t>Added a target to PPeak to force price down</t>
  </si>
  <si>
    <t>Price scheduling at 17.99 to improve sell through</t>
  </si>
  <si>
    <t>No Transit, But 144 At Factory 50-75 days from Earliest Arrival</t>
  </si>
  <si>
    <t>Increasing min to 19.99 (replacements?)</t>
  </si>
  <si>
    <t>3 units left - maintain</t>
  </si>
  <si>
    <t>PL-IL-DM23X47PU-GRBH</t>
  </si>
  <si>
    <t>AGL173: 80 - TBD</t>
  </si>
  <si>
    <t>Increasing PPeak 21.99-29.99</t>
  </si>
  <si>
    <t>AGL173: 80 - 03/01/21</t>
  </si>
  <si>
    <t>AGL173: 80 - 03/27/21</t>
  </si>
  <si>
    <t>Removed due to incorrectly marked inventory</t>
  </si>
  <si>
    <t>AGL173: 80 - 03/21/21</t>
  </si>
  <si>
    <t>AGL173: 80 - 03/23/21</t>
  </si>
  <si>
    <t xml:space="preserve"> | AGL 209: 240 - TBD</t>
  </si>
  <si>
    <t xml:space="preserve"> | AGL 209: 176 - 06/20/21</t>
  </si>
  <si>
    <t xml:space="preserve"> | AGL209: 176 - 06/20/21</t>
  </si>
  <si>
    <t xml:space="preserve"> | AGL209: 176 - 06/30/21</t>
  </si>
  <si>
    <t xml:space="preserve"> | AGL209: 176 - 07/09/21</t>
  </si>
  <si>
    <t>| AGL209  - 176 units 06/22</t>
  </si>
  <si>
    <t>Price scheduling at 17.99</t>
  </si>
  <si>
    <t xml:space="preserve"> | AGL209: 176 - 07/20/21</t>
  </si>
  <si>
    <t>No Transit, But 414 At Factory 50-75 days from Earliest Arrival</t>
  </si>
  <si>
    <t>PL-IL-DM23X47PU-GRBK</t>
  </si>
  <si>
    <t>AGL173: 224 - TBD</t>
  </si>
  <si>
    <t>AGL173: 224 - 03/01/21</t>
  </si>
  <si>
    <t>AGL173: 224 - 03/27/21</t>
  </si>
  <si>
    <t>AGL173: 224 - 03/21/21</t>
  </si>
  <si>
    <t>AGL173: 224 - 03/23/21</t>
  </si>
  <si>
    <t>Set to 24.99 - enabled manual campaign</t>
  </si>
  <si>
    <t>Pausing PPC PPeak 24.99-35.99</t>
  </si>
  <si>
    <t>Putting manual PPC back on PPeak 22.99-35.99</t>
  </si>
  <si>
    <t>Optimizing PPC and adding a target to PPeak</t>
  </si>
  <si>
    <t>Price scheduling at 19.99 to improve sell through</t>
  </si>
  <si>
    <t>Continue price scheduling to sell through - optimizing PPC</t>
  </si>
  <si>
    <t>Price scheduling at 17.99 to impove DOH and sell through - optimizing PPC</t>
  </si>
  <si>
    <t>No Transit, But 64 At Factory 50-75 days from Earliest Arrival</t>
  </si>
  <si>
    <t>Increasing min to 18.99</t>
  </si>
  <si>
    <t>PPeak 23.99-29.99</t>
  </si>
  <si>
    <t>No Transit, But 54 At Factory 50-75 days from Earliest Arrival</t>
  </si>
  <si>
    <t>PL-IL-DM23X47PU-GRLB</t>
  </si>
  <si>
    <t>AGL173: 96 - TBD</t>
  </si>
  <si>
    <t>Increasing PPeak 22.99-29.99</t>
  </si>
  <si>
    <t>AGL173: 96 - 03/01/21</t>
  </si>
  <si>
    <t>Increasing min to 24.99</t>
  </si>
  <si>
    <t>AGL173: 96 - 03/27/21</t>
  </si>
  <si>
    <t>AGL173: 96 - 03/21/21</t>
  </si>
  <si>
    <t>AGL173: 96 - 03/23/21</t>
  </si>
  <si>
    <t>Decreased min to 21.99 and added a target of 2</t>
  </si>
  <si>
    <t>Ppeak 26.99-35.99</t>
  </si>
  <si>
    <t>24.99-29.99 to sell through</t>
  </si>
  <si>
    <t>19.99-25.99 to sell through last 7 units</t>
  </si>
  <si>
    <t xml:space="preserve"> | AGL 209: 160 - TBD</t>
  </si>
  <si>
    <t>Continue with PPeak to sell through last units</t>
  </si>
  <si>
    <t xml:space="preserve"> | AGL 209: 32 - 06/20/21</t>
  </si>
  <si>
    <t xml:space="preserve"> | AGL209: 32 - 06/20/21</t>
  </si>
  <si>
    <t>Decreasing min to 17.99 to improve sell through</t>
  </si>
  <si>
    <t xml:space="preserve"> | AGL209: 32 - 06/30/21</t>
  </si>
  <si>
    <t>Decreased min doubled sales - maintain</t>
  </si>
  <si>
    <t xml:space="preserve"> | AGL209: 32 - 07/09/21</t>
  </si>
  <si>
    <t>Maintain to sell through</t>
  </si>
  <si>
    <t>| AGL209  - 32 units 06/22</t>
  </si>
  <si>
    <t xml:space="preserve"> | AGL209: 32 - 07/20/21</t>
  </si>
  <si>
    <t>PL-IL-DM23X47PU-MVBK</t>
  </si>
  <si>
    <t>Increasing PPeak 21.99-29.99 and decreasing budget</t>
  </si>
  <si>
    <t>Increasing min to 23.99 and pausing PPC</t>
  </si>
  <si>
    <t xml:space="preserve"> | AGL 209: 224 - TBD</t>
  </si>
  <si>
    <t xml:space="preserve"> | AGL 209: 48 - 06/20/21</t>
  </si>
  <si>
    <t xml:space="preserve"> | AGL209: 48 - 06/20/21</t>
  </si>
  <si>
    <t xml:space="preserve"> | AGL209: 48 - 06/30/21</t>
  </si>
  <si>
    <t xml:space="preserve"> | AGL209: 48 - 07/09/21</t>
  </si>
  <si>
    <t>| AGL209  - 48 units 06/22</t>
  </si>
  <si>
    <t xml:space="preserve"> | AGL209: 48 - 07/20/21</t>
  </si>
  <si>
    <t>PL-IL-DM23X47RW-FN-RL</t>
  </si>
  <si>
    <t>11 units left - maintain</t>
  </si>
  <si>
    <t>AGL162: 306 - 01/31/21</t>
  </si>
  <si>
    <t xml:space="preserve">AGL162: 306 - 02/06/21 </t>
  </si>
  <si>
    <t>Increasing PPeak 27.99-35.99</t>
  </si>
  <si>
    <t>Increasing PPeak 29.99-39.99</t>
  </si>
  <si>
    <t>Increasing min to 32.99</t>
  </si>
  <si>
    <t xml:space="preserve">77 units in processing </t>
  </si>
  <si>
    <t>PPeak 34.99-41.99</t>
  </si>
  <si>
    <t>Ppeak 37.99-41.99</t>
  </si>
  <si>
    <t>AGL197: 297 - 05/24/21</t>
  </si>
  <si>
    <t>39.99-49.99</t>
  </si>
  <si>
    <t>AGL 197: 297 - 05/26/21 | AGL 232: 400 - TBD</t>
  </si>
  <si>
    <t>AGL 197: 297 - 06/15/21 | AGL 232: 400 - 07/06/21</t>
  </si>
  <si>
    <t>AGL197: 297 - 06/20/21 | AGL232: 400 - 07/06/21</t>
  </si>
  <si>
    <t>AGL197: 297 - 06/30/21 | AGL232: 400 - 07/19/21</t>
  </si>
  <si>
    <t>24.99-34.99</t>
  </si>
  <si>
    <t>AGL232: 400 - 07/19/21</t>
  </si>
  <si>
    <t>Price scheduling at 24.99 to get these moving</t>
  </si>
  <si>
    <t>| AGL232  - 400 units 07/19</t>
  </si>
  <si>
    <t>Decreasing min 22.99-29.99</t>
  </si>
  <si>
    <t>AGL232: 400 - 07/22/21</t>
  </si>
  <si>
    <t>Price scheduling at 22.99</t>
  </si>
  <si>
    <t>| AGL232  - 400 units 07/22</t>
  </si>
  <si>
    <t>PL-IL-MC2S-30</t>
  </si>
  <si>
    <t>AGL 204: 200 - TBD</t>
  </si>
  <si>
    <t>AGL204: 200 - 06/04/21</t>
  </si>
  <si>
    <t>AGL204: 200 - 06/17/21</t>
  </si>
  <si>
    <t>Enabled manual PPC with $5 budget - PPeak 29.99-39.99</t>
  </si>
  <si>
    <t>No Transit, But 500 At Factory 50-75 days from Earliest Arrival</t>
  </si>
  <si>
    <t>Increasing min to 32.99 - pausing PPC</t>
  </si>
  <si>
    <t>35.99-41.99</t>
  </si>
  <si>
    <t>PPeak 37.99-45.99 (increased min to 39.99 7/15)</t>
  </si>
  <si>
    <t>| S210706  - 240 units 09/17</t>
  </si>
  <si>
    <t>39.99-45.99</t>
  </si>
  <si>
    <t>PL-IL-SER2P3B</t>
  </si>
  <si>
    <t>#342;SW: 320 - 03/24/21 | #343;SW: 248 - 03/24/21</t>
  </si>
  <si>
    <t xml:space="preserve"> | #343;SW: 248 - 03/25/21</t>
  </si>
  <si>
    <t>#390: 432 - TBD</t>
  </si>
  <si>
    <t>Ppeak 25.99-39.99 target of 6</t>
  </si>
  <si>
    <t>Enabled manual campaign with $6 budget</t>
  </si>
  <si>
    <t>#390: 132 - 05/27/21</t>
  </si>
  <si>
    <t>Pausing PPC - increasing PPeak to 28.99-39.99</t>
  </si>
  <si>
    <t>32.99-39.99</t>
  </si>
  <si>
    <t>32.99-41.99 to improve sell through</t>
  </si>
  <si>
    <t>#390: 132 - 05/31/21</t>
  </si>
  <si>
    <t>33.99-43.99 to get more $$$</t>
  </si>
  <si>
    <t>Increasing min to 35.99 to get more $$$ out of last units</t>
  </si>
  <si>
    <t>Increasing min to 37.99 to get more $$$ out of last units</t>
  </si>
  <si>
    <t xml:space="preserve">Increasing min to 38.99 </t>
  </si>
  <si>
    <t>No Transit or Factory Storage, 500 In Production 60-100 days from Earliest Arrival</t>
  </si>
  <si>
    <t>PPeak 39.99-45.99</t>
  </si>
  <si>
    <t>PPeak 41.99-47.99</t>
  </si>
  <si>
    <t>| S210703  - 240 units 09/17| AGL253 STAR - 150 units 11/01</t>
  </si>
  <si>
    <t>PL-IL-MRH-BK-4PK</t>
  </si>
  <si>
    <t>Closed; from Caroline: po just completed - arrive end Jan/early Feb</t>
  </si>
  <si>
    <t>#344: 204 - 03/01/21 | #346: 156 - 03/01/21</t>
  </si>
  <si>
    <t>#344: 204 - 03/11/21 | #346;SW: 156 - 03/15/21</t>
  </si>
  <si>
    <t>#344: 204 - 03/12/21 | #346;SW: 156 - TBD</t>
  </si>
  <si>
    <t>#344: 204 - 03/09/21 | #346;SW: 156 - 04/10/21</t>
  </si>
  <si>
    <t>#344: 204 - 03/17/21 | #346;SW: 156 - 04/17/21</t>
  </si>
  <si>
    <t xml:space="preserve"> | #346;SW: 156 - 04/17/21</t>
  </si>
  <si>
    <t>Not synched in PPeak yet - setting price to 16.99</t>
  </si>
  <si>
    <t xml:space="preserve"> | #346;SW: 156 - 04/18/21</t>
  </si>
  <si>
    <t>Setting PPeak 16.99-21.99 - enabled auto PPC with $5 budget</t>
  </si>
  <si>
    <t xml:space="preserve"> | #346;SW: 156 - 04/16/21</t>
  </si>
  <si>
    <t>Pausing PPC PPeak 16.99-21.99</t>
  </si>
  <si>
    <t>Price scheduling at 15.99 to improve sell through</t>
  </si>
  <si>
    <t>Continue with price scheduling (non compliant mains are up) to get sell through up</t>
  </si>
  <si>
    <t>Enabling auto PPC again to get these moving</t>
  </si>
  <si>
    <t>Continue at 15.99 with PPC</t>
  </si>
  <si>
    <t>| AGL230  - 24 units 08/17</t>
  </si>
  <si>
    <t>Price scheduling at 16.99</t>
  </si>
  <si>
    <t xml:space="preserve">Continue with price scheduling </t>
  </si>
  <si>
    <t xml:space="preserve"> | AGL230: 24 - 08/07/21</t>
  </si>
  <si>
    <t>| AGL230  - 24 units 08/14</t>
  </si>
  <si>
    <t>PL-IL-MRH-BK-6PK</t>
  </si>
  <si>
    <t>Maintain; PPEAK $27.99 to $35.99</t>
  </si>
  <si>
    <t xml:space="preserve"> | #346: 576 - 03/01/21</t>
  </si>
  <si>
    <t>Removed price schedule; raised PPEAK min by to $29.99</t>
  </si>
  <si>
    <t>PPEAK $31.99 to $40.99 to stretch inventory</t>
  </si>
  <si>
    <t xml:space="preserve"> | #346;SW: 576 - 03/15/21</t>
  </si>
  <si>
    <t xml:space="preserve"> | #346;SW: 576 - TBD</t>
  </si>
  <si>
    <t xml:space="preserve"> | #346;SW: 576 - 04/10/21</t>
  </si>
  <si>
    <t xml:space="preserve"> | #346;SW: 576 - 04/17/21</t>
  </si>
  <si>
    <t>7 units left - maintain</t>
  </si>
  <si>
    <t xml:space="preserve">Setting to 23.99-29.99 </t>
  </si>
  <si>
    <t xml:space="preserve"> | #346;SW: 576 - 04/18/21</t>
  </si>
  <si>
    <t xml:space="preserve"> | #346;SW: 576 - 04/16/21</t>
  </si>
  <si>
    <t>21.99-25.99 and added target of 6</t>
  </si>
  <si>
    <t>Turned on PPC</t>
  </si>
  <si>
    <t>Continue with price scheduling to get sell through up (non compliant mains are up) - optimizing PPC</t>
  </si>
  <si>
    <t>Auto campaign performing better than manual so pausing manual and increasing auto budget</t>
  </si>
  <si>
    <t>Continue at 19.99 with auto PPC (optimizing based on Seans suggestions) - adding a $1 off coupon</t>
  </si>
  <si>
    <t>Maintain for now - running a/b test for main images</t>
  </si>
  <si>
    <t>Monitoring a/b test (so far compliant is performing best) - optimizing PPC</t>
  </si>
  <si>
    <t>No Transit, But 268 At Factory 50-75 days from Earliest Arrival</t>
  </si>
  <si>
    <t>Switching main image to compliant</t>
  </si>
  <si>
    <t xml:space="preserve">Maintain for now </t>
  </si>
  <si>
    <t>PL-IL-MRH-BK-8PK</t>
  </si>
  <si>
    <t>Maintain; PPEAK $35.99 to $39.99; removed price schedule</t>
  </si>
  <si>
    <t>PPEAK $37.99 to $42.99 due to low DOH</t>
  </si>
  <si>
    <t>PPEAK $39.99 to $45.99 due to low DOH</t>
  </si>
  <si>
    <t>#344: 240 - 03/01/21 | #346: 552 - 03/01/21</t>
  </si>
  <si>
    <t>#344: 240 - 03/11/21 | #346;SW: 552 - 03/15/21</t>
  </si>
  <si>
    <t>#344: 240 - 03/12/21 | #346;SW: 552 - TBD</t>
  </si>
  <si>
    <t>#344: 240 - 03/09/21 | #346;SW: 552 - 04/10/21</t>
  </si>
  <si>
    <t>#344: 240 - 03/17/21 | #346;SW: 552 - 04/17/21</t>
  </si>
  <si>
    <t xml:space="preserve"> | #346;SW: 552 - 04/17/21</t>
  </si>
  <si>
    <t>Not synched in PPeak yet - setting price to 29.99 and enabled auto PPC</t>
  </si>
  <si>
    <t xml:space="preserve"> | #346;SW: 552 - 04/18/21</t>
  </si>
  <si>
    <t>Enabled PPeak 29.99-39.99</t>
  </si>
  <si>
    <t xml:space="preserve"> | #346;SW: 552 - 04/16/21</t>
  </si>
  <si>
    <t>Added target to force price down</t>
  </si>
  <si>
    <t>25.99-35.99 and optimizing PPC</t>
  </si>
  <si>
    <t>Pausing PPC and increasing PPeak to 27.99-35.99 to make more of a difference between 6 pack and 8 pack</t>
  </si>
  <si>
    <t>Price scheduling at 24.99 to improve sell through and DOH</t>
  </si>
  <si>
    <t>Enabled auto PPC to get sessions up</t>
  </si>
  <si>
    <t>PPC successfully got sessions up - maintain</t>
  </si>
  <si>
    <t>No Transit, But 88 At Factory 50-75 days from Earliest Arrival</t>
  </si>
  <si>
    <t>PPeak 25.99-35.99</t>
  </si>
  <si>
    <t>PL-IL-ARH-BK-6PK</t>
  </si>
  <si>
    <t>Not in PPeak yet - decreasing to 19.99 and optimizing PPC</t>
  </si>
  <si>
    <t xml:space="preserve"> | #346;SW: 90 - 04/18/21</t>
  </si>
  <si>
    <t>Enabled PPeak 19.99-24.99</t>
  </si>
  <si>
    <t xml:space="preserve"> | #346;SW: 90 - 04/16/21</t>
  </si>
  <si>
    <t>Optimizing PPC and increasing PPeak 21.99-27.99</t>
  </si>
  <si>
    <t xml:space="preserve"> | #346;SW: 90 - </t>
  </si>
  <si>
    <t>22.99-27.99</t>
  </si>
  <si>
    <t>Optimizing PPC - 19.99-27.99</t>
  </si>
  <si>
    <t>Maintain for now to get DOH down</t>
  </si>
  <si>
    <t>Enabling auto PPC to get sessions up and added a $1 off coupon</t>
  </si>
  <si>
    <t>Huge improvement! Maintain</t>
  </si>
  <si>
    <t xml:space="preserve">Maintain  </t>
  </si>
  <si>
    <t>PL-IL-ARH-CL-6PK</t>
  </si>
  <si>
    <t>Back in stock; PPEAK $24.99 to $34.99</t>
  </si>
  <si>
    <t>Raised PPEAK min by $2 to $26.99</t>
  </si>
  <si>
    <t>#344: 660 - TBD #346: 210 - TBD</t>
  </si>
  <si>
    <t>#344: 720 - 03/01/21 | #346: 300 - 03/01/21</t>
  </si>
  <si>
    <t>#344: 720 - 03/11/21 | #346;SW: 300 - 03/15/21</t>
  </si>
  <si>
    <t>#344: 720 - 03/12/21 | #346;SW: 300 - TBD</t>
  </si>
  <si>
    <t>#344: 720 - 03/09/21 | #346;SW: 300 - 04/10/21</t>
  </si>
  <si>
    <t>#344: 720 - 03/17/21 | #346;SW: 300 - 04/17/21</t>
  </si>
  <si>
    <t xml:space="preserve"> | #346;SW: 300 - 04/17/21</t>
  </si>
  <si>
    <t>Enabled PPeak 19.99-24.99 - enabled manual PPC</t>
  </si>
  <si>
    <t xml:space="preserve"> | #346;SW: 300 - 04/18/21</t>
  </si>
  <si>
    <t>Optimizing PPC and added target to PPeak</t>
  </si>
  <si>
    <t xml:space="preserve"> | #346;SW: 300 - 04/16/21</t>
  </si>
  <si>
    <t>Increased budget of auto campaign</t>
  </si>
  <si>
    <t>PPeak 20.99-26.99</t>
  </si>
  <si>
    <t>Optimizing PPC and lowering min to 19.99</t>
  </si>
  <si>
    <t xml:space="preserve"> | #346;SW: 300 - </t>
  </si>
  <si>
    <t>Increasing PPC budget and increasing PPeak 22.99-29.99</t>
  </si>
  <si>
    <t>Pausing manual PPC (decreased min to 19.99 on Friday)</t>
  </si>
  <si>
    <t>Switched to manual PPC</t>
  </si>
  <si>
    <t>Continue with price scheduling and turning on auto PPC to get DOH down</t>
  </si>
  <si>
    <t>Pausing auto PPC and optimizing and increasing budget of manual</t>
  </si>
  <si>
    <t>Enabling auto PPC to get sessions back up (dropped too much after pausing it) - adding a $1 off coupon</t>
  </si>
  <si>
    <t>No Transit, But 300 At Factory 50-75 days from Earliest Arrival</t>
  </si>
  <si>
    <t>Optimizing PPC and switching main image to compliant</t>
  </si>
  <si>
    <t>Decreasing min to 18.99</t>
  </si>
  <si>
    <t>PL-IL-ARH-CL-8PK</t>
  </si>
  <si>
    <t>Not synched in PPeak - setting price to 24.99</t>
  </si>
  <si>
    <t>Optimizing PPC - enabled PPeak 24.99-29.99</t>
  </si>
  <si>
    <t>Increasing min to 25.99 and trimming PPC</t>
  </si>
  <si>
    <t>Paused PPC and increased PPeak 26.99-31.99</t>
  </si>
  <si>
    <t>PPeak 27.99-35.99</t>
  </si>
  <si>
    <t>29.99-35.99 (based on conversation with zach, we are trying to stretch this inventory to about 100 DOH)</t>
  </si>
  <si>
    <t>Continue with PPeak (based on conversation with zach, we are trying to stretch this inventory to about 100 DOH)</t>
  </si>
  <si>
    <t>27.99-35.99 and added target (no longer want to prolong this stock)</t>
  </si>
  <si>
    <t>Disabled price scheduling</t>
  </si>
  <si>
    <t>Increased min to 25.99</t>
  </si>
  <si>
    <t>Increased min to 27.99</t>
  </si>
  <si>
    <t>28.99-33.99</t>
  </si>
  <si>
    <t>PL-IL-MS15X11X4-VTD-2PK</t>
  </si>
  <si>
    <t>ppeak $21.99-$24.99, optimized the title based on Sean's suggestion</t>
  </si>
  <si>
    <t>adjust the ppc, budget $5, min $20.99</t>
  </si>
  <si>
    <t>adjust the ppc, schedule the price $21.49</t>
  </si>
  <si>
    <t>ppeak $22.99-26.99, adjust the ppc</t>
  </si>
  <si>
    <t>min $19.99, no coupon, no ppc</t>
  </si>
  <si>
    <t>#326;SW: 7 - 03/09/21</t>
  </si>
  <si>
    <t>HUANUO selling at $18.5, other sell at around $21. min $20.99, ads on to get more impression</t>
  </si>
  <si>
    <t>#326;SW: 7 - 03/20/21</t>
  </si>
  <si>
    <t>Turned PPC off and price scheduling at 18.99</t>
  </si>
  <si>
    <t>Adding a $1 off coupon (2/24 - 10 sales since Monday! I think this strategy is working)</t>
  </si>
  <si>
    <t>#326;SW: 7 - 03/21/21</t>
  </si>
  <si>
    <t>Continuing price scheduling with coupon</t>
  </si>
  <si>
    <t>#326;SW: 7 - 03/31/21</t>
  </si>
  <si>
    <t>Submitted outlet deal and activated PPC - sean set up catch all campaign and I added search terms to backend and updated title</t>
  </si>
  <si>
    <t>#326;SW: 7 - 03/28/21</t>
  </si>
  <si>
    <t xml:space="preserve">Outlet deal running - sold 43 since Monday (3/17) </t>
  </si>
  <si>
    <t xml:space="preserve">Out  </t>
  </si>
  <si>
    <t xml:space="preserve">#326;SW: 7 - </t>
  </si>
  <si>
    <t>AGL210: 301 - TBD</t>
  </si>
  <si>
    <t>1 left - maintain</t>
  </si>
  <si>
    <t>AGL 210: 301 - 06/07/21</t>
  </si>
  <si>
    <t>AGL 210: 301 - 06/05/21</t>
  </si>
  <si>
    <t>AGL210: 301 - 06/25/21</t>
  </si>
  <si>
    <t>AGL210: 301 - 06/14/21</t>
  </si>
  <si>
    <t>Pricing at 19.99 with a 15% off coupon to get more attraction</t>
  </si>
  <si>
    <t>Decreasing to 16.99 with 15% off coupon</t>
  </si>
  <si>
    <t>Continue at 16.99 with 15% coupon</t>
  </si>
  <si>
    <t>PL-IL-MS15X9X5-MADJ-2PK</t>
  </si>
  <si>
    <t>maintain</t>
  </si>
  <si>
    <t>no incoming inventory, maintain</t>
  </si>
  <si>
    <t>no incoming inventory min $26.99</t>
  </si>
  <si>
    <t xml:space="preserve">#326: 900 - 03/01/21 </t>
  </si>
  <si>
    <t>min $25.99</t>
  </si>
  <si>
    <t>#326;SW: 903 - 03/09/21</t>
  </si>
  <si>
    <t>min $25.49</t>
  </si>
  <si>
    <t>#326;SW: 903 - 03/20/21</t>
  </si>
  <si>
    <t>#326;SW: 903 - 03/21/21</t>
  </si>
  <si>
    <t>#326;SW: 903 - 03/31/21</t>
  </si>
  <si>
    <t>#326;SW: 903 - 03/28/21</t>
  </si>
  <si>
    <t xml:space="preserve">#326;SW: 903 - </t>
  </si>
  <si>
    <t>Lowering min to 22.99 to improve sell through</t>
  </si>
  <si>
    <t>Increasing min to 24.99 to get margin up</t>
  </si>
  <si>
    <t>No Transit, But 777 At Factory 50-75 days from Earliest Arrival</t>
  </si>
  <si>
    <t>Sending in US storage</t>
  </si>
  <si>
    <t>PL-IL-MS15X9X5-MADJ-2PK-SL</t>
  </si>
  <si>
    <t>min $26.99</t>
  </si>
  <si>
    <t>no incoming inventory, raise $ to have margin over 30%</t>
  </si>
  <si>
    <t>min $28.59</t>
  </si>
  <si>
    <t>#326: 260 - 03/01/21</t>
  </si>
  <si>
    <t>#326;SW: 140 - 03/09/21 | #347: 119 - 02/21/21</t>
  </si>
  <si>
    <t>min $29.99</t>
  </si>
  <si>
    <t>#326;SW: 140 - 03/20/21 | #347: 119 - 03/10/21</t>
  </si>
  <si>
    <t>#326;SW: 140 - 03/20/21 | #347: 119 - 03/12/21</t>
  </si>
  <si>
    <t>3 units left- maintain</t>
  </si>
  <si>
    <t>#326;SW: 140 - 03/21/21 | #347: 119 - 03/12/21</t>
  </si>
  <si>
    <t>2 units left- maintain</t>
  </si>
  <si>
    <t>#326;SW: 140 - 03/31/21 | #347: 119 - 03/08/21</t>
  </si>
  <si>
    <t>#326;SW: 140 - 03/28/21 | #347: 119 - 03/18/21</t>
  </si>
  <si>
    <t>#326;SW: 140 - 03/28/21 | #347: 119 - 03/27/21</t>
  </si>
  <si>
    <t>Enabled PPeak 25.99-35.99</t>
  </si>
  <si>
    <t xml:space="preserve">#326;SW: 140 - </t>
  </si>
  <si>
    <t>22.99-29.99</t>
  </si>
  <si>
    <t>AGL210: 49 - TBD</t>
  </si>
  <si>
    <t>21.99-29.99</t>
  </si>
  <si>
    <t>Price scheduling at 22.99 to improve sell through</t>
  </si>
  <si>
    <t>AGL 210: 49 - 06/07/21</t>
  </si>
  <si>
    <t>AGL 210: 49 - 06/05/21</t>
  </si>
  <si>
    <t>AGL210: 49 - 06/25/21</t>
  </si>
  <si>
    <t>AGL210: 49 - 06/14/21</t>
  </si>
  <si>
    <t>Price scheduling at 19.99 to get these moving</t>
  </si>
  <si>
    <t>No Transit, But 133 At Factory 50-75 days from Earliest Arrival</t>
  </si>
  <si>
    <t>Manually pricing at 24.99</t>
  </si>
  <si>
    <t>Continue at 24.99</t>
  </si>
  <si>
    <t>PL-IL-MS16X9.5X3.5-GL-2PK</t>
  </si>
  <si>
    <t>target 5</t>
  </si>
  <si>
    <t>velocity down after the price is $33.99, maintain</t>
  </si>
  <si>
    <t xml:space="preserve">#326: 560 - 03/01/21 </t>
  </si>
  <si>
    <t>#326;SW: 560 - 03/09/21</t>
  </si>
  <si>
    <t>min $34.99</t>
  </si>
  <si>
    <t>#326;SW: 560 - 03/20/21</t>
  </si>
  <si>
    <t>Increasing min to 35.99</t>
  </si>
  <si>
    <t>#326;SW: 560 - 03/21/21</t>
  </si>
  <si>
    <t>Increasing min to 36.99</t>
  </si>
  <si>
    <t>#326;SW: 560 - 03/31/21</t>
  </si>
  <si>
    <t>#326;SW: 560 - 03/28/21</t>
  </si>
  <si>
    <t xml:space="preserve">#326;SW: 560 - </t>
  </si>
  <si>
    <t>Ppeak 27.99-37.99</t>
  </si>
  <si>
    <t>AGL210: 65 - TBD</t>
  </si>
  <si>
    <t>25.99-37.99</t>
  </si>
  <si>
    <t>Enabled PPC to get sessions up and improve DOH/sell through</t>
  </si>
  <si>
    <t>No Transit, But 375 At Factory 50-75 days from Earliest Arrival</t>
  </si>
  <si>
    <t>PPeak 29.99-37.99 (low sales due to holiday? replacement sent?)</t>
  </si>
  <si>
    <t>PL-IL-MS16X9.5X3.5-GLBK-2PK</t>
  </si>
  <si>
    <t>delete target, min $35.99</t>
  </si>
  <si>
    <t>#326: 230 - 03/01/21</t>
  </si>
  <si>
    <t>#326;SW: 230 - 03/09/21 | #347: 110 - 02/21/21</t>
  </si>
  <si>
    <t>ppeak $37.99-45.99</t>
  </si>
  <si>
    <t>#326;SW: 230 - 03/20/21 | #347: 110 - 03/10/21</t>
  </si>
  <si>
    <t>#326;SW: 230 - 03/20/21 | #347: 110 - 03/12/21</t>
  </si>
  <si>
    <t>#326;SW: 230 - 03/21/21 | #347: 110 - 03/12/21</t>
  </si>
  <si>
    <t>#326;SW: 230 - 03/31/21 | #347: 110 - 03/08/21</t>
  </si>
  <si>
    <t>#326;SW: 230 - 03/28/21 | #347: 110 - 03/18/21</t>
  </si>
  <si>
    <t>#326;SW: 230 - 03/28/21 | #347: 110 - 03/27/21</t>
  </si>
  <si>
    <t>Enabled PPeak 27.99-39.99</t>
  </si>
  <si>
    <t xml:space="preserve">#326;SW: 230 - </t>
  </si>
  <si>
    <t>Continue with PPeak - enabled auto PPC</t>
  </si>
  <si>
    <t>28.99-39.99</t>
  </si>
  <si>
    <t>AGL210: 35 - TBD</t>
  </si>
  <si>
    <t>25.99-35.99 to improve sell through (should get more eyes to this listing from clear monitor stand PPC)</t>
  </si>
  <si>
    <t>No Transit, But 35 At Factory 50-75 days from Earliest Arrival</t>
  </si>
  <si>
    <t>29.99-35.99 (low sales due to holiday?)</t>
  </si>
  <si>
    <t>PL-IL-CPUC-BL</t>
  </si>
  <si>
    <t>Closed; From Caroline: if you see quantities on order, all of them should be in stock by mid late February. Check with Caroline again if no shipments after CNY</t>
  </si>
  <si>
    <t>PPEAK $16.99 to $27.99</t>
  </si>
  <si>
    <t>#326: 300 - 03/01/21</t>
  </si>
  <si>
    <t>#326;SW: 96 - 03/09/21 | #347: 204 - 02/21/21</t>
  </si>
  <si>
    <t>#326;SW: 96 - 03/20/21 | #347: 204 - 03/10/21</t>
  </si>
  <si>
    <t>#326;SW: 96 - 03/20/21 | #347: 204 - 03/12/21</t>
  </si>
  <si>
    <t>#326;SW: 96 - 03/21/21 | #347: 204 - 03/12/21</t>
  </si>
  <si>
    <t>#326;SW: 96 - 03/31/21 | #347: 204 - 03/08/21</t>
  </si>
  <si>
    <t>#326;SW: 96 - 03/28/21 | #347: 204 - 03/18/21</t>
  </si>
  <si>
    <t>#326;SW: 96 - 03/28/21 | #347: 204 - 03/27/21</t>
  </si>
  <si>
    <t>Enabled PPeak 16.99-24.99</t>
  </si>
  <si>
    <t xml:space="preserve">#326;SW: 96 - </t>
  </si>
  <si>
    <t>PPeak 19.99-25.99</t>
  </si>
  <si>
    <t>Lowering min to 17.99</t>
  </si>
  <si>
    <t>Lowering min to 16.99</t>
  </si>
  <si>
    <t>AGL210: 216 - TBD</t>
  </si>
  <si>
    <t>AGL 210: 216 - 06/07/21</t>
  </si>
  <si>
    <t>AGL 210: 216 - 06/05/21</t>
  </si>
  <si>
    <t>AGL210: 216 - 06/25/21</t>
  </si>
  <si>
    <t>AGL210: 216 - 06/14/21</t>
  </si>
  <si>
    <t>Enabling minimal PPC to get sessions up</t>
  </si>
  <si>
    <t>Continue with PPeak (PPC leftover)</t>
  </si>
  <si>
    <t>PL-IL-CPUU-360-BL</t>
  </si>
  <si>
    <t>Maintain; PPEAK $28.99 to $34.99</t>
  </si>
  <si>
    <t>Raised PPEAK min to $29.99</t>
  </si>
  <si>
    <t xml:space="preserve">#326: 120 - 03/01/21 </t>
  </si>
  <si>
    <t>Raised PPEAK min to $30.99</t>
  </si>
  <si>
    <t xml:space="preserve"> | #347: 138 - 02/21/21</t>
  </si>
  <si>
    <t>PPEAK $32.99 to $34.99 to stretch inventory</t>
  </si>
  <si>
    <t xml:space="preserve"> | #347: 138 - 03/10/21</t>
  </si>
  <si>
    <t xml:space="preserve"> | #347: 138 - 03/12/21</t>
  </si>
  <si>
    <t xml:space="preserve"> | #347: 138 - 03/08/21</t>
  </si>
  <si>
    <t xml:space="preserve"> | #347: 138 - 03/18/21</t>
  </si>
  <si>
    <t xml:space="preserve"> | #347: 138 - 03/27/21</t>
  </si>
  <si>
    <t>Enabled PPeak 26.99-39.99</t>
  </si>
  <si>
    <t>PPeak 29.99-39.99</t>
  </si>
  <si>
    <t>Ppeak 30.99-39.99</t>
  </si>
  <si>
    <t>AGL210: 288 - TBD</t>
  </si>
  <si>
    <t>29.99-39.99 to improve sell through</t>
  </si>
  <si>
    <t>Continue at 27.99-39.99</t>
  </si>
  <si>
    <t>AGL 210: 288 - 06/07/21</t>
  </si>
  <si>
    <t>AGL 210: 288 - 06/05/21</t>
  </si>
  <si>
    <t>Decreased min back to 27.99</t>
  </si>
  <si>
    <t>AGL210: 288 - 06/25/21</t>
  </si>
  <si>
    <t>AGL210: 288 - 06/14/21</t>
  </si>
  <si>
    <t>Restock just hit - 24.99-34.99</t>
  </si>
  <si>
    <t>Price scheduling at 26.99 to get sales up</t>
  </si>
  <si>
    <t>No Transit, But 228 At Factory 50-75 days from Earliest Arrival</t>
  </si>
  <si>
    <t>Continue with PPeak (28 unit bulk order next week)</t>
  </si>
  <si>
    <t>PPeak 28.99-35.99</t>
  </si>
  <si>
    <t>PL-IL-CPUU-STA-SIL</t>
  </si>
  <si>
    <t>PPEAK $42.99 to $49.99 due to low DOH</t>
  </si>
  <si>
    <t>Raied PPEAK min by $1 to $43.99</t>
  </si>
  <si>
    <t>PPEAK $44.99 to $49.99</t>
  </si>
  <si>
    <t>#326: 400 - 03/01/21</t>
  </si>
  <si>
    <t xml:space="preserve"> | AGL200: 400 - 05/31/21</t>
  </si>
  <si>
    <t xml:space="preserve"> | AGL 200: 256 - TBD</t>
  </si>
  <si>
    <t xml:space="preserve"> | AGL200: 256 - 06/19/21</t>
  </si>
  <si>
    <t xml:space="preserve"> | AGL200: 256 - 06/30/21</t>
  </si>
  <si>
    <t>AGL200: 256 - 06/17/21</t>
  </si>
  <si>
    <t>PPeak 35.99-45.99</t>
  </si>
  <si>
    <t>| AGL200  - 256 units 06/17</t>
  </si>
  <si>
    <t>Increasing min to 39.99</t>
  </si>
  <si>
    <t>41.99-49.99</t>
  </si>
  <si>
    <t>No Transit, But 648 At Factory 50-75 days from Earliest Arrival</t>
  </si>
  <si>
    <t>Increasing min to 40.99</t>
  </si>
  <si>
    <t>PL-IL-GALV-FP-13x6-3PK</t>
  </si>
  <si>
    <t>#344: 204 - 03/01/21 #346: 36 - 03/01/21</t>
  </si>
  <si>
    <t>#344: 204 - 03/01/21 | #346: 36 - 03/01/21</t>
  </si>
  <si>
    <t>#344: 204 - 03/11/21 | #346;SW: 36 - 03/15/21</t>
  </si>
  <si>
    <t>#344: 204 - 03/12/21 | #346;SW: 36 - TBD</t>
  </si>
  <si>
    <t>#344: 204 - 03/09/21 | #346;SW: 36 - 04/10/21</t>
  </si>
  <si>
    <t>#344: 204 - 03/17/21 | #346;SW: 36 - 04/17/21</t>
  </si>
  <si>
    <t xml:space="preserve"> | #346;SW: 36 - 04/17/21</t>
  </si>
  <si>
    <t>Not in PPeak yet - setting price to 25.99</t>
  </si>
  <si>
    <t xml:space="preserve"> | #346;SW: 36 - 04/18/21</t>
  </si>
  <si>
    <t>Synched with PPeak 29.99-41.99</t>
  </si>
  <si>
    <t xml:space="preserve"> | #346;SW: 36 - 04/16/21</t>
  </si>
  <si>
    <t>Increasing min to 31.99</t>
  </si>
  <si>
    <t>36.99-41.99</t>
  </si>
  <si>
    <t>38.99-45.99</t>
  </si>
  <si>
    <t>40.99-49.99</t>
  </si>
  <si>
    <t>| AGL230  - 160 units 08/17</t>
  </si>
  <si>
    <t xml:space="preserve"> | AGL230: 160 - 08/07/21</t>
  </si>
  <si>
    <t>| AGL230  - 160 units 08/14</t>
  </si>
  <si>
    <t>PL-IL-GALV-FP-9x5-3PK</t>
  </si>
  <si>
    <t>Enabled PPeak 16.99-19.99 with target of 2</t>
  </si>
  <si>
    <t>Increasing PPeak 17.99-21.99</t>
  </si>
  <si>
    <t>#344: 54 - 03/01/21 #346: 72 - 03/01/21</t>
  </si>
  <si>
    <t>Increasing PPeak 19.99-25.99</t>
  </si>
  <si>
    <t>#344: 54 - 03/01/21 | #346: 72 - 03/01/21</t>
  </si>
  <si>
    <t>#344: 54 - 03/11/21 | #346;SW: 72 - 03/15/21</t>
  </si>
  <si>
    <t>Increasing min to 22.99</t>
  </si>
  <si>
    <t xml:space="preserve"> | #346;SW: 72 - TBD</t>
  </si>
  <si>
    <t xml:space="preserve"> | #346;SW: 72 - 04/10/21</t>
  </si>
  <si>
    <t xml:space="preserve"> | #346;SW: 72 - 04/17/21</t>
  </si>
  <si>
    <t>9 units left - maintain</t>
  </si>
  <si>
    <t xml:space="preserve"> | #346;SW: 72 - 04/18/21</t>
  </si>
  <si>
    <t xml:space="preserve"> | #346;SW: 72 - 04/16/21</t>
  </si>
  <si>
    <t>25.99-31.99</t>
  </si>
  <si>
    <t>Price scheduling at 19.99 (friday)</t>
  </si>
  <si>
    <t>Continue with price scheduling at 19.99</t>
  </si>
  <si>
    <t>| AGL230  - 48 units 08/17</t>
  </si>
  <si>
    <t xml:space="preserve"> | AGL230: 48 - 08/07/21</t>
  </si>
  <si>
    <t>| AGL230  - 48 units 08/14</t>
  </si>
  <si>
    <t>PL-IL-GALV-SER-2T</t>
  </si>
  <si>
    <t>Out - restock hitting tomorrow</t>
  </si>
  <si>
    <t>#344: 55 - 03/01/21 #346: 545 - 03/01/21</t>
  </si>
  <si>
    <t>#344: 55 - 03/01/21 | #346: 545 - 03/01/21</t>
  </si>
  <si>
    <t>#344: 55 - 03/11/21 | #346;SW: 545 - 03/15/21</t>
  </si>
  <si>
    <t>#344: 55 - 03/12/21 | #346;SW: 545 - TBD</t>
  </si>
  <si>
    <t>#344: 55 - 03/09/21 | #346;SW: 545 - 04/10/21</t>
  </si>
  <si>
    <t>Deleted price scheduling (PPeak 29.99-39.99)</t>
  </si>
  <si>
    <t>#344: 55 - 03/17/21 | #346;SW: 545 - 04/17/21</t>
  </si>
  <si>
    <t xml:space="preserve">Out </t>
  </si>
  <si>
    <t xml:space="preserve"> | #346;SW: 545 - 04/17/21</t>
  </si>
  <si>
    <t xml:space="preserve"> | #346;SW: 545 - 04/18/21</t>
  </si>
  <si>
    <t xml:space="preserve"> | #346;SW: 545 - 04/16/21</t>
  </si>
  <si>
    <t>27.99-35.99 to run these hotter</t>
  </si>
  <si>
    <t>Increasind min to 29.99 to prolong stock</t>
  </si>
  <si>
    <t>5 units left - maintain</t>
  </si>
  <si>
    <t>PL-IL-GALV-SER-3T</t>
  </si>
  <si>
    <t>#344: 25 - 03/01/21 #346: 775 - 03/01/21</t>
  </si>
  <si>
    <t>#344: 25 - 03/01/21 | #346: 775 - 03/01/21</t>
  </si>
  <si>
    <t>Spooky error in Ppeak - set 35.99-42.99</t>
  </si>
  <si>
    <t>#344: 25 - 03/11/21 | #346;SW: 775 - 03/15/21</t>
  </si>
  <si>
    <t>Decreasing min to 33.99</t>
  </si>
  <si>
    <t>#344: 25 - 03/12/21 | #346;SW: 775 - TBD</t>
  </si>
  <si>
    <t>#344: 25 - 03/09/21 | #346;SW: 775 - 04/10/21</t>
  </si>
  <si>
    <t>#344: 25 - 03/17/21 | #346;SW: 775 - 04/17/21</t>
  </si>
  <si>
    <t xml:space="preserve"> | #346;SW: 775 - 04/17/21</t>
  </si>
  <si>
    <t xml:space="preserve"> | #346;SW: 775 - 04/18/21</t>
  </si>
  <si>
    <t>Increasing PPeak 37.99-45.99</t>
  </si>
  <si>
    <t xml:space="preserve"> | #346;SW: 775 - 04/16/21</t>
  </si>
  <si>
    <t>35.99-45.99 to run these hotter</t>
  </si>
  <si>
    <t>Increasing min to 37.99 to prolong stock</t>
  </si>
  <si>
    <t>Continue with PPeak - units sent into OS</t>
  </si>
  <si>
    <t>No Transit, But 1230 At Factory 50-75 days from Earliest Arrival</t>
  </si>
  <si>
    <t>Out - units sent into OS</t>
  </si>
  <si>
    <t>1 unit left - selling in OS</t>
  </si>
  <si>
    <t>Selling in OS</t>
  </si>
  <si>
    <t>Maintain - also selling in OS</t>
  </si>
  <si>
    <t>PL-IL-GALV-SERCU-2T</t>
  </si>
  <si>
    <t xml:space="preserve">#344: 205 - 03/01/21 #346: 45 - 03/01/21 </t>
  </si>
  <si>
    <t>#344: 205 - 03/01/21 #346: 45 - 03/01/21</t>
  </si>
  <si>
    <t>#344: 205 - 03/01/21 | #346: 45 - 03/01/21</t>
  </si>
  <si>
    <t>#344: 205 - 03/11/21 | #346;SW: 45 - 03/15/21</t>
  </si>
  <si>
    <t>#344: 50 - 03/12/21 | #346;SW: 45 - TBD</t>
  </si>
  <si>
    <t>#344: 50 - 03/09/21 | #346;SW: 45 - 04/10/21</t>
  </si>
  <si>
    <t>#344: 50 - 03/17/21 | #346;SW: 45 - 04/17/21</t>
  </si>
  <si>
    <t xml:space="preserve"> | #346;SW: 45 - 04/17/21</t>
  </si>
  <si>
    <t>Connected to Ppeak 25.99-29.99</t>
  </si>
  <si>
    <t xml:space="preserve"> | #346;SW: 45 - 04/18/21</t>
  </si>
  <si>
    <t>Increased PPeak 27.99-31.99</t>
  </si>
  <si>
    <t xml:space="preserve"> | #346;SW: 45 - 04/16/21</t>
  </si>
  <si>
    <t>Increasing PPeak 29.99-35.99</t>
  </si>
  <si>
    <t>PPeak 32.99-39.99</t>
  </si>
  <si>
    <t>29.99-39.99</t>
  </si>
  <si>
    <t>27.99-37.99 to improve sell through on last units</t>
  </si>
  <si>
    <t>| AGL230  - 60 units 08/17</t>
  </si>
  <si>
    <t xml:space="preserve"> | AGL230: 60 - 08/07/21</t>
  </si>
  <si>
    <t>| AGL230  - 60 units 08/14</t>
  </si>
  <si>
    <t>PL-IL-GALV-SERCU-3T</t>
  </si>
  <si>
    <t xml:space="preserve">#344: 205 - 03/01/21 #346: 145 - 03/01/21 </t>
  </si>
  <si>
    <t>#344: 205 - 03/01/21 #346: 145 - 03/01/21</t>
  </si>
  <si>
    <t>#344: 205 - 03/01/21 | #346: 145 - 03/01/21</t>
  </si>
  <si>
    <t>#344: 205 - 03/11/21 | #346;SW: 145 - 03/15/21</t>
  </si>
  <si>
    <t>#344: 105 - 03/12/21 | #346;SW: 145 - TBD</t>
  </si>
  <si>
    <t>#344: 105 - 03/09/21 | #346;SW: 145 - 04/10/21</t>
  </si>
  <si>
    <t>#344: 105 - 03/17/21 | #346;SW: 145 - 04/17/21</t>
  </si>
  <si>
    <t xml:space="preserve"> | #346;SW: 145 - 04/17/21</t>
  </si>
  <si>
    <t>Not synched with PPeak - setting price to 31.99</t>
  </si>
  <si>
    <t xml:space="preserve"> | #346;SW: 145 - 04/18/21</t>
  </si>
  <si>
    <t>Connected to PPeak 30.99-43.99</t>
  </si>
  <si>
    <t xml:space="preserve"> | #346;SW: 145 - 04/16/21</t>
  </si>
  <si>
    <t>PPeak 34.99-43.99</t>
  </si>
  <si>
    <t>PPeak 36.99-45.99</t>
  </si>
  <si>
    <t>Increasing min to 38.99 to prolong stock</t>
  </si>
  <si>
    <t>| AGL230  - 90 units 08/17</t>
  </si>
  <si>
    <t xml:space="preserve"> | AGL230: 90 - 08/07/21</t>
  </si>
  <si>
    <t>| AGL230  - 90 units 08/14</t>
  </si>
  <si>
    <t>Dropping min to 35.99</t>
  </si>
  <si>
    <t>PL-IL-GALV-SERFL-2T</t>
  </si>
  <si>
    <t>#344: 120 - 03/01/21</t>
  </si>
  <si>
    <t>#344: 120 - 03/11/21</t>
  </si>
  <si>
    <t>#344: 120 - 03/12/21</t>
  </si>
  <si>
    <t>#344: 120 - 03/09/21</t>
  </si>
  <si>
    <t>#344: 120 - 03/17/21</t>
  </si>
  <si>
    <t>Connected to PPeak 23.99-27.99 - enabled PPC</t>
  </si>
  <si>
    <t>Trimming budget - increasing PPeak 25.99-29.99</t>
  </si>
  <si>
    <t>27.99-33.99 to prolong stock</t>
  </si>
  <si>
    <t>29.99-35.99 to prolong stock</t>
  </si>
  <si>
    <t>PL-IL-GALV-SERFL-3T</t>
  </si>
  <si>
    <t>#344: 204 - 03/01/21 #346: 196 - 03/01/21</t>
  </si>
  <si>
    <t>#344: 204 - 03/01/21 | #346: 196 - 03/01/21</t>
  </si>
  <si>
    <t>#344: 204 - 03/11/21 | #346;SW: 196 - 03/15/21</t>
  </si>
  <si>
    <t>#344: 204 - 03/12/21 | #346;SW: 196 - TBD</t>
  </si>
  <si>
    <t>1 unit found - maintain</t>
  </si>
  <si>
    <t>#344: 204 - 03/09/21 | #346;SW: 196 - 04/10/21</t>
  </si>
  <si>
    <t>#344: 204 - 03/17/21 | #346;SW: 196 - 04/17/21</t>
  </si>
  <si>
    <t xml:space="preserve"> | #346;SW: 196 - 04/17/21</t>
  </si>
  <si>
    <t>Connected to PPeak 27.99-35.99</t>
  </si>
  <si>
    <t xml:space="preserve"> | #346;SW: 196 - 04/18/21</t>
  </si>
  <si>
    <t xml:space="preserve"> | #346;SW: 196 - 04/16/21</t>
  </si>
  <si>
    <t>Ppeak 31.99-39.99</t>
  </si>
  <si>
    <t>Increasing min to 34.99 to prolong stock</t>
  </si>
  <si>
    <t>36.99-41.99 to prolong stock</t>
  </si>
  <si>
    <t>| AGL230  - 36 units 08/17</t>
  </si>
  <si>
    <t>Continue with PPeak (also selling in OS)</t>
  </si>
  <si>
    <t xml:space="preserve"> | AGL230: 36 - 08/07/21</t>
  </si>
  <si>
    <t>| AGL230  - 36 units 08/14</t>
  </si>
  <si>
    <t>PL-IL-GALV-TB25x15x13</t>
  </si>
  <si>
    <t>Selling uncommingled SKU (higher on inventory age report)</t>
  </si>
  <si>
    <t>Sold out of uncommingled! Staying at 14.99 (high on inventory age)</t>
  </si>
  <si>
    <t>PPC paused</t>
  </si>
  <si>
    <t>Enabled PPeak 15.99-19.99</t>
  </si>
  <si>
    <t>Increasing PPeak 16.99-21.99</t>
  </si>
  <si>
    <t>Increasing PPeak 17.99-23.99</t>
  </si>
  <si>
    <t>Increasing PPeak 18.99-25.99</t>
  </si>
  <si>
    <t>13 units left - maintain</t>
  </si>
  <si>
    <t>PL-IL-GALV-TB5X6</t>
  </si>
  <si>
    <t>Maintain - getting high on inventory age</t>
  </si>
  <si>
    <t xml:space="preserve">#344: 132 - 03/01/21 #346: 480 - 03/01/21 </t>
  </si>
  <si>
    <t>Increasing min to 12.99</t>
  </si>
  <si>
    <t>#344: 132 - 03/01/21 #346: 480 - 03/01/21</t>
  </si>
  <si>
    <t>1 unit left - Increasing min to 13.99</t>
  </si>
  <si>
    <t>#344: 132 - 03/01/21 | #346: 480 - 03/01/21</t>
  </si>
  <si>
    <t>#344: 132 - 03/11/21 | #346;SW: 480 - 03/15/21</t>
  </si>
  <si>
    <t>#344: 132 - 03/12/21 | #346;SW: 480 - TBD</t>
  </si>
  <si>
    <t>#344: 132 - 03/09/21 | #346;SW: 480 - 04/10/21</t>
  </si>
  <si>
    <t>#344: 132 - 03/17/21 | #346;SW: 480 - 04/17/21</t>
  </si>
  <si>
    <t xml:space="preserve"> | #346;SW: 480 - 04/17/21</t>
  </si>
  <si>
    <t>Reconnected to PPeak 12.99-19.99</t>
  </si>
  <si>
    <t xml:space="preserve"> | #346;SW: 480 - 04/18/21</t>
  </si>
  <si>
    <t xml:space="preserve"> | #346;SW: 480 - 04/16/21</t>
  </si>
  <si>
    <t>13.99-19.99</t>
  </si>
  <si>
    <t>12.99-19.99</t>
  </si>
  <si>
    <t>Increasing min to 13.99</t>
  </si>
  <si>
    <t>Increasing min to 14.99 to prolong stock</t>
  </si>
  <si>
    <t>PL-IL-GALV-TB5X6-2PK</t>
  </si>
  <si>
    <t>Spooky error in PPeak - updated price to 19.99</t>
  </si>
  <si>
    <t>Reconnected to PPeak 21.99-29.99</t>
  </si>
  <si>
    <t>Increasing min to 20.99</t>
  </si>
  <si>
    <t>#344: 116 - 03/12/21</t>
  </si>
  <si>
    <t>#344: 116 - 03/09/21</t>
  </si>
  <si>
    <t>#344: 116 - 03/17/21</t>
  </si>
  <si>
    <t>Decreasing min to 17.99</t>
  </si>
  <si>
    <t>Increasing min to 21.99 to prolong stock</t>
  </si>
  <si>
    <t>Increasing min to 23.99 to prolong stock</t>
  </si>
  <si>
    <t>| AGL230  - 12 units 08/17</t>
  </si>
  <si>
    <t xml:space="preserve">2 units left </t>
  </si>
  <si>
    <t xml:space="preserve">1 unit left </t>
  </si>
  <si>
    <t xml:space="preserve"> | AGL230: 12 - 08/07/21</t>
  </si>
  <si>
    <t>| AGL230  - 12 units 08/14</t>
  </si>
  <si>
    <t>PL-IL-GALV-WMP-10x6-2PK</t>
  </si>
  <si>
    <t xml:space="preserve">#344: 198 - 03/01/21 #346: 42 - 03/01/21 </t>
  </si>
  <si>
    <t>#344: 198 - 03/01/21 #346: 42 - 03/01/21</t>
  </si>
  <si>
    <t>#344: 198 - 03/01/21 | #346: 42 - 03/01/21</t>
  </si>
  <si>
    <t>#344: 198 - 03/11/21 | #346;SW: 42 - 03/15/21</t>
  </si>
  <si>
    <t>#344: 198 - 03/12/21 | #346;SW: 42 - TBD</t>
  </si>
  <si>
    <t>#344: 198 - 03/09/21 | #346;SW: 42 - 04/10/21</t>
  </si>
  <si>
    <t>#344: 198 - 03/17/21 | #346;SW: 42 - 04/17/21</t>
  </si>
  <si>
    <t xml:space="preserve"> | #346;SW: 42 - 04/17/21</t>
  </si>
  <si>
    <t>Not synched with PPeak - setting price to 18.99</t>
  </si>
  <si>
    <t xml:space="preserve"> | #346;SW: 42 - 04/18/21</t>
  </si>
  <si>
    <t>Synched to PPeak 15.99-23.99</t>
  </si>
  <si>
    <t xml:space="preserve"> | #346;SW: 42 - 04/16/21</t>
  </si>
  <si>
    <t>Turned on auto campaign with $5 budget</t>
  </si>
  <si>
    <t>Pausing PPC and increasing PPeak 16.99-25.99</t>
  </si>
  <si>
    <t>Lowering min to 15.99 to improve sell through</t>
  </si>
  <si>
    <t>Increasing min to 19.99 to prolong stock (7 units left)</t>
  </si>
  <si>
    <t>PL-IL-FRUIT-SER-2T</t>
  </si>
  <si>
    <t>Increasing min to 24.99 and trimming PPC</t>
  </si>
  <si>
    <t>Trimming PPC and increasing min to 25.99</t>
  </si>
  <si>
    <t>Paused one of the campaigns running and increased PPeak 26.99-31.99</t>
  </si>
  <si>
    <t>Pausing all PPC</t>
  </si>
  <si>
    <t>Adding a $1 off coupon to get more eyes to the listing</t>
  </si>
  <si>
    <t>Enabled product targeting campaign with $5 budget</t>
  </si>
  <si>
    <t>PPeak 29.99-35.99</t>
  </si>
  <si>
    <t>28.99-35.99 to sell through quicker</t>
  </si>
  <si>
    <t>Price scheduling at 24.99 to improve sell through and DOH - turned on auto PPC</t>
  </si>
  <si>
    <t>Price scheduling at 22.99 to sell out (high on inventory age)</t>
  </si>
  <si>
    <t>Continue with price scheduling in order to sell out of last units</t>
  </si>
  <si>
    <t>PL-IL-FRUIT-SER-3T</t>
  </si>
  <si>
    <t>Price scheduling at 28.99</t>
  </si>
  <si>
    <t>Price scheduling wasnt working so manually set price to 28.99</t>
  </si>
  <si>
    <t>Trimming PPC budget - setting price at 29.99</t>
  </si>
  <si>
    <t>Increasing PPeak to 29.99-35.99 and cutting PPC budget in half</t>
  </si>
  <si>
    <t>Increasing PPeak to 31.99-37.99</t>
  </si>
  <si>
    <t>Trimming PPC daily budget to 5</t>
  </si>
  <si>
    <t>PPeak 33.99-39.99</t>
  </si>
  <si>
    <t>PPeak 35.99-41.99</t>
  </si>
  <si>
    <t>34.99-41.99 to get rid of these last units</t>
  </si>
  <si>
    <t>Price scheduling at 29.99 to get rid of these - pausing PPC</t>
  </si>
  <si>
    <t>PL-IL-WD15X25PK1-SSP-FN</t>
  </si>
  <si>
    <t xml:space="preserve"> | #343;SW: 240 - 03/19/21</t>
  </si>
  <si>
    <t xml:space="preserve"> | #343;SW: 240 - 03/24/21</t>
  </si>
  <si>
    <t xml:space="preserve"> | #343;SW: 240 - 03/25/21</t>
  </si>
  <si>
    <t>#390: 360 - TBD</t>
  </si>
  <si>
    <t>3 units left but SW shipment should be received any day</t>
  </si>
  <si>
    <t>Decreasing min to 29.99</t>
  </si>
  <si>
    <t>#390: 198 - 05/27/21</t>
  </si>
  <si>
    <t>43.99-49.99</t>
  </si>
  <si>
    <t>#390: 198 - 05/31/21 | #412: 300 - 07/13/21</t>
  </si>
  <si>
    <t xml:space="preserve"> | #412: 300 - 07/13/21</t>
  </si>
  <si>
    <t>Units in transfer</t>
  </si>
  <si>
    <t xml:space="preserve"> | #412: 300 - 07/22/21</t>
  </si>
  <si>
    <t>Decreasing min to 35.99</t>
  </si>
  <si>
    <t>| 412  - 300 units 07/22</t>
  </si>
  <si>
    <t>Increasing min to 43.99</t>
  </si>
  <si>
    <t xml:space="preserve"> | #412: 300 - 07/21/21</t>
  </si>
  <si>
    <t>| 412  - 300 units 07/16| AGL253 STAR - 210 units 11/01</t>
  </si>
  <si>
    <t>Dropping min to 39.99</t>
  </si>
  <si>
    <t>PL-IL-WD15X25PK1-SSP-NSD-FN</t>
  </si>
  <si>
    <t xml:space="preserve"> | #412: 180 - 07/13/21</t>
  </si>
  <si>
    <t xml:space="preserve"> | #412: 180 - 07/22/21</t>
  </si>
  <si>
    <t>| 415  - 222 units 07/07| 412  - 180 units 07/22</t>
  </si>
  <si>
    <t xml:space="preserve"> | #412: 180 - 07/21/21 | AGL253: 222 - </t>
  </si>
  <si>
    <t>| 412  - 180 units 07/16| AGL253 STAR - 222 units 11/01</t>
  </si>
  <si>
    <t>PL-IL-WD15X25-SSP</t>
  </si>
  <si>
    <t xml:space="preserve"> #342: 195 - TBD</t>
  </si>
  <si>
    <t>#342;SW: 195 - 03/01/21</t>
  </si>
  <si>
    <t>#342;SW: 195 - 03/19/21 | #343;SW: 360 - 03/19/21</t>
  </si>
  <si>
    <t>#342;SW: 195 - 03/24/21 | #343;SW: 360 - 03/24/21</t>
  </si>
  <si>
    <t>#390: 345 - TBD</t>
  </si>
  <si>
    <t>PPeak 41.99-55.99</t>
  </si>
  <si>
    <t>#390: 231 - 05/27/21</t>
  </si>
  <si>
    <t>Increasing min to 51.99</t>
  </si>
  <si>
    <t>59.99-69.99</t>
  </si>
  <si>
    <t>63.99-69.99</t>
  </si>
  <si>
    <t>65.99-71.99</t>
  </si>
  <si>
    <t>#390: 231 - 05/31/21 | #412: 501 - 07/13/21</t>
  </si>
  <si>
    <t xml:space="preserve"> | #412: 501 - 07/13/21</t>
  </si>
  <si>
    <t xml:space="preserve"> | #412: 501 - 07/22/21</t>
  </si>
  <si>
    <t>69.99-79.99</t>
  </si>
  <si>
    <t>| 415  - 303 units 07/07| 412  - 501 units 07/22</t>
  </si>
  <si>
    <t xml:space="preserve"> | #412: 501 - 07/21/21 | AGL253: 303 - </t>
  </si>
  <si>
    <t>| 412  - 501 units 07/16| AGL253 STAR - 600 units 11/01</t>
  </si>
  <si>
    <t>Dropping min to 65.99</t>
  </si>
  <si>
    <t>PL-IL-2GAL-SSP</t>
  </si>
  <si>
    <t>Restock hitting any day now - decreasing min to 43.99</t>
  </si>
  <si>
    <t>AGL137: 240 - 01/12/21
#310;SW: 80 - 02/06/21</t>
  </si>
  <si>
    <t>#310;SW: 80 - 02/09/21</t>
  </si>
  <si>
    <t>Increased min to 45.99</t>
  </si>
  <si>
    <t>#310;SW: 80 - 02/09/21 #342: 200 - 03/01/21</t>
  </si>
  <si>
    <t>Decreasing min to 43.99</t>
  </si>
  <si>
    <t>#342;SW: 200 - 03/01/21</t>
  </si>
  <si>
    <t>Increasing min back to 45.99</t>
  </si>
  <si>
    <t>#342;SW: 200 - 03/19/21 | #310: 80 - 02/12/21</t>
  </si>
  <si>
    <t>#342;SW: 200 - 03/24/21 | #310: 80 - 02/12/21</t>
  </si>
  <si>
    <t>Increasing min to 46.99</t>
  </si>
  <si>
    <t>#342;SW: 200 - 03/24/21</t>
  </si>
  <si>
    <t>Increasing min to 47.99</t>
  </si>
  <si>
    <t>#390: 284 - TBD</t>
  </si>
  <si>
    <t>SW shipment should be received any day</t>
  </si>
  <si>
    <t xml:space="preserve"> | #390-3: 284 - TBD</t>
  </si>
  <si>
    <t>47.99-55.99</t>
  </si>
  <si>
    <t>2nd week in stock and sell through is continuing to increase - maintain at 47.99-55.99</t>
  </si>
  <si>
    <t xml:space="preserve"> | #390-3: 284 - 07/10/21 | AGL 220: 400 - TBD | #412: 400 - 07/13/21</t>
  </si>
  <si>
    <t>49.99-59.99</t>
  </si>
  <si>
    <t>#390: 284 - 06/06/21 | #390-3: 284 - 07/10/21 | AGL220: 400 - 07/22/21 | #412: 400 - 07/13/21</t>
  </si>
  <si>
    <t>#390-3: 284 - 07/10/21 | AGL220: 400 - 07/22/21 | #412: 400 - 07/22/21</t>
  </si>
  <si>
    <t>#390-3: 284 - 07/10/21 | AGL220: 400 - 08/14/21 | #412: 400 - 07/22/21</t>
  </si>
  <si>
    <t>| 390-3  - 284 units 07/10| AGL220  - 400 units 08/14</t>
  </si>
  <si>
    <t>#390-3: 284 - 07/07/21 | AGL220: 400 - 08/14/21</t>
  </si>
  <si>
    <t>| AGL220  - 400 units 08/13</t>
  </si>
  <si>
    <t>PL-IL-1GALI-SSP-NSD</t>
  </si>
  <si>
    <t>Optimizing PPC and setting PPeak 19.99-24.99</t>
  </si>
  <si>
    <t>#390: 210 - 05/27/21</t>
  </si>
  <si>
    <t>Pausing PPC PPeak 22.99-27.99</t>
  </si>
  <si>
    <t>#390: 210 - 05/31/21</t>
  </si>
  <si>
    <t>27.99-37.99 to get more $$$ out of last units</t>
  </si>
  <si>
    <t>Decreasing min to 24.99</t>
  </si>
  <si>
    <t>Decreasing PPeak 23.99-29.99 to force price back down</t>
  </si>
  <si>
    <t>| 415  - 180 units 07/07</t>
  </si>
  <si>
    <t xml:space="preserve"> | AGL253: 180 - </t>
  </si>
  <si>
    <t>PPeak 31.99-37.99</t>
  </si>
  <si>
    <t>| S210703  - 240 units 09/17| AGL253 STAR - 180 units 11/01</t>
  </si>
  <si>
    <t>PL-IL-2GAL-SSP-NSD</t>
  </si>
  <si>
    <t>1 units left - maintain</t>
  </si>
  <si>
    <t xml:space="preserve">
#310;SW: 80 - 02/06/21</t>
  </si>
  <si>
    <t>Increasing min to 41.99</t>
  </si>
  <si>
    <t>#310;SW: 80 - 02/09/21 #342: 220 - 03/01/21</t>
  </si>
  <si>
    <t>Increasing min to 43.99 (sharing buy box with second star)</t>
  </si>
  <si>
    <t>Maintain (sharing buy box with second star)</t>
  </si>
  <si>
    <t>#342;SW: 220 - 03/01/21</t>
  </si>
  <si>
    <t>#342;SW: 220 - 03/19/21 | #343;SW: 660 - 03/19/21 | #310: 80 - 02/12/21</t>
  </si>
  <si>
    <t>Setting to 37.99 to move through units (we also have units in SS)</t>
  </si>
  <si>
    <t>#342;SW: 220 - 03/24/21 | #343;SW: 660 - 03/24/21 | #310: 80 - 02/12/21</t>
  </si>
  <si>
    <t>Maintain - priced below SS</t>
  </si>
  <si>
    <t>#342;SW: 220 - 03/24/21 | #343;SW: 660 - 03/24/21</t>
  </si>
  <si>
    <t>Increased price to 38.99 - now SS will have the buy box</t>
  </si>
  <si>
    <t>Selling in SS</t>
  </si>
  <si>
    <t xml:space="preserve"> | #343;SW: 660 - 03/25/21</t>
  </si>
  <si>
    <t>Increasing to 41.99</t>
  </si>
  <si>
    <t>Out - SW shipment should be received any day</t>
  </si>
  <si>
    <t>Set to 39.99</t>
  </si>
  <si>
    <t>PPeak 43.99-49.99</t>
  </si>
  <si>
    <t>45.99-51.99</t>
  </si>
  <si>
    <t>39.99-49.99 to improve sell through</t>
  </si>
  <si>
    <t>42.99-52.99 to get more $$$ out of last units</t>
  </si>
  <si>
    <t>Increasing min to 45.99 to prolong stock</t>
  </si>
  <si>
    <t>Increasing min to 47.99 to prolong stock</t>
  </si>
  <si>
    <t>Maintain - units sent into OS</t>
  </si>
  <si>
    <t>Mustve had some replacements sent? Units in OS now also</t>
  </si>
  <si>
    <t>39.99-49.99 (also selling in OS)</t>
  </si>
  <si>
    <t>Out - selling in OS</t>
  </si>
  <si>
    <t>| S210703  - 300 units 09/17| AGL253 STAR - 500 units 11/01</t>
  </si>
  <si>
    <t>PL-IL-2GAL-SSP-BSTD</t>
  </si>
  <si>
    <t>Units stuck in stranded - case in</t>
  </si>
  <si>
    <t xml:space="preserve">
#310;SW: 64 - 02/06/21</t>
  </si>
  <si>
    <t>#310;SW: 64 - 02/09/21</t>
  </si>
  <si>
    <t xml:space="preserve">#310;SW: 64 - 02/09/21 #342: 204 - 03/01/21 </t>
  </si>
  <si>
    <t>#310;SW: 64 - 02/09/21 #342: 204 - 03/01/21</t>
  </si>
  <si>
    <t>#342;SW: 204 - 03/01/21</t>
  </si>
  <si>
    <t>#342;SW: 204 - 03/19/21 | #310: 64 - 02/12/21</t>
  </si>
  <si>
    <t>#342;SW: 204 - 03/24/21 | #310: 64 - 02/12/21</t>
  </si>
  <si>
    <t>#342;SW: 204 - 03/24/21</t>
  </si>
  <si>
    <t>#390: 532 - TBD</t>
  </si>
  <si>
    <t xml:space="preserve"> | #390-3: 532 - TBD</t>
  </si>
  <si>
    <t xml:space="preserve"> | #390-3: 532 - 07/10/21 | AGL 220: 200 - TBD | #412: 200 - 07/13/21</t>
  </si>
  <si>
    <t>49.99-59.99 to improve margin</t>
  </si>
  <si>
    <t>Increasing min to 52.99</t>
  </si>
  <si>
    <t>#390: 532 - 06/06/21 | #390-3: 532 - 07/10/21 | AGL220: 200 - 07/22/21 | #412: 200 - 07/13/21</t>
  </si>
  <si>
    <t>#390-3: 532 - 07/10/21 | AGL220: 200 - 07/22/21 | #412: 200 - 07/22/21</t>
  </si>
  <si>
    <t>#390-3: 532 - 07/10/21 | AGL220: 200 - 08/14/21 | #412: 200 - 07/22/21</t>
  </si>
  <si>
    <t>| 390-3  - 532 units 07/10| AGL220  - 200 units 08/14</t>
  </si>
  <si>
    <t>#390-3: 532 - 07/07/21 | AGL220: 200 - 08/14/21</t>
  </si>
  <si>
    <t>| AGL220  - 200 units 08/13</t>
  </si>
  <si>
    <t>PL-IL-2GAL2PK-SSP</t>
  </si>
  <si>
    <t>69.99-82.99</t>
  </si>
  <si>
    <t>2nd week in stock and sell through is continuing to increase - maintain at 69.99-82.99</t>
  </si>
  <si>
    <t xml:space="preserve"> | #390-3: 300 - 07/10/21 | AGL 220: 600 - TBD | #412: 600 - 07/13/21</t>
  </si>
  <si>
    <t>75.99-85.99 to improve margin</t>
  </si>
  <si>
    <t>Increasing min to 78.99</t>
  </si>
  <si>
    <t>#390: 300 - 06/06/21 | #390-3: 300 - 07/10/21 | AGL220: 600 - 07/22/21 | #412: 600 - 07/13/21</t>
  </si>
  <si>
    <t>#390-3: 300 - 07/10/21 | AGL220: 600 - 07/22/21 | #412: 600 - 07/22/21</t>
  </si>
  <si>
    <t>#390-3: 300 - 07/10/21 | AGL220: 600 - 08/14/21 | #412: 600 - 07/22/21</t>
  </si>
  <si>
    <t>| 390-3  - 300 units 07/10| AGL220  - 600 units 08/14</t>
  </si>
  <si>
    <t>#390-3: 300 - 07/07/21 | AGL220: 600 - 08/14/21</t>
  </si>
  <si>
    <t>| AGL220  - 600 units 08/13</t>
  </si>
  <si>
    <t>PL-IL-DM17X36PU-BKCK</t>
  </si>
  <si>
    <t>Dropping min to 13.99 and adding a target of 2</t>
  </si>
  <si>
    <t>Last weeks optimizations helping - maintain</t>
  </si>
  <si>
    <t>Price scheduling at 12.99</t>
  </si>
  <si>
    <t>Ended price scheduling and dropped PPeak min to 9.99 - enabled Seans sponsored brands campaign</t>
  </si>
  <si>
    <t>Enabled auto PPC with $5 budget (25 units on excess), set price to 9.99 and a/b testing title, added more relevent search terms to back end (bulk order earlier this week of 10 units)</t>
  </si>
  <si>
    <t>Set up new campaign Sean suggested</t>
  </si>
  <si>
    <t>Pasued auto campaign</t>
  </si>
  <si>
    <t>Added a $1 off coupon to help sell through</t>
  </si>
  <si>
    <t>Continue at 9.99 with $1 off coupon to help sell through</t>
  </si>
  <si>
    <t>Continue at 9.99 with $1 off coupon to sell out</t>
  </si>
  <si>
    <t>PL-IL-DM23X47PU-TNBL</t>
  </si>
  <si>
    <t>AGL173: 54 - TBD</t>
  </si>
  <si>
    <t xml:space="preserve">AGL173: 54 - 03/01/21 </t>
  </si>
  <si>
    <t>AGL173: 36 - 03/01/21</t>
  </si>
  <si>
    <t>AGL173: 36 - 03/27/21</t>
  </si>
  <si>
    <t>AGL173: 36 - 03/21/21</t>
  </si>
  <si>
    <t>AGL173: 36 - 03/23/21</t>
  </si>
  <si>
    <t>PL-IL-GALV-3FPTRY</t>
  </si>
  <si>
    <t>Continue at 13.99 (getting high on inventory age report)</t>
  </si>
  <si>
    <t>3 units left - increasing to 15.99</t>
  </si>
  <si>
    <t>PL-IL-GALV-WMP-16x8-2PK</t>
  </si>
  <si>
    <t>Sales jumped from 6 to 11 WoW - optimizing PPC</t>
  </si>
  <si>
    <t>On excess inventory - dropping min to 15.99</t>
  </si>
  <si>
    <t>Maintain (excess inventory)</t>
  </si>
  <si>
    <t>Off of excess - pausing PPC</t>
  </si>
  <si>
    <t>Price scheduling at 15.99 - enabled manual campaign</t>
  </si>
  <si>
    <t>Price scheduling ended - optimizing PPC</t>
  </si>
  <si>
    <t>Optimizing PPC - increasing min to 17.99 (with smaller one in stock we should price this a little above it)</t>
  </si>
  <si>
    <t>Paused manual PPC</t>
  </si>
  <si>
    <t>16.99-25.99 to get rid of these last units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</si>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</sst>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9" x14ac:knownFonts="1">
    <font>
      <sz val="11"/>
      <color rgb="FF000000"/>
      <name val="Calibri"/>
    </font>
    <font>
      <sz val="11"/>
      <color theme="1"/>
      <name val="Calibri"/>
    </font>
    <font>
      <sz val="10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rgb="FF3F3F3F"/>
      <name val="Calibri"/>
    </font>
    <font>
      <b/>
      <sz val="11"/>
      <color rgb="FFF2F2F2"/>
      <name val="Calibri"/>
    </font>
    <font>
      <b/>
      <sz val="11"/>
      <color rgb="FF222222"/>
      <name val="Arial"/>
    </font>
    <font>
      <sz val="11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4" fontId="5" fillId="2" borderId="9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44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/>
    </xf>
    <xf numFmtId="165" fontId="5" fillId="2" borderId="9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 wrapText="1"/>
    </xf>
    <xf numFmtId="2" fontId="5" fillId="2" borderId="9" xfId="0" applyNumberFormat="1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 wrapText="1"/>
    </xf>
    <xf numFmtId="164" fontId="1" fillId="2" borderId="11" xfId="0" applyNumberFormat="1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/>
    </xf>
    <xf numFmtId="44" fontId="0" fillId="2" borderId="11" xfId="0" applyNumberFormat="1" applyFont="1" applyFill="1" applyBorder="1" applyAlignment="1">
      <alignment horizontal="center"/>
    </xf>
    <xf numFmtId="9" fontId="0" fillId="2" borderId="11" xfId="0" applyNumberFormat="1" applyFont="1" applyFill="1" applyBorder="1" applyAlignment="1">
      <alignment horizontal="center"/>
    </xf>
    <xf numFmtId="165" fontId="0" fillId="2" borderId="11" xfId="0" applyNumberFormat="1" applyFont="1" applyFill="1" applyBorder="1" applyAlignment="1">
      <alignment horizontal="center"/>
    </xf>
    <xf numFmtId="2" fontId="0" fillId="2" borderId="11" xfId="0" applyNumberFormat="1" applyFont="1" applyFill="1" applyBorder="1" applyAlignment="1">
      <alignment horizontal="center"/>
    </xf>
    <xf numFmtId="2" fontId="0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right"/>
    </xf>
    <xf numFmtId="9" fontId="0" fillId="0" borderId="0" xfId="0" applyNumberFormat="1" applyFont="1" applyAlignment="1">
      <alignment horizontal="center"/>
    </xf>
    <xf numFmtId="44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right"/>
    </xf>
    <xf numFmtId="0" fontId="1" fillId="0" borderId="0" xfId="0" applyFont="1"/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/>
    <xf numFmtId="9" fontId="1" fillId="2" borderId="11" xfId="0" applyNumberFormat="1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44" fontId="0" fillId="0" borderId="0" xfId="0" applyNumberFormat="1" applyFont="1"/>
    <xf numFmtId="44" fontId="0" fillId="2" borderId="11" xfId="0" applyNumberFormat="1" applyFont="1" applyFill="1" applyBorder="1"/>
    <xf numFmtId="166" fontId="0" fillId="0" borderId="0" xfId="0" applyNumberFormat="1" applyFont="1"/>
    <xf numFmtId="167" fontId="0" fillId="0" borderId="0" xfId="0" applyNumberFormat="1" applyFont="1"/>
    <xf numFmtId="164" fontId="0" fillId="2" borderId="11" xfId="0" applyNumberFormat="1" applyFont="1" applyFill="1" applyBorder="1" applyAlignment="1">
      <alignment horizontal="center"/>
    </xf>
    <xf numFmtId="0" fontId="0" fillId="2" borderId="11" xfId="0" applyFont="1" applyFill="1" applyBorder="1"/>
    <xf numFmtId="164" fontId="5" fillId="2" borderId="9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Font="1" applyAlignment="1"/>
    <xf numFmtId="14" fontId="0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7" fillId="3" borderId="11" xfId="0" applyFont="1" applyFill="1" applyBorder="1"/>
    <xf numFmtId="0" fontId="8" fillId="3" borderId="11" xfId="0" applyFont="1" applyFill="1" applyBorder="1"/>
    <xf numFmtId="0" fontId="1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/>
    <xf numFmtId="164" fontId="0" fillId="2" borderId="1" xfId="0" applyNumberFormat="1" applyFont="1" applyFill="1" applyBorder="1" applyAlignment="1">
      <alignment horizontal="center" vertical="center" wrapText="1"/>
    </xf>
    <xf numFmtId="0" fontId="4" fillId="0" borderId="2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4" fillId="0" borderId="3" xfId="0" applyFont="1" applyBorder="1"/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5" fillId="2" borderId="7" xfId="0" applyFont="1" applyFill="1" applyBorder="1" applyAlignment="1">
      <alignment horizontal="left" vertical="center"/>
    </xf>
    <xf numFmtId="0" fontId="4" fillId="0" borderId="8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 vertical="center" wrapText="1"/>
    </xf>
    <xf numFmtId="0" fontId="4" fillId="0" borderId="5" xfId="0" applyFont="1" applyBorder="1"/>
    <xf numFmtId="0" fontId="0" fillId="0" borderId="0" xfId="0" applyFont="1" applyAlignment="1">
      <alignment horizontal="center" vertical="center" wrapText="1"/>
    </xf>
    <xf numFmtId="0" fontId="4" fillId="0" borderId="6" xfId="0" applyFont="1" applyBorder="1"/>
    <xf numFmtId="0" fontId="1" fillId="0" borderId="0" xfId="0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12" activePane="bottomRight" state="frozen"/>
      <selection pane="topRight" activeCell="C1" sqref="C1"/>
      <selection pane="bottomLeft" activeCell="A4" sqref="A4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20.5" customWidth="1"/>
    <col min="21" max="21" width="21.6640625" customWidth="1"/>
    <col min="22" max="22" width="77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Info!B1:BJ5000""),3,FALSE),"""")"),"Amber Bottle, 16oz - 12-Pack")</f>
        <v>Amber Bottle, 16oz - 12-Pack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Info!B1:BJ5000""),2,FALSE),"""")"),"B01IC1NQFO")</f>
        <v>B01IC1NQFO</v>
      </c>
      <c r="B2" s="3" t="s">
        <v>30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09.5" customHeight="1" x14ac:dyDescent="0.2">
      <c r="A3" s="68" t="s">
        <v>31</v>
      </c>
      <c r="B3" s="69"/>
      <c r="C3" s="4">
        <f>((AE32+AF32)/0.85)*-1</f>
        <v>23.746294705882356</v>
      </c>
      <c r="D3" s="5">
        <f>SUM(D4:D99767)</f>
        <v>1715</v>
      </c>
      <c r="E3" s="5"/>
      <c r="F3" s="6">
        <f t="shared" ref="F3:G3" si="0">SUM(F4:F99767)</f>
        <v>57453.379999999983</v>
      </c>
      <c r="G3" s="6">
        <f t="shared" si="0"/>
        <v>-18.310000000000002</v>
      </c>
      <c r="H3" s="7">
        <f t="shared" ref="H3:H32" si="1">G3/F3*-1</f>
        <v>3.1869317349127256E-4</v>
      </c>
      <c r="I3" s="8">
        <f t="shared" ref="I3:I32" si="2">J3/F3</f>
        <v>0.22149877889141065</v>
      </c>
      <c r="J3" s="6">
        <f>SUM(J4:J99767)</f>
        <v>12725.853513184191</v>
      </c>
      <c r="K3" s="6">
        <f t="shared" ref="K3:K32" si="3">J3/D3</f>
        <v>7.4203227482123566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Sheet!a1:g5000""),2,FALSE),"""")"),"13 - March
10 - April
10 - May
10 - June
10 - July
10 - Aug
10 - Sept
10 - Oct
10 - Nov
10 - Dec
18 - Jan
15 - Feb")</f>
        <v>13 - March
10 - April
10 - May
10 - June
10 - July
10 - Aug
10 - Sept
10 - Oct
10 - Nov
10 - Dec
18 - Jan
15 -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QTY-87")</f>
        <v>Del QTY-87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5</v>
      </c>
      <c r="X3" s="7">
        <f>W3/D3</f>
        <v>2.9154518950437317E-3</v>
      </c>
      <c r="Y3" s="6"/>
      <c r="Z3" s="5"/>
      <c r="AA3" s="5"/>
      <c r="AB3" s="5"/>
      <c r="AC3" s="5"/>
      <c r="AD3" s="6">
        <f>SUM(AD4:AD99767)</f>
        <v>-1740.6224440431072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Info!B2:BZ3000""),37,FALSE)),"""")*-1"),-11.5043505)</f>
        <v>-11.504350499999999</v>
      </c>
      <c r="AG3" s="6">
        <f>SUM(AG4:AG99767)</f>
        <v>0</v>
      </c>
    </row>
    <row r="4" spans="1:33" ht="16" x14ac:dyDescent="0.2">
      <c r="A4" s="1" t="s">
        <v>32</v>
      </c>
      <c r="B4" s="2" t="s">
        <v>33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1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>
        <v>2.67400275103163</v>
      </c>
      <c r="T4" s="2" t="s">
        <v>34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-9.8824431818181822</v>
      </c>
      <c r="AG4" s="24">
        <v>0</v>
      </c>
    </row>
    <row r="5" spans="1:33" ht="15.75" customHeight="1" x14ac:dyDescent="0.2">
      <c r="A5" s="26" t="s">
        <v>35</v>
      </c>
      <c r="B5" s="26" t="s">
        <v>36</v>
      </c>
      <c r="C5" s="14">
        <f t="shared" si="4"/>
        <v>49.99</v>
      </c>
      <c r="D5" s="27">
        <v>4</v>
      </c>
      <c r="E5" s="27">
        <v>0</v>
      </c>
      <c r="F5" s="28">
        <v>199.96</v>
      </c>
      <c r="G5" s="28">
        <v>-0.30000000000000004</v>
      </c>
      <c r="H5" s="29">
        <f t="shared" si="1"/>
        <v>1.5003000600120025E-3</v>
      </c>
      <c r="I5" s="29">
        <f t="shared" si="2"/>
        <v>0.44638839782072082</v>
      </c>
      <c r="J5" s="30">
        <f t="shared" si="5"/>
        <v>89.259824028231336</v>
      </c>
      <c r="K5" s="30">
        <f t="shared" si="3"/>
        <v>22.314956007057834</v>
      </c>
      <c r="L5" s="27">
        <v>79</v>
      </c>
      <c r="M5" s="31">
        <f t="shared" si="6"/>
        <v>5.0632911392405063E-2</v>
      </c>
      <c r="N5" s="27">
        <v>1201</v>
      </c>
      <c r="O5" s="32">
        <f t="shared" ref="O5:P5" si="13">D5/7</f>
        <v>0.5714285714285714</v>
      </c>
      <c r="P5" s="32">
        <f t="shared" si="13"/>
        <v>0</v>
      </c>
      <c r="Q5" s="27">
        <f t="shared" si="8"/>
        <v>2101</v>
      </c>
      <c r="R5" s="27"/>
      <c r="S5" s="33">
        <v>0.90837549184935296</v>
      </c>
      <c r="T5" s="26" t="s">
        <v>34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0.7239860950173812</v>
      </c>
      <c r="AD5" s="37">
        <f t="shared" si="12"/>
        <v>-3.9964032444959439</v>
      </c>
      <c r="AE5" s="37">
        <v>-9.2200000000000006</v>
      </c>
      <c r="AF5" s="37">
        <v>-9.8824431818181822</v>
      </c>
      <c r="AG5" s="37">
        <v>0</v>
      </c>
    </row>
    <row r="6" spans="1:33" ht="15.75" customHeight="1" x14ac:dyDescent="0.2">
      <c r="A6" s="26" t="s">
        <v>38</v>
      </c>
      <c r="B6" s="26" t="s">
        <v>39</v>
      </c>
      <c r="C6" s="14">
        <f t="shared" si="4"/>
        <v>38.3508</v>
      </c>
      <c r="D6" s="27">
        <v>50</v>
      </c>
      <c r="E6" s="27">
        <v>0</v>
      </c>
      <c r="F6" s="28">
        <v>1917.54</v>
      </c>
      <c r="G6" s="28">
        <v>-0.36000000000000004</v>
      </c>
      <c r="H6" s="29">
        <f t="shared" si="1"/>
        <v>1.8774054257016806E-4</v>
      </c>
      <c r="I6" s="29">
        <f t="shared" si="2"/>
        <v>0.32569313739836914</v>
      </c>
      <c r="J6" s="30">
        <f t="shared" si="5"/>
        <v>624.52961868686873</v>
      </c>
      <c r="K6" s="30">
        <f t="shared" si="3"/>
        <v>12.490592373737375</v>
      </c>
      <c r="L6" s="27">
        <v>145</v>
      </c>
      <c r="M6" s="31">
        <f t="shared" si="6"/>
        <v>0.34482758620689657</v>
      </c>
      <c r="N6" s="27">
        <v>1179</v>
      </c>
      <c r="O6" s="32">
        <f t="shared" ref="O6:P6" si="14">D6/7</f>
        <v>7.1428571428571432</v>
      </c>
      <c r="P6" s="32">
        <f t="shared" si="14"/>
        <v>0</v>
      </c>
      <c r="Q6" s="27">
        <f t="shared" si="8"/>
        <v>165</v>
      </c>
      <c r="R6" s="27"/>
      <c r="S6" s="33">
        <v>0.85420447670901301</v>
      </c>
      <c r="T6" s="26">
        <v>2228</v>
      </c>
      <c r="U6" s="34">
        <v>900</v>
      </c>
      <c r="V6" s="35" t="s">
        <v>40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0.7231481481481481</v>
      </c>
      <c r="AD6" s="37">
        <f t="shared" si="12"/>
        <v>-49.897222222222211</v>
      </c>
      <c r="AE6" s="37">
        <v>-9.2200000000000006</v>
      </c>
      <c r="AF6" s="37">
        <v>-9.8824431818181822</v>
      </c>
      <c r="AG6" s="37">
        <v>0</v>
      </c>
    </row>
    <row r="7" spans="1:33" ht="15.75" customHeight="1" x14ac:dyDescent="0.2">
      <c r="A7" s="26" t="s">
        <v>41</v>
      </c>
      <c r="B7" s="26" t="s">
        <v>42</v>
      </c>
      <c r="C7" s="14">
        <f t="shared" si="4"/>
        <v>36.544330708661413</v>
      </c>
      <c r="D7" s="27">
        <v>127</v>
      </c>
      <c r="E7" s="27">
        <v>4</v>
      </c>
      <c r="F7" s="28">
        <v>4641.1299999999992</v>
      </c>
      <c r="G7" s="28">
        <v>-0.21</v>
      </c>
      <c r="H7" s="29">
        <f t="shared" si="1"/>
        <v>4.5247601338467149E-5</v>
      </c>
      <c r="I7" s="29">
        <f t="shared" si="2"/>
        <v>0.29992723139938898</v>
      </c>
      <c r="J7" s="30">
        <f t="shared" si="5"/>
        <v>1392.0012714646459</v>
      </c>
      <c r="K7" s="30">
        <f t="shared" si="3"/>
        <v>10.960639932792487</v>
      </c>
      <c r="L7" s="27">
        <v>254</v>
      </c>
      <c r="M7" s="31">
        <f t="shared" si="6"/>
        <v>0.5</v>
      </c>
      <c r="N7" s="27">
        <v>1057</v>
      </c>
      <c r="O7" s="32">
        <f t="shared" ref="O7:P7" si="15">D7/7</f>
        <v>18.142857142857142</v>
      </c>
      <c r="P7" s="32">
        <f t="shared" si="15"/>
        <v>0.5714285714285714</v>
      </c>
      <c r="Q7" s="27">
        <f t="shared" si="8"/>
        <v>56</v>
      </c>
      <c r="R7" s="27"/>
      <c r="S7" s="33">
        <v>1.1135734072022101</v>
      </c>
      <c r="T7" s="26">
        <v>2228</v>
      </c>
      <c r="U7" s="34">
        <v>900</v>
      </c>
      <c r="V7" s="35" t="s">
        <v>40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0.7231481481481481</v>
      </c>
      <c r="AD7" s="37">
        <f t="shared" si="12"/>
        <v>-126.73894444444443</v>
      </c>
      <c r="AE7" s="37">
        <v>-9.2200000000000006</v>
      </c>
      <c r="AF7" s="37">
        <v>-9.8824431818181822</v>
      </c>
      <c r="AG7" s="37">
        <v>0</v>
      </c>
    </row>
    <row r="8" spans="1:33" ht="15.75" customHeight="1" x14ac:dyDescent="0.2">
      <c r="A8" s="26" t="s">
        <v>43</v>
      </c>
      <c r="B8" s="26" t="s">
        <v>44</v>
      </c>
      <c r="C8" s="14">
        <f t="shared" si="4"/>
        <v>34.816272727272747</v>
      </c>
      <c r="D8" s="27">
        <v>110</v>
      </c>
      <c r="E8" s="27">
        <v>2</v>
      </c>
      <c r="F8" s="28">
        <v>3829.7900000000018</v>
      </c>
      <c r="G8" s="28">
        <v>-0.26</v>
      </c>
      <c r="H8" s="29">
        <f t="shared" si="1"/>
        <v>6.7888839858060076E-5</v>
      </c>
      <c r="I8" s="29">
        <f t="shared" si="2"/>
        <v>0.27267490152491691</v>
      </c>
      <c r="J8" s="30">
        <f t="shared" si="5"/>
        <v>1044.287611111112</v>
      </c>
      <c r="K8" s="30">
        <f t="shared" si="3"/>
        <v>9.4935237373737458</v>
      </c>
      <c r="L8" s="27">
        <v>207</v>
      </c>
      <c r="M8" s="31">
        <f t="shared" si="6"/>
        <v>0.53140096618357491</v>
      </c>
      <c r="N8" s="27">
        <v>939</v>
      </c>
      <c r="O8" s="32">
        <f t="shared" ref="O8:P8" si="16">D8/7</f>
        <v>15.714285714285714</v>
      </c>
      <c r="P8" s="32">
        <f t="shared" si="16"/>
        <v>0.2857142857142857</v>
      </c>
      <c r="Q8" s="27">
        <f t="shared" si="8"/>
        <v>58</v>
      </c>
      <c r="R8" s="27"/>
      <c r="S8" s="33">
        <v>1.5933333333333299</v>
      </c>
      <c r="T8" s="26">
        <v>1328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0.7231481481481481</v>
      </c>
      <c r="AD8" s="37">
        <f t="shared" si="12"/>
        <v>-109.77388888888888</v>
      </c>
      <c r="AE8" s="37">
        <v>-9.2200000000000006</v>
      </c>
      <c r="AF8" s="37">
        <v>-9.8800000000000008</v>
      </c>
      <c r="AG8" s="37">
        <v>0</v>
      </c>
    </row>
    <row r="9" spans="1:33" ht="15.75" customHeight="1" x14ac:dyDescent="0.2">
      <c r="A9" s="26" t="s">
        <v>45</v>
      </c>
      <c r="B9" s="26" t="s">
        <v>46</v>
      </c>
      <c r="C9" s="14">
        <f t="shared" si="4"/>
        <v>35.809999999999945</v>
      </c>
      <c r="D9" s="27">
        <v>106</v>
      </c>
      <c r="E9" s="27">
        <v>2</v>
      </c>
      <c r="F9" s="28">
        <v>3795.8599999999942</v>
      </c>
      <c r="G9" s="28">
        <v>-0.37000000000000005</v>
      </c>
      <c r="H9" s="29">
        <f t="shared" si="1"/>
        <v>9.747461708282197E-5</v>
      </c>
      <c r="I9" s="29">
        <f t="shared" si="2"/>
        <v>0.26897061482241241</v>
      </c>
      <c r="J9" s="30">
        <f t="shared" si="5"/>
        <v>1020.9747979798008</v>
      </c>
      <c r="K9" s="30">
        <f t="shared" si="3"/>
        <v>9.6318377167905727</v>
      </c>
      <c r="L9" s="27">
        <v>209</v>
      </c>
      <c r="M9" s="31">
        <f t="shared" si="6"/>
        <v>0.50717703349282295</v>
      </c>
      <c r="N9" s="27">
        <v>831</v>
      </c>
      <c r="O9" s="32">
        <f t="shared" ref="O9:P9" si="17">D9/7</f>
        <v>15.142857142857142</v>
      </c>
      <c r="P9" s="32">
        <f t="shared" si="17"/>
        <v>0.2857142857142857</v>
      </c>
      <c r="Q9" s="27">
        <f t="shared" si="8"/>
        <v>53</v>
      </c>
      <c r="R9" s="27"/>
      <c r="S9" s="33">
        <v>0.95306213679034402</v>
      </c>
      <c r="T9" s="26">
        <v>2228</v>
      </c>
      <c r="U9" s="34">
        <v>900</v>
      </c>
      <c r="V9" s="35" t="s">
        <v>47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0.7231481481481481</v>
      </c>
      <c r="AD9" s="37">
        <f t="shared" si="12"/>
        <v>-105.78211111111109</v>
      </c>
      <c r="AE9" s="37">
        <v>-9.2200000000000006</v>
      </c>
      <c r="AF9" s="37">
        <v>-10.585227272727201</v>
      </c>
      <c r="AG9" s="37">
        <v>0</v>
      </c>
    </row>
    <row r="10" spans="1:33" ht="15.75" customHeight="1" x14ac:dyDescent="0.2">
      <c r="A10" s="26" t="s">
        <v>48</v>
      </c>
      <c r="B10" s="26" t="s">
        <v>49</v>
      </c>
      <c r="C10" s="14">
        <f t="shared" si="4"/>
        <v>35.989999999999945</v>
      </c>
      <c r="D10" s="27">
        <v>101</v>
      </c>
      <c r="E10" s="27">
        <v>0</v>
      </c>
      <c r="F10" s="28">
        <v>3634.9899999999943</v>
      </c>
      <c r="G10" s="28">
        <v>-0.43</v>
      </c>
      <c r="H10" s="29">
        <f t="shared" si="1"/>
        <v>1.1829468581756776E-4</v>
      </c>
      <c r="I10" s="29">
        <f t="shared" si="2"/>
        <v>0.27185526138054317</v>
      </c>
      <c r="J10" s="30">
        <f t="shared" si="5"/>
        <v>988.19115656565907</v>
      </c>
      <c r="K10" s="30">
        <f t="shared" si="3"/>
        <v>9.7840708570857338</v>
      </c>
      <c r="L10" s="27">
        <v>206</v>
      </c>
      <c r="M10" s="31">
        <f t="shared" si="6"/>
        <v>0.49029126213592233</v>
      </c>
      <c r="N10" s="27">
        <v>963</v>
      </c>
      <c r="O10" s="32">
        <f t="shared" ref="O10:P10" si="18">D10/7</f>
        <v>14.428571428571429</v>
      </c>
      <c r="P10" s="32">
        <f t="shared" si="18"/>
        <v>0</v>
      </c>
      <c r="Q10" s="27">
        <f t="shared" si="8"/>
        <v>66</v>
      </c>
      <c r="R10" s="27"/>
      <c r="S10" s="33">
        <v>1.02941176470588</v>
      </c>
      <c r="T10" s="26">
        <v>2228</v>
      </c>
      <c r="U10" s="34">
        <v>900</v>
      </c>
      <c r="V10" s="35" t="s">
        <v>47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0.7231481481481481</v>
      </c>
      <c r="AD10" s="37">
        <f t="shared" si="12"/>
        <v>-100.79238888888888</v>
      </c>
      <c r="AE10" s="37">
        <v>-9.2200000000000006</v>
      </c>
      <c r="AF10" s="37">
        <v>-10.585227272727201</v>
      </c>
      <c r="AG10" s="37">
        <v>0</v>
      </c>
    </row>
    <row r="11" spans="1:33" ht="15.75" customHeight="1" x14ac:dyDescent="0.2">
      <c r="A11" s="26" t="s">
        <v>50</v>
      </c>
      <c r="B11" s="26" t="s">
        <v>51</v>
      </c>
      <c r="C11" s="14">
        <f t="shared" si="4"/>
        <v>35.989999999999952</v>
      </c>
      <c r="D11" s="27">
        <v>78</v>
      </c>
      <c r="E11" s="27">
        <v>0</v>
      </c>
      <c r="F11" s="28">
        <v>2807.2199999999962</v>
      </c>
      <c r="G11" s="28">
        <v>-0.25</v>
      </c>
      <c r="H11" s="29">
        <f t="shared" si="1"/>
        <v>8.9056076830458725E-5</v>
      </c>
      <c r="I11" s="29">
        <f t="shared" si="2"/>
        <v>0.27188449998953029</v>
      </c>
      <c r="J11" s="30">
        <f t="shared" si="5"/>
        <v>763.23960606060825</v>
      </c>
      <c r="K11" s="30">
        <f t="shared" si="3"/>
        <v>9.7851231546231823</v>
      </c>
      <c r="L11" s="27">
        <v>160</v>
      </c>
      <c r="M11" s="31">
        <f t="shared" si="6"/>
        <v>0.48749999999999999</v>
      </c>
      <c r="N11" s="27">
        <v>879</v>
      </c>
      <c r="O11" s="32">
        <f t="shared" ref="O11:P11" si="19">D11/7</f>
        <v>11.142857142857142</v>
      </c>
      <c r="P11" s="32">
        <f t="shared" si="19"/>
        <v>0</v>
      </c>
      <c r="Q11" s="27">
        <f t="shared" si="8"/>
        <v>78</v>
      </c>
      <c r="R11" s="27"/>
      <c r="S11" s="33">
        <v>1.21333333333333</v>
      </c>
      <c r="T11" s="26">
        <v>2228</v>
      </c>
      <c r="U11" s="34">
        <v>900</v>
      </c>
      <c r="V11" s="35" t="s">
        <v>47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0.7231481481481481</v>
      </c>
      <c r="AD11" s="37">
        <f t="shared" si="12"/>
        <v>-77.839666666666659</v>
      </c>
      <c r="AE11" s="37">
        <v>-9.2200000000000006</v>
      </c>
      <c r="AF11" s="37">
        <v>-10.585227272727201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34.172195121951191</v>
      </c>
      <c r="D12" s="27">
        <v>82</v>
      </c>
      <c r="E12" s="27">
        <v>0</v>
      </c>
      <c r="F12" s="28">
        <v>2802.1199999999976</v>
      </c>
      <c r="G12" s="28">
        <v>-0.78999999999999992</v>
      </c>
      <c r="H12" s="29">
        <f t="shared" si="1"/>
        <v>2.8192939631421944E-4</v>
      </c>
      <c r="I12" s="29">
        <f t="shared" si="2"/>
        <v>0.24094325695970317</v>
      </c>
      <c r="J12" s="30">
        <f t="shared" si="5"/>
        <v>675.15191919192284</v>
      </c>
      <c r="K12" s="30">
        <f t="shared" si="3"/>
        <v>8.2335599901454</v>
      </c>
      <c r="L12" s="27">
        <v>168</v>
      </c>
      <c r="M12" s="31">
        <f t="shared" si="6"/>
        <v>0.48809523809523808</v>
      </c>
      <c r="N12" s="27">
        <v>803</v>
      </c>
      <c r="O12" s="32">
        <f t="shared" ref="O12:P12" si="20">D12/7</f>
        <v>11.714285714285714</v>
      </c>
      <c r="P12" s="32">
        <f t="shared" si="20"/>
        <v>0</v>
      </c>
      <c r="Q12" s="27">
        <f t="shared" si="8"/>
        <v>68</v>
      </c>
      <c r="R12" s="27"/>
      <c r="S12" s="33">
        <v>1.4211663066954601</v>
      </c>
      <c r="T12" s="26">
        <v>1328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0.7231481481481481</v>
      </c>
      <c r="AD12" s="37">
        <f t="shared" si="12"/>
        <v>-81.831444444444429</v>
      </c>
      <c r="AE12" s="37">
        <v>-9.2200000000000006</v>
      </c>
      <c r="AF12" s="37">
        <v>-10.585227272727201</v>
      </c>
      <c r="AG12" s="37">
        <v>0</v>
      </c>
    </row>
    <row r="13" spans="1:33" ht="15.75" customHeight="1" x14ac:dyDescent="0.2">
      <c r="A13" s="26" t="s">
        <v>54</v>
      </c>
      <c r="B13" s="26" t="s">
        <v>55</v>
      </c>
      <c r="C13" s="14">
        <f t="shared" si="4"/>
        <v>34.028999999999996</v>
      </c>
      <c r="D13" s="27">
        <v>20</v>
      </c>
      <c r="E13" s="27">
        <v>1</v>
      </c>
      <c r="F13" s="30">
        <v>680.57999999999993</v>
      </c>
      <c r="G13" s="28">
        <v>-0.04</v>
      </c>
      <c r="H13" s="29">
        <f t="shared" si="1"/>
        <v>5.8773399159540396E-5</v>
      </c>
      <c r="I13" s="29">
        <f t="shared" si="2"/>
        <v>0.22773492959510871</v>
      </c>
      <c r="J13" s="30">
        <f t="shared" si="5"/>
        <v>154.99183838383908</v>
      </c>
      <c r="K13" s="30">
        <f t="shared" si="3"/>
        <v>7.7495919191919542</v>
      </c>
      <c r="L13" s="27">
        <v>145</v>
      </c>
      <c r="M13" s="31">
        <f t="shared" si="6"/>
        <v>0.13793103448275862</v>
      </c>
      <c r="N13" s="27">
        <v>766</v>
      </c>
      <c r="O13" s="32">
        <f t="shared" ref="O13:P13" si="21">D13/7</f>
        <v>2.8571428571428572</v>
      </c>
      <c r="P13" s="32">
        <f t="shared" si="21"/>
        <v>0.14285714285714285</v>
      </c>
      <c r="Q13" s="27">
        <f t="shared" si="8"/>
        <v>255</v>
      </c>
      <c r="R13" s="27"/>
      <c r="S13" s="33">
        <v>1.55733944954128</v>
      </c>
      <c r="T13" s="26">
        <v>1328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0.7231481481481481</v>
      </c>
      <c r="AD13" s="37">
        <f t="shared" si="12"/>
        <v>-19.958888888888886</v>
      </c>
      <c r="AE13" s="37">
        <v>-9.2200000000000006</v>
      </c>
      <c r="AF13" s="37">
        <v>-10.955113636363601</v>
      </c>
      <c r="AG13" s="37">
        <v>0</v>
      </c>
    </row>
    <row r="14" spans="1:33" ht="15.75" customHeight="1" x14ac:dyDescent="0.2">
      <c r="A14" s="26" t="s">
        <v>56</v>
      </c>
      <c r="B14" s="26" t="s">
        <v>57</v>
      </c>
      <c r="C14" s="14">
        <f t="shared" si="4"/>
        <v>31.990000000000006</v>
      </c>
      <c r="D14" s="27">
        <v>58</v>
      </c>
      <c r="E14" s="27">
        <v>3</v>
      </c>
      <c r="F14" s="30">
        <v>1855.4200000000003</v>
      </c>
      <c r="G14" s="28">
        <v>-0.46000000000000008</v>
      </c>
      <c r="H14" s="29">
        <f t="shared" si="1"/>
        <v>2.4792230330599E-4</v>
      </c>
      <c r="I14" s="29">
        <f t="shared" si="2"/>
        <v>0.1878871798908783</v>
      </c>
      <c r="J14" s="30">
        <f t="shared" si="5"/>
        <v>348.60963131313349</v>
      </c>
      <c r="K14" s="30">
        <f t="shared" si="3"/>
        <v>6.0105108847091984</v>
      </c>
      <c r="L14" s="27">
        <v>197</v>
      </c>
      <c r="M14" s="31">
        <f t="shared" si="6"/>
        <v>0.29441624365482233</v>
      </c>
      <c r="N14" s="27">
        <v>713</v>
      </c>
      <c r="O14" s="32">
        <f t="shared" ref="O14:P14" si="22">D14/7</f>
        <v>8.2857142857142865</v>
      </c>
      <c r="P14" s="32">
        <f t="shared" si="22"/>
        <v>0.42857142857142855</v>
      </c>
      <c r="Q14" s="27">
        <f t="shared" si="8"/>
        <v>81</v>
      </c>
      <c r="R14" s="27"/>
      <c r="S14" s="33">
        <v>1.06342182890855</v>
      </c>
      <c r="T14" s="26">
        <v>1328</v>
      </c>
      <c r="U14" s="34" t="s">
        <v>34</v>
      </c>
      <c r="V14" s="35" t="s">
        <v>34</v>
      </c>
      <c r="W14" s="26">
        <v>1</v>
      </c>
      <c r="X14" s="36">
        <f t="shared" si="9"/>
        <v>1.7241379310344827E-2</v>
      </c>
      <c r="Y14" s="37">
        <f t="shared" si="10"/>
        <v>0.46000000000000008</v>
      </c>
      <c r="Z14" s="26">
        <v>0</v>
      </c>
      <c r="AA14" s="26" t="s">
        <v>37</v>
      </c>
      <c r="AB14" s="38">
        <f t="shared" si="11"/>
        <v>-0.69</v>
      </c>
      <c r="AC14" s="39">
        <v>0.7231481481481481</v>
      </c>
      <c r="AD14" s="37">
        <f t="shared" si="12"/>
        <v>-57.880777777777766</v>
      </c>
      <c r="AE14" s="37">
        <v>-9.2200000000000006</v>
      </c>
      <c r="AF14" s="37">
        <v>-10.955113636363601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31.990000000000002</v>
      </c>
      <c r="D15" s="27">
        <v>68</v>
      </c>
      <c r="E15" s="27">
        <v>4</v>
      </c>
      <c r="F15" s="30">
        <v>2175.3200000000002</v>
      </c>
      <c r="G15" s="28">
        <v>-0.19</v>
      </c>
      <c r="H15" s="29">
        <f t="shared" si="1"/>
        <v>8.7343471305371162E-5</v>
      </c>
      <c r="I15" s="29">
        <f t="shared" si="2"/>
        <v>0.17523849866765343</v>
      </c>
      <c r="J15" s="30">
        <f t="shared" si="5"/>
        <v>381.19981092171986</v>
      </c>
      <c r="K15" s="30">
        <f t="shared" si="3"/>
        <v>5.6058795723782335</v>
      </c>
      <c r="L15" s="27">
        <v>179</v>
      </c>
      <c r="M15" s="31">
        <f t="shared" si="6"/>
        <v>0.37988826815642457</v>
      </c>
      <c r="N15" s="27">
        <v>644</v>
      </c>
      <c r="O15" s="32">
        <f t="shared" ref="O15:P15" si="23">D15/7</f>
        <v>9.7142857142857135</v>
      </c>
      <c r="P15" s="32">
        <f t="shared" si="23"/>
        <v>0.5714285714285714</v>
      </c>
      <c r="Q15" s="27">
        <f t="shared" si="8"/>
        <v>62</v>
      </c>
      <c r="R15" s="27"/>
      <c r="S15" s="33">
        <v>1.1559432933478699</v>
      </c>
      <c r="T15" s="26">
        <v>2656</v>
      </c>
      <c r="U15" s="34" t="s">
        <v>34</v>
      </c>
      <c r="V15" s="35" t="s">
        <v>59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0.74471932870370372</v>
      </c>
      <c r="AD15" s="37">
        <f t="shared" si="12"/>
        <v>-69.88446180555556</v>
      </c>
      <c r="AE15" s="37">
        <v>-9.6</v>
      </c>
      <c r="AF15" s="37">
        <v>-10.955113636363601</v>
      </c>
      <c r="AG15" s="37">
        <v>0</v>
      </c>
    </row>
    <row r="16" spans="1:33" ht="15.75" customHeight="1" x14ac:dyDescent="0.2">
      <c r="A16" s="26" t="s">
        <v>60</v>
      </c>
      <c r="B16" s="26" t="s">
        <v>57</v>
      </c>
      <c r="C16" s="14">
        <f t="shared" si="4"/>
        <v>31.989999999999963</v>
      </c>
      <c r="D16" s="27">
        <v>87</v>
      </c>
      <c r="E16" s="27">
        <v>2</v>
      </c>
      <c r="F16" s="30">
        <v>2783.1299999999969</v>
      </c>
      <c r="G16" s="28">
        <v>-0.44</v>
      </c>
      <c r="H16" s="29">
        <f t="shared" si="1"/>
        <v>1.5809538181831264E-4</v>
      </c>
      <c r="I16" s="29">
        <f t="shared" si="2"/>
        <v>0.17516774675713961</v>
      </c>
      <c r="J16" s="30">
        <f t="shared" si="5"/>
        <v>487.51461103219742</v>
      </c>
      <c r="K16" s="30">
        <f t="shared" si="3"/>
        <v>5.60361621876089</v>
      </c>
      <c r="L16" s="27">
        <v>194</v>
      </c>
      <c r="M16" s="31">
        <f t="shared" si="6"/>
        <v>0.4484536082474227</v>
      </c>
      <c r="N16" s="27">
        <v>564</v>
      </c>
      <c r="O16" s="32">
        <f t="shared" ref="O16:P16" si="24">D16/7</f>
        <v>12.428571428571429</v>
      </c>
      <c r="P16" s="32">
        <f t="shared" si="24"/>
        <v>0.2857142857142857</v>
      </c>
      <c r="Q16" s="27">
        <f t="shared" si="8"/>
        <v>44</v>
      </c>
      <c r="R16" s="27"/>
      <c r="S16" s="33">
        <v>1.430549898167</v>
      </c>
      <c r="T16" s="26">
        <v>2656</v>
      </c>
      <c r="U16" s="34" t="s">
        <v>34</v>
      </c>
      <c r="V16" s="35" t="s">
        <v>59</v>
      </c>
      <c r="W16" s="26">
        <v>1</v>
      </c>
      <c r="X16" s="36">
        <f t="shared" si="9"/>
        <v>1.1494252873563218E-2</v>
      </c>
      <c r="Y16" s="37">
        <f t="shared" si="10"/>
        <v>0.44</v>
      </c>
      <c r="Z16" s="26">
        <v>0</v>
      </c>
      <c r="AA16" s="26" t="s">
        <v>37</v>
      </c>
      <c r="AB16" s="38">
        <f t="shared" si="11"/>
        <v>-0.69</v>
      </c>
      <c r="AC16" s="39">
        <v>0.74471932870370372</v>
      </c>
      <c r="AD16" s="37">
        <f t="shared" si="12"/>
        <v>-89.411002604166669</v>
      </c>
      <c r="AE16" s="37">
        <v>-9.6</v>
      </c>
      <c r="AF16" s="37">
        <v>-10.955113636363601</v>
      </c>
      <c r="AG16" s="37">
        <v>0</v>
      </c>
    </row>
    <row r="17" spans="1:33" ht="15.75" customHeight="1" x14ac:dyDescent="0.2">
      <c r="A17" s="26" t="s">
        <v>61</v>
      </c>
      <c r="B17" s="26" t="s">
        <v>57</v>
      </c>
      <c r="C17" s="14">
        <f t="shared" si="4"/>
        <v>31.990000000000002</v>
      </c>
      <c r="D17" s="27">
        <v>33</v>
      </c>
      <c r="E17" s="27">
        <v>0</v>
      </c>
      <c r="F17" s="30">
        <v>1055.67</v>
      </c>
      <c r="G17" s="28">
        <v>-0.16</v>
      </c>
      <c r="H17" s="29">
        <f t="shared" si="1"/>
        <v>1.5156251480102684E-4</v>
      </c>
      <c r="I17" s="29">
        <f t="shared" si="2"/>
        <v>0.17517427962415771</v>
      </c>
      <c r="J17" s="30">
        <f t="shared" si="5"/>
        <v>184.92623177083459</v>
      </c>
      <c r="K17" s="30">
        <f t="shared" si="3"/>
        <v>5.6038252051768058</v>
      </c>
      <c r="L17" s="27">
        <v>103</v>
      </c>
      <c r="M17" s="31">
        <f t="shared" si="6"/>
        <v>0.32038834951456313</v>
      </c>
      <c r="N17" s="27">
        <v>521</v>
      </c>
      <c r="O17" s="32">
        <f t="shared" ref="O17:P17" si="25">D17/7</f>
        <v>4.7142857142857144</v>
      </c>
      <c r="P17" s="32">
        <f t="shared" si="25"/>
        <v>0</v>
      </c>
      <c r="Q17" s="27">
        <f t="shared" si="8"/>
        <v>110</v>
      </c>
      <c r="R17" s="27"/>
      <c r="S17" s="33">
        <v>1.6422547714158899</v>
      </c>
      <c r="T17" s="26">
        <v>2656</v>
      </c>
      <c r="U17" s="34" t="s">
        <v>34</v>
      </c>
      <c r="V17" s="35" t="s">
        <v>59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0.74471932870370372</v>
      </c>
      <c r="AD17" s="37">
        <f t="shared" si="12"/>
        <v>-33.914518229166667</v>
      </c>
      <c r="AE17" s="37">
        <v>-9.6</v>
      </c>
      <c r="AF17" s="37">
        <v>-10.955113636363601</v>
      </c>
      <c r="AG17" s="37">
        <v>0</v>
      </c>
    </row>
    <row r="18" spans="1:33" ht="15.75" customHeight="1" x14ac:dyDescent="0.2">
      <c r="A18" s="26" t="s">
        <v>62</v>
      </c>
      <c r="B18" s="26" t="s">
        <v>57</v>
      </c>
      <c r="C18" s="14">
        <f t="shared" si="4"/>
        <v>31.990000000000006</v>
      </c>
      <c r="D18" s="27">
        <v>56</v>
      </c>
      <c r="E18" s="27">
        <v>0</v>
      </c>
      <c r="F18" s="30">
        <v>1791.4400000000003</v>
      </c>
      <c r="G18" s="28">
        <v>-0.58999999999999986</v>
      </c>
      <c r="H18" s="29">
        <f t="shared" si="1"/>
        <v>3.2934399142589191E-4</v>
      </c>
      <c r="I18" s="29">
        <f t="shared" si="2"/>
        <v>0.1749964981475329</v>
      </c>
      <c r="J18" s="30">
        <f t="shared" si="5"/>
        <v>313.49572664141641</v>
      </c>
      <c r="K18" s="30">
        <f t="shared" si="3"/>
        <v>5.5981379757395784</v>
      </c>
      <c r="L18" s="27">
        <v>122</v>
      </c>
      <c r="M18" s="31">
        <f t="shared" si="6"/>
        <v>0.45901639344262296</v>
      </c>
      <c r="N18" s="27">
        <v>468</v>
      </c>
      <c r="O18" s="32">
        <f t="shared" ref="O18:P18" si="26">D18/7</f>
        <v>8</v>
      </c>
      <c r="P18" s="32">
        <f t="shared" si="26"/>
        <v>0</v>
      </c>
      <c r="Q18" s="27">
        <f t="shared" si="8"/>
        <v>58</v>
      </c>
      <c r="R18" s="27"/>
      <c r="S18" s="33">
        <v>1.1933497536945801</v>
      </c>
      <c r="T18" s="26">
        <v>1670</v>
      </c>
      <c r="U18" s="34">
        <v>342</v>
      </c>
      <c r="V18" s="35" t="s">
        <v>63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0.74471932870370372</v>
      </c>
      <c r="AD18" s="37">
        <f t="shared" si="12"/>
        <v>-57.55190972222222</v>
      </c>
      <c r="AE18" s="37">
        <v>-9.6</v>
      </c>
      <c r="AF18" s="37">
        <v>-10.955113636363601</v>
      </c>
      <c r="AG18" s="37">
        <v>0</v>
      </c>
    </row>
    <row r="19" spans="1:33" ht="15.75" customHeight="1" x14ac:dyDescent="0.2">
      <c r="A19" s="26" t="s">
        <v>64</v>
      </c>
      <c r="B19" s="26" t="s">
        <v>57</v>
      </c>
      <c r="C19" s="14">
        <f t="shared" si="4"/>
        <v>31.990000000000006</v>
      </c>
      <c r="D19" s="27">
        <v>57</v>
      </c>
      <c r="E19" s="27">
        <v>0</v>
      </c>
      <c r="F19" s="30">
        <v>1823.4300000000003</v>
      </c>
      <c r="G19" s="28">
        <v>-0.55000000000000004</v>
      </c>
      <c r="H19" s="29">
        <f t="shared" si="1"/>
        <v>3.0162934689020139E-4</v>
      </c>
      <c r="I19" s="29">
        <f t="shared" si="2"/>
        <v>0.17502421279206756</v>
      </c>
      <c r="J19" s="30">
        <f t="shared" si="5"/>
        <v>319.14440033143978</v>
      </c>
      <c r="K19" s="30">
        <f t="shared" si="3"/>
        <v>5.5990245672182422</v>
      </c>
      <c r="L19" s="27">
        <v>138</v>
      </c>
      <c r="M19" s="31">
        <f t="shared" si="6"/>
        <v>0.41304347826086957</v>
      </c>
      <c r="N19" s="27">
        <v>402</v>
      </c>
      <c r="O19" s="32">
        <f t="shared" ref="O19:P19" si="27">D19/7</f>
        <v>8.1428571428571423</v>
      </c>
      <c r="P19" s="32">
        <f t="shared" si="27"/>
        <v>0</v>
      </c>
      <c r="Q19" s="27">
        <f t="shared" si="8"/>
        <v>49</v>
      </c>
      <c r="R19" s="27"/>
      <c r="S19" s="33">
        <v>1.19361638060825</v>
      </c>
      <c r="T19" s="26">
        <v>585</v>
      </c>
      <c r="U19" s="34">
        <v>342</v>
      </c>
      <c r="V19" s="35" t="s">
        <v>63</v>
      </c>
      <c r="W19" s="26">
        <v>1</v>
      </c>
      <c r="X19" s="36">
        <f t="shared" si="9"/>
        <v>1.7543859649122806E-2</v>
      </c>
      <c r="Y19" s="37">
        <f t="shared" si="10"/>
        <v>0.55000000000000004</v>
      </c>
      <c r="Z19" s="26">
        <v>0</v>
      </c>
      <c r="AA19" s="26" t="s">
        <v>37</v>
      </c>
      <c r="AB19" s="38">
        <f t="shared" si="11"/>
        <v>-0.69</v>
      </c>
      <c r="AC19" s="39">
        <v>0.74471932870370372</v>
      </c>
      <c r="AD19" s="37">
        <f t="shared" si="12"/>
        <v>-58.579622395833333</v>
      </c>
      <c r="AE19" s="37">
        <v>-9.6</v>
      </c>
      <c r="AF19" s="37">
        <v>-10.955113636363636</v>
      </c>
      <c r="AG19" s="37">
        <v>0</v>
      </c>
    </row>
    <row r="20" spans="1:33" ht="15.75" customHeight="1" x14ac:dyDescent="0.2">
      <c r="A20" s="26" t="s">
        <v>65</v>
      </c>
      <c r="B20" s="26" t="s">
        <v>57</v>
      </c>
      <c r="C20" s="14">
        <f t="shared" si="4"/>
        <v>31.990000000000006</v>
      </c>
      <c r="D20" s="27">
        <v>64</v>
      </c>
      <c r="E20" s="27">
        <v>3</v>
      </c>
      <c r="F20" s="30">
        <v>2047.3600000000004</v>
      </c>
      <c r="G20" s="28">
        <v>-0.44</v>
      </c>
      <c r="H20" s="29">
        <f t="shared" si="1"/>
        <v>2.149109096592685E-4</v>
      </c>
      <c r="I20" s="29">
        <f t="shared" si="2"/>
        <v>0.17511093122929847</v>
      </c>
      <c r="J20" s="30">
        <f t="shared" si="5"/>
        <v>358.51511616161656</v>
      </c>
      <c r="K20" s="30">
        <f t="shared" si="3"/>
        <v>5.6017986900252588</v>
      </c>
      <c r="L20" s="27">
        <v>154</v>
      </c>
      <c r="M20" s="31">
        <f t="shared" si="6"/>
        <v>0.41558441558441561</v>
      </c>
      <c r="N20" s="27">
        <v>347</v>
      </c>
      <c r="O20" s="32">
        <f t="shared" ref="O20:P20" si="28">D20/7</f>
        <v>9.1428571428571423</v>
      </c>
      <c r="P20" s="32">
        <f t="shared" si="28"/>
        <v>0.42857142857142855</v>
      </c>
      <c r="Q20" s="27">
        <f t="shared" si="8"/>
        <v>36</v>
      </c>
      <c r="R20" s="27"/>
      <c r="S20" s="33">
        <v>1.28114363512593</v>
      </c>
      <c r="T20" s="26">
        <v>585</v>
      </c>
      <c r="U20" s="34">
        <v>342</v>
      </c>
      <c r="V20" s="35" t="s">
        <v>63</v>
      </c>
      <c r="W20" s="26">
        <v>1</v>
      </c>
      <c r="X20" s="36">
        <f t="shared" si="9"/>
        <v>1.5625E-2</v>
      </c>
      <c r="Y20" s="37">
        <f t="shared" si="10"/>
        <v>0.44</v>
      </c>
      <c r="Z20" s="26">
        <v>0</v>
      </c>
      <c r="AA20" s="26" t="s">
        <v>37</v>
      </c>
      <c r="AB20" s="38">
        <f t="shared" si="11"/>
        <v>-0.69</v>
      </c>
      <c r="AC20" s="39">
        <v>0.74471932870370372</v>
      </c>
      <c r="AD20" s="37">
        <f t="shared" si="12"/>
        <v>-65.773611111111109</v>
      </c>
      <c r="AE20" s="37">
        <v>-9.6</v>
      </c>
      <c r="AF20" s="37">
        <v>-10.955113636363636</v>
      </c>
      <c r="AG20" s="37">
        <v>0</v>
      </c>
    </row>
    <row r="21" spans="1:33" ht="15.75" customHeight="1" x14ac:dyDescent="0.2">
      <c r="A21" s="26" t="s">
        <v>66</v>
      </c>
      <c r="B21" s="26" t="s">
        <v>57</v>
      </c>
      <c r="C21" s="14">
        <f t="shared" si="4"/>
        <v>31.990000000000006</v>
      </c>
      <c r="D21" s="27">
        <v>43</v>
      </c>
      <c r="E21" s="27">
        <v>0</v>
      </c>
      <c r="F21" s="30">
        <v>1375.5700000000002</v>
      </c>
      <c r="G21" s="28">
        <v>0</v>
      </c>
      <c r="H21" s="29">
        <f t="shared" si="1"/>
        <v>0</v>
      </c>
      <c r="I21" s="29">
        <f t="shared" si="2"/>
        <v>0.17532584213895752</v>
      </c>
      <c r="J21" s="30">
        <f t="shared" si="5"/>
        <v>241.17296867108581</v>
      </c>
      <c r="K21" s="30">
        <f t="shared" si="3"/>
        <v>5.6086736900252516</v>
      </c>
      <c r="L21" s="27">
        <v>105</v>
      </c>
      <c r="M21" s="31">
        <f t="shared" si="6"/>
        <v>0.40952380952380951</v>
      </c>
      <c r="N21" s="27">
        <v>295</v>
      </c>
      <c r="O21" s="32">
        <f t="shared" ref="O21:P21" si="29">D21/7</f>
        <v>6.1428571428571432</v>
      </c>
      <c r="P21" s="32">
        <f t="shared" si="29"/>
        <v>0</v>
      </c>
      <c r="Q21" s="27">
        <f t="shared" si="8"/>
        <v>48</v>
      </c>
      <c r="R21" s="27"/>
      <c r="S21" s="33">
        <v>1.3379629629629599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0.74471932870370372</v>
      </c>
      <c r="AD21" s="37">
        <f t="shared" si="12"/>
        <v>-44.191644965277774</v>
      </c>
      <c r="AE21" s="37">
        <v>-9.6</v>
      </c>
      <c r="AF21" s="37">
        <v>-10.955113636363636</v>
      </c>
      <c r="AG21" s="37">
        <v>0</v>
      </c>
    </row>
    <row r="22" spans="1:33" ht="15.75" customHeight="1" x14ac:dyDescent="0.2">
      <c r="A22" s="26" t="s">
        <v>67</v>
      </c>
      <c r="B22" s="26" t="s">
        <v>57</v>
      </c>
      <c r="C22" s="14">
        <f t="shared" si="4"/>
        <v>31.989999999999988</v>
      </c>
      <c r="D22" s="27">
        <v>71</v>
      </c>
      <c r="E22" s="27">
        <v>4</v>
      </c>
      <c r="F22" s="28">
        <v>2271.2899999999991</v>
      </c>
      <c r="G22" s="28">
        <v>-0.35</v>
      </c>
      <c r="H22" s="29">
        <f t="shared" si="1"/>
        <v>1.5409745122815674E-4</v>
      </c>
      <c r="I22" s="29">
        <f t="shared" si="2"/>
        <v>0.17517174468772917</v>
      </c>
      <c r="J22" s="30">
        <f t="shared" si="5"/>
        <v>397.86583199179222</v>
      </c>
      <c r="K22" s="30">
        <f t="shared" si="3"/>
        <v>5.6037441125604541</v>
      </c>
      <c r="L22" s="27">
        <v>161</v>
      </c>
      <c r="M22" s="31">
        <f t="shared" si="6"/>
        <v>0.44099378881987578</v>
      </c>
      <c r="N22" s="27">
        <v>228</v>
      </c>
      <c r="O22" s="32">
        <f t="shared" ref="O22:P22" si="30">D22/7</f>
        <v>10.142857142857142</v>
      </c>
      <c r="P22" s="32">
        <f t="shared" si="30"/>
        <v>0.5714285714285714</v>
      </c>
      <c r="Q22" s="27">
        <f t="shared" si="8"/>
        <v>21</v>
      </c>
      <c r="R22" s="27"/>
      <c r="S22" s="33">
        <v>1.40986394557823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0.74471932870370372</v>
      </c>
      <c r="AD22" s="37">
        <f t="shared" si="12"/>
        <v>-72.967599826388891</v>
      </c>
      <c r="AE22" s="37">
        <v>-9.6</v>
      </c>
      <c r="AF22" s="37">
        <v>-10.955113636363636</v>
      </c>
      <c r="AG22" s="37">
        <v>0</v>
      </c>
    </row>
    <row r="23" spans="1:33" ht="15.75" customHeight="1" x14ac:dyDescent="0.2">
      <c r="A23" s="26" t="s">
        <v>68</v>
      </c>
      <c r="B23" s="26" t="s">
        <v>69</v>
      </c>
      <c r="C23" s="14">
        <f t="shared" si="4"/>
        <v>31.990000000000006</v>
      </c>
      <c r="D23" s="27">
        <v>48</v>
      </c>
      <c r="E23" s="27">
        <v>1</v>
      </c>
      <c r="F23" s="30">
        <v>1535.5200000000002</v>
      </c>
      <c r="G23" s="28">
        <v>-0.51</v>
      </c>
      <c r="H23" s="29">
        <f t="shared" si="1"/>
        <v>3.3213504220068766E-4</v>
      </c>
      <c r="I23" s="29">
        <f t="shared" si="2"/>
        <v>0.17499370709675705</v>
      </c>
      <c r="J23" s="30">
        <f t="shared" si="5"/>
        <v>268.70633712121241</v>
      </c>
      <c r="K23" s="30">
        <f t="shared" si="3"/>
        <v>5.5980486900252586</v>
      </c>
      <c r="L23" s="27">
        <v>130</v>
      </c>
      <c r="M23" s="31">
        <f t="shared" si="6"/>
        <v>0.36923076923076925</v>
      </c>
      <c r="N23" s="27">
        <v>174</v>
      </c>
      <c r="O23" s="32">
        <f t="shared" ref="O23:P23" si="31">D23/7</f>
        <v>6.8571428571428568</v>
      </c>
      <c r="P23" s="32">
        <f t="shared" si="31"/>
        <v>0.14285714285714285</v>
      </c>
      <c r="Q23" s="27">
        <f t="shared" si="8"/>
        <v>24</v>
      </c>
      <c r="R23" s="27"/>
      <c r="S23" s="33">
        <v>1.47250698974836</v>
      </c>
      <c r="T23" s="26">
        <v>342</v>
      </c>
      <c r="U23" s="34">
        <v>342</v>
      </c>
      <c r="V23" s="35" t="s">
        <v>70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0.74471932870370372</v>
      </c>
      <c r="AD23" s="37">
        <f t="shared" si="12"/>
        <v>-49.330208333333331</v>
      </c>
      <c r="AE23" s="37">
        <v>-9.6</v>
      </c>
      <c r="AF23" s="37">
        <v>-10.955113636363636</v>
      </c>
      <c r="AG23" s="37">
        <v>0</v>
      </c>
    </row>
    <row r="24" spans="1:33" ht="15.75" customHeight="1" x14ac:dyDescent="0.2">
      <c r="A24" s="26" t="s">
        <v>71</v>
      </c>
      <c r="B24" s="26" t="s">
        <v>72</v>
      </c>
      <c r="C24" s="14">
        <f t="shared" si="4"/>
        <v>30.350999999999981</v>
      </c>
      <c r="D24" s="27">
        <v>80</v>
      </c>
      <c r="E24" s="27">
        <v>3</v>
      </c>
      <c r="F24" s="30">
        <v>2428.0799999999986</v>
      </c>
      <c r="G24" s="30">
        <v>-0.18</v>
      </c>
      <c r="H24" s="29">
        <f t="shared" si="1"/>
        <v>7.4132648018187248E-5</v>
      </c>
      <c r="I24" s="29">
        <f t="shared" si="2"/>
        <v>0.13881828242974656</v>
      </c>
      <c r="J24" s="30">
        <f t="shared" si="5"/>
        <v>337.06189520201883</v>
      </c>
      <c r="K24" s="30">
        <f t="shared" si="3"/>
        <v>4.2132736900252352</v>
      </c>
      <c r="L24" s="27">
        <v>144</v>
      </c>
      <c r="M24" s="31">
        <f t="shared" si="6"/>
        <v>0.55555555555555558</v>
      </c>
      <c r="N24" s="27">
        <v>96</v>
      </c>
      <c r="O24" s="32">
        <f t="shared" ref="O24:P24" si="32">D24/7</f>
        <v>11.428571428571429</v>
      </c>
      <c r="P24" s="32">
        <f t="shared" si="32"/>
        <v>0.42857142857142855</v>
      </c>
      <c r="Q24" s="27">
        <f t="shared" si="8"/>
        <v>8</v>
      </c>
      <c r="R24" s="27"/>
      <c r="S24" s="33">
        <v>1.45986779981114</v>
      </c>
      <c r="T24" s="26">
        <v>1616</v>
      </c>
      <c r="U24" s="34">
        <v>342</v>
      </c>
      <c r="V24" s="35" t="s">
        <v>70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0.74471932870370372</v>
      </c>
      <c r="AD24" s="37">
        <f t="shared" si="12"/>
        <v>-82.217013888888886</v>
      </c>
      <c r="AE24" s="37">
        <v>-9.6</v>
      </c>
      <c r="AF24" s="37">
        <v>-10.955113636363636</v>
      </c>
      <c r="AG24" s="37">
        <v>0</v>
      </c>
    </row>
    <row r="25" spans="1:33" ht="15.75" customHeight="1" x14ac:dyDescent="0.2">
      <c r="A25" s="40" t="s">
        <v>73</v>
      </c>
      <c r="B25" s="40" t="s">
        <v>74</v>
      </c>
      <c r="C25" s="14">
        <f t="shared" si="4"/>
        <v>31.6634693877551</v>
      </c>
      <c r="D25" s="15">
        <v>49</v>
      </c>
      <c r="E25" s="15">
        <v>7</v>
      </c>
      <c r="F25" s="16">
        <v>1551.51</v>
      </c>
      <c r="G25" s="16">
        <v>-0.28999999999999998</v>
      </c>
      <c r="H25" s="29">
        <f t="shared" si="1"/>
        <v>1.8691468311515878E-4</v>
      </c>
      <c r="I25" s="29">
        <f t="shared" si="2"/>
        <v>0.16802700530003387</v>
      </c>
      <c r="J25" s="30">
        <f t="shared" si="5"/>
        <v>260.69557899305556</v>
      </c>
      <c r="K25" s="30">
        <f t="shared" si="3"/>
        <v>5.3203179386337869</v>
      </c>
      <c r="L25" s="15">
        <v>135</v>
      </c>
      <c r="M25" s="31">
        <f t="shared" si="6"/>
        <v>0.36296296296296299</v>
      </c>
      <c r="N25" s="15">
        <v>27</v>
      </c>
      <c r="O25" s="32">
        <f t="shared" ref="O25:P25" si="33">D25/7</f>
        <v>7</v>
      </c>
      <c r="P25" s="32">
        <f t="shared" si="33"/>
        <v>1</v>
      </c>
      <c r="Q25" s="27">
        <f t="shared" si="8"/>
        <v>3</v>
      </c>
      <c r="R25" s="27"/>
      <c r="S25" s="41">
        <v>1.729667812142039</v>
      </c>
      <c r="T25" s="26">
        <v>1274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0.74471932870370372</v>
      </c>
      <c r="AD25" s="37">
        <f t="shared" si="12"/>
        <v>-50.357921006944444</v>
      </c>
      <c r="AE25" s="42">
        <v>-9.6</v>
      </c>
      <c r="AF25" s="42">
        <v>-10.96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33.066923076923075</v>
      </c>
      <c r="D26" s="15">
        <v>26</v>
      </c>
      <c r="E26" s="15">
        <v>0</v>
      </c>
      <c r="F26" s="16">
        <v>859.74</v>
      </c>
      <c r="G26" s="16">
        <v>0</v>
      </c>
      <c r="H26" s="29">
        <f t="shared" si="1"/>
        <v>0</v>
      </c>
      <c r="I26" s="29">
        <f t="shared" si="2"/>
        <v>0.19729862044415461</v>
      </c>
      <c r="J26" s="30">
        <f t="shared" si="5"/>
        <v>169.62551594065749</v>
      </c>
      <c r="K26" s="30">
        <f t="shared" si="3"/>
        <v>6.5240583054099037</v>
      </c>
      <c r="L26" s="15">
        <v>109</v>
      </c>
      <c r="M26" s="31">
        <f t="shared" si="6"/>
        <v>0.23853211009174313</v>
      </c>
      <c r="N26" s="15">
        <v>1</v>
      </c>
      <c r="O26" s="32">
        <f t="shared" ref="O26:P26" si="34">D26/7</f>
        <v>3.7142857142857144</v>
      </c>
      <c r="P26" s="32">
        <f t="shared" si="34"/>
        <v>0</v>
      </c>
      <c r="Q26" s="27">
        <f t="shared" si="8"/>
        <v>0</v>
      </c>
      <c r="R26" s="27"/>
      <c r="S26" s="41">
        <v>1.911949685534591</v>
      </c>
      <c r="T26" s="26">
        <v>1274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0.74471932870370372</v>
      </c>
      <c r="AD26" s="37">
        <f t="shared" si="12"/>
        <v>-26.720529513888888</v>
      </c>
      <c r="AE26" s="42">
        <v>-9.6</v>
      </c>
      <c r="AF26" s="42">
        <v>-10.955113636363601</v>
      </c>
      <c r="AG26" s="42">
        <v>0</v>
      </c>
    </row>
    <row r="27" spans="1:33" ht="15.75" customHeight="1" x14ac:dyDescent="0.2">
      <c r="A27" s="40" t="s">
        <v>77</v>
      </c>
      <c r="B27" s="40" t="s">
        <v>78</v>
      </c>
      <c r="C27" s="14">
        <f t="shared" si="4"/>
        <v>33.99</v>
      </c>
      <c r="D27" s="15">
        <v>29</v>
      </c>
      <c r="E27" s="15">
        <v>1</v>
      </c>
      <c r="F27" s="16">
        <v>985.71</v>
      </c>
      <c r="G27" s="16">
        <v>-1.96</v>
      </c>
      <c r="H27" s="29">
        <f t="shared" si="1"/>
        <v>1.9884144423816335E-3</v>
      </c>
      <c r="I27" s="29">
        <f t="shared" si="2"/>
        <v>0.24010260321061297</v>
      </c>
      <c r="J27" s="30">
        <f t="shared" si="5"/>
        <v>236.67153701073332</v>
      </c>
      <c r="K27" s="30">
        <f t="shared" si="3"/>
        <v>8.1610874831287354</v>
      </c>
      <c r="L27" s="15">
        <v>113</v>
      </c>
      <c r="M27" s="31">
        <f t="shared" si="6"/>
        <v>0.25663716814159293</v>
      </c>
      <c r="N27" s="15">
        <v>331</v>
      </c>
      <c r="O27" s="32">
        <f t="shared" ref="O27:P27" si="35">D27/7</f>
        <v>4.1428571428571432</v>
      </c>
      <c r="P27" s="32">
        <f t="shared" si="35"/>
        <v>0.14285714285714285</v>
      </c>
      <c r="Q27" s="27">
        <f t="shared" si="8"/>
        <v>77</v>
      </c>
      <c r="R27" s="27"/>
      <c r="S27" s="41">
        <v>1.7030618139803579</v>
      </c>
      <c r="T27" s="26">
        <v>1274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0.74471932870370372</v>
      </c>
      <c r="AD27" s="37">
        <f t="shared" si="12"/>
        <v>-29.803667534722223</v>
      </c>
      <c r="AE27" s="42">
        <v>-8.68</v>
      </c>
      <c r="AF27" s="42">
        <v>-10.955113636363601</v>
      </c>
      <c r="AG27" s="42">
        <v>0</v>
      </c>
    </row>
    <row r="28" spans="1:33" ht="15.75" customHeight="1" x14ac:dyDescent="0.2">
      <c r="A28" s="40" t="s">
        <v>79</v>
      </c>
      <c r="B28" s="40" t="s">
        <v>80</v>
      </c>
      <c r="C28" s="14">
        <f t="shared" si="4"/>
        <v>33.99</v>
      </c>
      <c r="D28" s="15">
        <v>50</v>
      </c>
      <c r="E28" s="15">
        <v>2</v>
      </c>
      <c r="F28" s="16">
        <v>1699.5</v>
      </c>
      <c r="G28" s="16">
        <v>-2.84</v>
      </c>
      <c r="H28" s="29">
        <f t="shared" si="1"/>
        <v>1.6710797293321565E-3</v>
      </c>
      <c r="I28" s="29">
        <f t="shared" si="2"/>
        <v>0.24041993792366256</v>
      </c>
      <c r="J28" s="30">
        <f t="shared" si="5"/>
        <v>408.59368450126453</v>
      </c>
      <c r="K28" s="30">
        <f t="shared" si="3"/>
        <v>8.17187369002529</v>
      </c>
      <c r="L28" s="15">
        <v>117</v>
      </c>
      <c r="M28" s="31">
        <f t="shared" si="6"/>
        <v>0.42735042735042733</v>
      </c>
      <c r="N28" s="15">
        <v>280</v>
      </c>
      <c r="O28" s="32">
        <f t="shared" ref="O28:P28" si="36">D28/7</f>
        <v>7.1428571428571432</v>
      </c>
      <c r="P28" s="32">
        <f t="shared" si="36"/>
        <v>0.2857142857142857</v>
      </c>
      <c r="Q28" s="27">
        <f t="shared" si="8"/>
        <v>37</v>
      </c>
      <c r="R28" s="27"/>
      <c r="S28" s="41">
        <v>1.835171966255678</v>
      </c>
      <c r="T28" s="40">
        <v>616</v>
      </c>
      <c r="U28" s="22">
        <v>658</v>
      </c>
      <c r="V28" s="1" t="s">
        <v>81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0.74471932870370372</v>
      </c>
      <c r="AD28" s="37">
        <f t="shared" si="12"/>
        <v>-51.385633680555557</v>
      </c>
      <c r="AE28" s="42">
        <v>-8.68</v>
      </c>
      <c r="AF28" s="42">
        <v>-10.955113636363601</v>
      </c>
      <c r="AG28" s="42">
        <v>0</v>
      </c>
    </row>
    <row r="29" spans="1:33" ht="15.75" customHeight="1" x14ac:dyDescent="0.2">
      <c r="A29" s="26" t="s">
        <v>82</v>
      </c>
      <c r="B29" s="26" t="s">
        <v>83</v>
      </c>
      <c r="C29" s="14">
        <f t="shared" si="4"/>
        <v>33.99</v>
      </c>
      <c r="D29" s="27">
        <v>37</v>
      </c>
      <c r="E29" s="27">
        <v>1</v>
      </c>
      <c r="F29" s="30">
        <v>1257.6300000000001</v>
      </c>
      <c r="G29" s="30">
        <v>-1.83</v>
      </c>
      <c r="H29" s="29">
        <f t="shared" si="1"/>
        <v>1.4551179599723288E-3</v>
      </c>
      <c r="I29" s="29">
        <f t="shared" si="2"/>
        <v>0.24063589969302243</v>
      </c>
      <c r="J29" s="30">
        <f t="shared" si="5"/>
        <v>302.63092653093582</v>
      </c>
      <c r="K29" s="30">
        <f t="shared" si="3"/>
        <v>8.1792142305658331</v>
      </c>
      <c r="L29" s="27">
        <v>103</v>
      </c>
      <c r="M29" s="31">
        <f t="shared" si="6"/>
        <v>0.35922330097087379</v>
      </c>
      <c r="N29" s="15">
        <v>230</v>
      </c>
      <c r="O29" s="32">
        <f t="shared" ref="O29:P29" si="37">D29/7</f>
        <v>5.2857142857142856</v>
      </c>
      <c r="P29" s="32">
        <f t="shared" si="37"/>
        <v>0.14285714285714285</v>
      </c>
      <c r="Q29" s="27">
        <f t="shared" si="8"/>
        <v>42</v>
      </c>
      <c r="R29" s="27"/>
      <c r="S29" s="41">
        <v>2.2080262080262081</v>
      </c>
      <c r="T29" s="40" t="s">
        <v>34</v>
      </c>
      <c r="U29" s="22" t="s">
        <v>34</v>
      </c>
      <c r="V29" s="1" t="s">
        <v>34</v>
      </c>
      <c r="W29" s="40">
        <v>1</v>
      </c>
      <c r="X29" s="36">
        <f t="shared" si="9"/>
        <v>2.7027027027027029E-2</v>
      </c>
      <c r="Y29" s="37">
        <f t="shared" si="10"/>
        <v>1.83</v>
      </c>
      <c r="Z29" s="40">
        <v>0</v>
      </c>
      <c r="AA29" s="26" t="s">
        <v>37</v>
      </c>
      <c r="AB29" s="38">
        <f t="shared" si="11"/>
        <v>-0.69</v>
      </c>
      <c r="AC29" s="39">
        <v>0.74471932870370372</v>
      </c>
      <c r="AD29" s="37">
        <f t="shared" si="12"/>
        <v>-38.025368923611111</v>
      </c>
      <c r="AE29" s="37">
        <v>-8.68</v>
      </c>
      <c r="AF29" s="42">
        <v>-10.955113636363601</v>
      </c>
      <c r="AG29" s="37">
        <v>0</v>
      </c>
    </row>
    <row r="30" spans="1:33" ht="15.75" customHeight="1" x14ac:dyDescent="0.2">
      <c r="A30" s="40" t="s">
        <v>84</v>
      </c>
      <c r="B30" s="40" t="s">
        <v>85</v>
      </c>
      <c r="C30" s="14">
        <f t="shared" si="4"/>
        <v>32.172999999999995</v>
      </c>
      <c r="D30" s="15">
        <v>40</v>
      </c>
      <c r="E30" s="15">
        <v>0</v>
      </c>
      <c r="F30" s="16">
        <v>1286.9199999999998</v>
      </c>
      <c r="G30" s="16">
        <v>-1.48</v>
      </c>
      <c r="H30" s="29">
        <f t="shared" si="1"/>
        <v>1.1500326360612937E-3</v>
      </c>
      <c r="I30" s="29">
        <f t="shared" si="2"/>
        <v>0.18953740174646092</v>
      </c>
      <c r="J30" s="30">
        <f t="shared" si="5"/>
        <v>243.91947305555544</v>
      </c>
      <c r="K30" s="30">
        <f t="shared" si="3"/>
        <v>6.0979868263888859</v>
      </c>
      <c r="L30" s="15">
        <v>77</v>
      </c>
      <c r="M30" s="31">
        <f t="shared" si="6"/>
        <v>0.51948051948051943</v>
      </c>
      <c r="N30" s="15">
        <v>186</v>
      </c>
      <c r="O30" s="32">
        <f t="shared" ref="O30:P30" si="38">D30/7</f>
        <v>5.7142857142857144</v>
      </c>
      <c r="P30" s="32">
        <f t="shared" si="38"/>
        <v>0</v>
      </c>
      <c r="Q30" s="27">
        <f t="shared" si="8"/>
        <v>32</v>
      </c>
      <c r="R30" s="27"/>
      <c r="S30" s="41">
        <v>2.3297872340425529</v>
      </c>
      <c r="T30" s="26">
        <v>1632</v>
      </c>
      <c r="U30" s="34" t="s">
        <v>34</v>
      </c>
      <c r="V30" s="35" t="s">
        <v>86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0.74471932870370372</v>
      </c>
      <c r="AD30" s="37">
        <f t="shared" si="12"/>
        <v>-41.108506944444443</v>
      </c>
      <c r="AE30" s="42">
        <v>-8.68</v>
      </c>
      <c r="AF30" s="42">
        <v>-11.504350499999999</v>
      </c>
      <c r="AG30" s="42">
        <v>0</v>
      </c>
    </row>
    <row r="31" spans="1:33" ht="15.75" customHeight="1" x14ac:dyDescent="0.2">
      <c r="A31" s="40" t="s">
        <v>87</v>
      </c>
      <c r="B31" s="40" t="s">
        <v>88</v>
      </c>
      <c r="C31" s="14">
        <f t="shared" si="4"/>
        <v>31.857536231884058</v>
      </c>
      <c r="D31" s="15">
        <v>69</v>
      </c>
      <c r="E31" s="15">
        <v>2</v>
      </c>
      <c r="F31" s="16">
        <v>2198.17</v>
      </c>
      <c r="G31" s="43">
        <v>-1.18</v>
      </c>
      <c r="H31" s="29">
        <f t="shared" si="1"/>
        <v>5.368101648189175E-4</v>
      </c>
      <c r="I31" s="29">
        <f t="shared" si="2"/>
        <v>0.18362189504034412</v>
      </c>
      <c r="J31" s="30">
        <f t="shared" si="5"/>
        <v>403.63214102083327</v>
      </c>
      <c r="K31" s="30">
        <f t="shared" si="3"/>
        <v>5.8497411742149747</v>
      </c>
      <c r="L31" s="15">
        <v>118</v>
      </c>
      <c r="M31" s="31">
        <f t="shared" si="6"/>
        <v>0.5847457627118644</v>
      </c>
      <c r="N31" s="15">
        <v>119</v>
      </c>
      <c r="O31" s="32">
        <f t="shared" ref="O31:P31" si="39">D31/7</f>
        <v>9.8571428571428577</v>
      </c>
      <c r="P31" s="32">
        <f t="shared" si="39"/>
        <v>0.2857142857142857</v>
      </c>
      <c r="Q31" s="27">
        <f t="shared" si="8"/>
        <v>11</v>
      </c>
      <c r="R31" s="27"/>
      <c r="S31" s="41">
        <v>2.1124307205067301</v>
      </c>
      <c r="T31" s="40">
        <v>944</v>
      </c>
      <c r="U31" s="22">
        <v>658</v>
      </c>
      <c r="V31" s="1" t="s">
        <v>89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0.74471932870370372</v>
      </c>
      <c r="AD31" s="37">
        <f t="shared" si="12"/>
        <v>-70.912174479166666</v>
      </c>
      <c r="AE31" s="45">
        <v>-8.68</v>
      </c>
      <c r="AF31" s="45">
        <v>-11.504350500000001</v>
      </c>
      <c r="AG31" s="42">
        <v>0</v>
      </c>
    </row>
    <row r="32" spans="1:33" ht="15.75" customHeight="1" x14ac:dyDescent="0.2">
      <c r="A32" s="40" t="s">
        <v>90</v>
      </c>
      <c r="B32" s="40" t="s">
        <v>88</v>
      </c>
      <c r="C32" s="14">
        <f t="shared" si="4"/>
        <v>30.038611111111113</v>
      </c>
      <c r="D32" s="15">
        <v>72</v>
      </c>
      <c r="E32" s="15">
        <v>1</v>
      </c>
      <c r="F32" s="16">
        <v>2162.7800000000002</v>
      </c>
      <c r="G32" s="16">
        <v>-1.85</v>
      </c>
      <c r="H32" s="29">
        <f t="shared" si="1"/>
        <v>8.5538057500069353E-4</v>
      </c>
      <c r="I32" s="29">
        <f t="shared" si="2"/>
        <v>0.14298470094045632</v>
      </c>
      <c r="J32" s="30">
        <f t="shared" si="5"/>
        <v>309.24445150000014</v>
      </c>
      <c r="K32" s="30">
        <f t="shared" si="3"/>
        <v>4.2950618263888911</v>
      </c>
      <c r="L32" s="15">
        <v>142</v>
      </c>
      <c r="M32" s="31">
        <f t="shared" si="6"/>
        <v>0.50704225352112675</v>
      </c>
      <c r="N32" s="15">
        <v>58</v>
      </c>
      <c r="O32" s="32">
        <f t="shared" ref="O32:P32" si="40">D32/7</f>
        <v>10.285714285714286</v>
      </c>
      <c r="P32" s="32">
        <f t="shared" si="40"/>
        <v>0.14285714285714285</v>
      </c>
      <c r="Q32" s="27">
        <f t="shared" si="8"/>
        <v>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2.7583417593528821</v>
      </c>
      <c r="T32" s="40">
        <f ca="1">IFERROR(__xludf.DUMMYFUNCTION("IFERROR(VLOOKUP($B$2,IMPORTRANGE(""https://docs.google.com/spreadsheets/d/1KiWZV1ko8G7lnRucBRBd29jj3Be6ltMfljMDqzOkQmI/edit#gid=1381463014"",""Lookup!A:D""),4,FALSE),"""")"),944)</f>
        <v>944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S210704  - 300 units 09/17| AGL253  - 358 units 11/01")</f>
        <v>| S210704  - 300 units 09/17| AGL253  - 358 units 11/01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0.74471932870370372</v>
      </c>
      <c r="AD32" s="37">
        <f t="shared" si="12"/>
        <v>-73.995312499999997</v>
      </c>
      <c r="AE32" s="42">
        <v>-8.68</v>
      </c>
      <c r="AF32" s="42">
        <v>-11.504350499999999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4.6640625" customWidth="1"/>
    <col min="21" max="21" width="24.1640625" customWidth="1"/>
    <col min="22" max="22" width="9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Info!B1:BJ5000""),3,FALSE),"""")"),"16oz Glass Beer Bottles for Home Brewing 12 Pack with Flip Caps and Funnel")</f>
        <v>16oz Glass Beer Bottles for Home Brewing 12 Pack with Flip Caps and Funnel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Info!B1:BJ5000""),2,FALSE),"""")"),"B07H8PMHQ2")</f>
        <v>B07H8PMHQ2</v>
      </c>
      <c r="B2" s="3" t="s">
        <v>91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7.25" customHeight="1" x14ac:dyDescent="0.2">
      <c r="A3" s="68" t="s">
        <v>31</v>
      </c>
      <c r="B3" s="69"/>
      <c r="C3" s="48">
        <f>((AE32+AF32)/0.85)*-1</f>
        <v>24.358059411764707</v>
      </c>
      <c r="D3" s="5">
        <f>SUM(D4:D99767)</f>
        <v>1178</v>
      </c>
      <c r="E3" s="5"/>
      <c r="F3" s="6">
        <f t="shared" ref="F3:G3" si="0">SUM(F4:F99767)</f>
        <v>38530.94999999999</v>
      </c>
      <c r="G3" s="6">
        <f t="shared" si="0"/>
        <v>-540.28000000000009</v>
      </c>
      <c r="H3" s="7">
        <f t="shared" ref="H3:H32" si="1">G3/F3*-1</f>
        <v>1.4021974542543078E-2</v>
      </c>
      <c r="I3" s="8">
        <f t="shared" ref="I3:I32" si="2">J3/F3</f>
        <v>0.17493260535881541</v>
      </c>
      <c r="J3" s="6">
        <f>SUM(J4:J99767)</f>
        <v>6740.3194704502466</v>
      </c>
      <c r="K3" s="6">
        <f t="shared" ref="K3:K32" si="3">J3/D3</f>
        <v>5.7218331667659141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Sheet!a1:g5000""),2,FALSE),"""")"),"10 - March
10 - April
10 - May
10 - June
10 - July
15 - Aug
15 - Sept
10 - Oct
10 - Nov
10 - Dec
10 - Jan
10 - Feb")</f>
        <v>10 - March
10 - April
10 - May
10 - June
10 - July
15 - Aug
15 - Sept
10 - Oct
10 - Nov
10 - Dec
10 - Jan
10 -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QTY-2")</f>
        <v>Del QTY-2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QTY-182")</f>
        <v>US QTY-182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90</v>
      </c>
      <c r="X3" s="7">
        <f>W3/D3</f>
        <v>7.6400679117147707E-2</v>
      </c>
      <c r="Y3" s="6"/>
      <c r="Z3" s="5"/>
      <c r="AA3" s="5"/>
      <c r="AB3" s="5"/>
      <c r="AC3" s="5"/>
      <c r="AD3" s="6">
        <f>SUM(AD4:AD99767)</f>
        <v>-1152.4981120043133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Info!B2:BZ3000""),37,FALSE)),"""")*-1"),-12.0243505)</f>
        <v>-12.024350500000001</v>
      </c>
      <c r="AG3" s="6">
        <f>SUM(AG4:AG99767)</f>
        <v>0</v>
      </c>
    </row>
    <row r="4" spans="1:33" x14ac:dyDescent="0.2">
      <c r="A4" s="1" t="s">
        <v>32</v>
      </c>
      <c r="B4" s="2" t="s">
        <v>92</v>
      </c>
      <c r="C4" s="14">
        <f t="shared" ref="C4:C32" si="4">IFERROR(F4/D4," - ")</f>
        <v>38.947795275590508</v>
      </c>
      <c r="D4" s="15">
        <v>127</v>
      </c>
      <c r="E4" s="15">
        <v>1</v>
      </c>
      <c r="F4" s="16">
        <v>4946.3699999999944</v>
      </c>
      <c r="G4" s="16">
        <v>-0.48000000000000004</v>
      </c>
      <c r="H4" s="17">
        <f t="shared" si="1"/>
        <v>9.7040860267226384E-5</v>
      </c>
      <c r="I4" s="17">
        <f t="shared" si="2"/>
        <v>0.31121414133960407</v>
      </c>
      <c r="J4" s="16">
        <f t="shared" ref="J4:J32" si="5">F4*0.85+G4+AF4*D4+D4*AE4+AG4+AD4</f>
        <v>1539.3802922979758</v>
      </c>
      <c r="K4" s="16">
        <f t="shared" si="3"/>
        <v>12.121104663763589</v>
      </c>
      <c r="L4" s="15">
        <v>336</v>
      </c>
      <c r="M4" s="18">
        <f t="shared" ref="M4:M32" si="6">IFERROR(D4/L4,"-")</f>
        <v>0.37797619047619047</v>
      </c>
      <c r="N4" s="15">
        <v>140</v>
      </c>
      <c r="O4" s="19">
        <f t="shared" ref="O4:P4" si="7">D4/7</f>
        <v>18.142857142857142</v>
      </c>
      <c r="P4" s="19">
        <f t="shared" si="7"/>
        <v>0.14285714285714285</v>
      </c>
      <c r="Q4" s="15">
        <f t="shared" ref="Q4:Q32" si="8">ROUNDDOWN(N4/(O4+P4),0)</f>
        <v>7</v>
      </c>
      <c r="R4" s="15"/>
      <c r="S4" s="20">
        <v>2.6345733041575401</v>
      </c>
      <c r="T4" s="2" t="s">
        <v>34</v>
      </c>
      <c r="U4" s="2" t="s">
        <v>34</v>
      </c>
      <c r="V4" s="21" t="s">
        <v>34</v>
      </c>
      <c r="W4" s="22">
        <v>1</v>
      </c>
      <c r="X4" s="23">
        <f t="shared" ref="X4:X32" si="9">IFERROR(W4/D4,0)</f>
        <v>7.874015748031496E-3</v>
      </c>
      <c r="Y4" s="24">
        <f t="shared" ref="Y4:Y32" si="10">IFERROR(G4/(W4+Z4)*-1,0)</f>
        <v>0.48000000000000004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0.70891203703703709</v>
      </c>
      <c r="AD4" s="24">
        <f t="shared" ref="AD4:AD32" si="12">IFERROR(AB4*AC4*D4*2,0)</f>
        <v>-124.24392361111111</v>
      </c>
      <c r="AE4" s="24">
        <v>-9.6</v>
      </c>
      <c r="AF4" s="24">
        <v>-10.402443181818182</v>
      </c>
      <c r="AG4" s="24">
        <v>0</v>
      </c>
    </row>
    <row r="5" spans="1:33" ht="15.75" customHeight="1" x14ac:dyDescent="0.2">
      <c r="A5" s="26" t="s">
        <v>35</v>
      </c>
      <c r="B5" s="26" t="s">
        <v>93</v>
      </c>
      <c r="C5" s="14">
        <f t="shared" si="4"/>
        <v>38.744000000000007</v>
      </c>
      <c r="D5" s="27">
        <v>55</v>
      </c>
      <c r="E5" s="27">
        <v>1</v>
      </c>
      <c r="F5" s="28">
        <v>2130.9200000000005</v>
      </c>
      <c r="G5" s="28">
        <v>-0.39</v>
      </c>
      <c r="H5" s="29">
        <f t="shared" si="1"/>
        <v>1.8301954085559285E-4</v>
      </c>
      <c r="I5" s="29">
        <f t="shared" si="2"/>
        <v>0.30826537517760627</v>
      </c>
      <c r="J5" s="30">
        <f t="shared" si="5"/>
        <v>656.88885327346486</v>
      </c>
      <c r="K5" s="30">
        <f t="shared" si="3"/>
        <v>11.943433695881179</v>
      </c>
      <c r="L5" s="27">
        <v>252</v>
      </c>
      <c r="M5" s="31">
        <f t="shared" si="6"/>
        <v>0.21825396825396826</v>
      </c>
      <c r="N5" s="27">
        <v>208</v>
      </c>
      <c r="O5" s="32">
        <f t="shared" ref="O5:P5" si="13">D5/7</f>
        <v>7.8571428571428568</v>
      </c>
      <c r="P5" s="32">
        <f t="shared" si="13"/>
        <v>0.14285714285714285</v>
      </c>
      <c r="Q5" s="27">
        <f t="shared" si="8"/>
        <v>26</v>
      </c>
      <c r="R5" s="27"/>
      <c r="S5" s="33">
        <v>3.1728813559322</v>
      </c>
      <c r="T5" s="26" t="s">
        <v>34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0.70973348783314016</v>
      </c>
      <c r="AD5" s="37">
        <f t="shared" si="12"/>
        <v>-53.868771726535336</v>
      </c>
      <c r="AE5" s="37">
        <v>-9.6</v>
      </c>
      <c r="AF5" s="37">
        <v>-10.402443181818182</v>
      </c>
      <c r="AG5" s="37">
        <v>0</v>
      </c>
    </row>
    <row r="6" spans="1:33" ht="15.75" customHeight="1" x14ac:dyDescent="0.2">
      <c r="A6" s="26" t="s">
        <v>38</v>
      </c>
      <c r="B6" s="26" t="s">
        <v>94</v>
      </c>
      <c r="C6" s="14">
        <f t="shared" si="4"/>
        <v>40.823333333333338</v>
      </c>
      <c r="D6" s="27">
        <v>30</v>
      </c>
      <c r="E6" s="27">
        <v>0</v>
      </c>
      <c r="F6" s="28">
        <v>1224.7</v>
      </c>
      <c r="G6" s="28">
        <v>-0.31</v>
      </c>
      <c r="H6" s="29">
        <f t="shared" si="1"/>
        <v>2.5312321384828935E-4</v>
      </c>
      <c r="I6" s="29">
        <f t="shared" si="2"/>
        <v>0.33580692921705019</v>
      </c>
      <c r="J6" s="30">
        <f t="shared" si="5"/>
        <v>411.26274621212139</v>
      </c>
      <c r="K6" s="30">
        <f t="shared" si="3"/>
        <v>13.708758207070712</v>
      </c>
      <c r="L6" s="27">
        <v>136</v>
      </c>
      <c r="M6" s="31">
        <f t="shared" si="6"/>
        <v>0.22058823529411764</v>
      </c>
      <c r="N6" s="27">
        <v>198</v>
      </c>
      <c r="O6" s="32">
        <f t="shared" ref="O6:P6" si="14">D6/7</f>
        <v>4.2857142857142856</v>
      </c>
      <c r="P6" s="32">
        <f t="shared" si="14"/>
        <v>0</v>
      </c>
      <c r="Q6" s="27">
        <f t="shared" si="8"/>
        <v>46</v>
      </c>
      <c r="R6" s="27"/>
      <c r="S6" s="33">
        <v>2.5248425472358198</v>
      </c>
      <c r="T6" s="26" t="s">
        <v>34</v>
      </c>
      <c r="U6" s="34" t="s">
        <v>34</v>
      </c>
      <c r="V6" s="35" t="s">
        <v>34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0.70891203703703709</v>
      </c>
      <c r="AD6" s="37">
        <f t="shared" si="12"/>
        <v>-29.348958333333336</v>
      </c>
      <c r="AE6" s="37">
        <v>-9.6</v>
      </c>
      <c r="AF6" s="37">
        <v>-10.402443181818182</v>
      </c>
      <c r="AG6" s="37">
        <v>0</v>
      </c>
    </row>
    <row r="7" spans="1:33" ht="15.75" customHeight="1" x14ac:dyDescent="0.2">
      <c r="A7" s="26" t="s">
        <v>41</v>
      </c>
      <c r="B7" s="26" t="s">
        <v>46</v>
      </c>
      <c r="C7" s="14">
        <f t="shared" si="4"/>
        <v>41.434444444444445</v>
      </c>
      <c r="D7" s="27">
        <v>18</v>
      </c>
      <c r="E7" s="27">
        <v>5</v>
      </c>
      <c r="F7" s="28">
        <v>745.82</v>
      </c>
      <c r="G7" s="28">
        <v>-0.13</v>
      </c>
      <c r="H7" s="29">
        <f t="shared" si="1"/>
        <v>1.7430479204097503E-4</v>
      </c>
      <c r="I7" s="29">
        <f t="shared" si="2"/>
        <v>0.3434657795812297</v>
      </c>
      <c r="J7" s="30">
        <f t="shared" si="5"/>
        <v>256.16364772727275</v>
      </c>
      <c r="K7" s="30">
        <f t="shared" si="3"/>
        <v>14.231313762626264</v>
      </c>
      <c r="L7" s="27">
        <v>110</v>
      </c>
      <c r="M7" s="31">
        <f t="shared" si="6"/>
        <v>0.16363636363636364</v>
      </c>
      <c r="N7" s="27">
        <v>177</v>
      </c>
      <c r="O7" s="32">
        <f t="shared" ref="O7:P7" si="15">D7/7</f>
        <v>2.5714285714285716</v>
      </c>
      <c r="P7" s="32">
        <f t="shared" si="15"/>
        <v>0.7142857142857143</v>
      </c>
      <c r="Q7" s="27">
        <f t="shared" si="8"/>
        <v>53</v>
      </c>
      <c r="R7" s="27"/>
      <c r="S7" s="33">
        <v>3.0476190476190399</v>
      </c>
      <c r="T7" s="26">
        <v>1918</v>
      </c>
      <c r="U7" s="34">
        <v>700</v>
      </c>
      <c r="V7" s="49" t="s">
        <v>95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0.70891203703703709</v>
      </c>
      <c r="AD7" s="37">
        <f t="shared" si="12"/>
        <v>-17.609375</v>
      </c>
      <c r="AE7" s="37">
        <v>-9.6</v>
      </c>
      <c r="AF7" s="37">
        <v>-10.402443181818182</v>
      </c>
      <c r="AG7" s="37">
        <v>0</v>
      </c>
    </row>
    <row r="8" spans="1:33" ht="15.75" customHeight="1" x14ac:dyDescent="0.2">
      <c r="A8" s="26" t="s">
        <v>43</v>
      </c>
      <c r="B8" s="26" t="s">
        <v>96</v>
      </c>
      <c r="C8" s="14">
        <f t="shared" si="4"/>
        <v>39.990476190476194</v>
      </c>
      <c r="D8" s="27">
        <v>21</v>
      </c>
      <c r="E8" s="27">
        <v>0</v>
      </c>
      <c r="F8" s="28">
        <v>839.80000000000007</v>
      </c>
      <c r="G8" s="28">
        <v>-0.18</v>
      </c>
      <c r="H8" s="29">
        <f t="shared" si="1"/>
        <v>2.1433674684448676E-4</v>
      </c>
      <c r="I8" s="29">
        <f t="shared" si="2"/>
        <v>0.32520329741208237</v>
      </c>
      <c r="J8" s="30">
        <f t="shared" si="5"/>
        <v>273.10572916666678</v>
      </c>
      <c r="K8" s="30">
        <f t="shared" si="3"/>
        <v>13.005034722222227</v>
      </c>
      <c r="L8" s="27">
        <v>106</v>
      </c>
      <c r="M8" s="31">
        <f t="shared" si="6"/>
        <v>0.19811320754716982</v>
      </c>
      <c r="N8" s="27">
        <v>154</v>
      </c>
      <c r="O8" s="32">
        <f t="shared" ref="O8:P8" si="16">D8/7</f>
        <v>3</v>
      </c>
      <c r="P8" s="32">
        <f t="shared" si="16"/>
        <v>0</v>
      </c>
      <c r="Q8" s="27">
        <f t="shared" si="8"/>
        <v>51</v>
      </c>
      <c r="R8" s="27"/>
      <c r="S8" s="33">
        <v>4.0385542168674702</v>
      </c>
      <c r="T8" s="26">
        <v>1218</v>
      </c>
      <c r="U8" s="34">
        <v>122</v>
      </c>
      <c r="V8" s="35" t="s">
        <v>97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0.70891203703703709</v>
      </c>
      <c r="AD8" s="37">
        <f t="shared" si="12"/>
        <v>-20.544270833333336</v>
      </c>
      <c r="AE8" s="37">
        <v>-9.6</v>
      </c>
      <c r="AF8" s="37">
        <v>-10.4</v>
      </c>
      <c r="AG8" s="37">
        <v>0</v>
      </c>
    </row>
    <row r="9" spans="1:33" ht="15.75" customHeight="1" x14ac:dyDescent="0.2">
      <c r="A9" s="26" t="s">
        <v>45</v>
      </c>
      <c r="B9" s="26" t="s">
        <v>98</v>
      </c>
      <c r="C9" s="14">
        <f t="shared" si="4"/>
        <v>39.250625000000007</v>
      </c>
      <c r="D9" s="27">
        <v>16</v>
      </c>
      <c r="E9" s="27">
        <v>1</v>
      </c>
      <c r="F9" s="28">
        <v>628.0100000000001</v>
      </c>
      <c r="G9" s="28">
        <v>-0.24</v>
      </c>
      <c r="H9" s="29">
        <f t="shared" si="1"/>
        <v>3.8215951975287011E-4</v>
      </c>
      <c r="I9" s="29">
        <f t="shared" si="2"/>
        <v>0.29718011792580867</v>
      </c>
      <c r="J9" s="30">
        <f t="shared" si="5"/>
        <v>186.63208585858715</v>
      </c>
      <c r="K9" s="30">
        <f t="shared" si="3"/>
        <v>11.664505366161697</v>
      </c>
      <c r="L9" s="27">
        <v>82</v>
      </c>
      <c r="M9" s="31">
        <f t="shared" si="6"/>
        <v>0.1951219512195122</v>
      </c>
      <c r="N9" s="27">
        <v>138</v>
      </c>
      <c r="O9" s="32">
        <f t="shared" ref="O9:P9" si="17">D9/7</f>
        <v>2.2857142857142856</v>
      </c>
      <c r="P9" s="32">
        <f t="shared" si="17"/>
        <v>0.14285714285714285</v>
      </c>
      <c r="Q9" s="27">
        <f t="shared" si="8"/>
        <v>56</v>
      </c>
      <c r="R9" s="27"/>
      <c r="S9" s="33">
        <v>4.1337047353760399</v>
      </c>
      <c r="T9" s="26">
        <v>1796</v>
      </c>
      <c r="U9" s="34">
        <v>700</v>
      </c>
      <c r="V9" s="35" t="s">
        <v>99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0.70891203703703709</v>
      </c>
      <c r="AD9" s="37">
        <f t="shared" si="12"/>
        <v>-15.652777777777779</v>
      </c>
      <c r="AE9" s="37">
        <v>-9.6</v>
      </c>
      <c r="AF9" s="37">
        <v>-11.1052272727272</v>
      </c>
      <c r="AG9" s="37">
        <v>0</v>
      </c>
    </row>
    <row r="10" spans="1:33" ht="15.75" customHeight="1" x14ac:dyDescent="0.2">
      <c r="A10" s="26" t="s">
        <v>48</v>
      </c>
      <c r="B10" s="26" t="s">
        <v>100</v>
      </c>
      <c r="C10" s="14">
        <f t="shared" si="4"/>
        <v>36.719310344827591</v>
      </c>
      <c r="D10" s="27">
        <v>29</v>
      </c>
      <c r="E10" s="27">
        <v>1</v>
      </c>
      <c r="F10" s="28">
        <v>1064.8600000000001</v>
      </c>
      <c r="G10" s="28">
        <v>-81.72999999999999</v>
      </c>
      <c r="H10" s="29">
        <f t="shared" si="1"/>
        <v>7.675187348571641E-2</v>
      </c>
      <c r="I10" s="29">
        <f t="shared" si="2"/>
        <v>0.1827270715105169</v>
      </c>
      <c r="J10" s="30">
        <f t="shared" si="5"/>
        <v>194.57874936868905</v>
      </c>
      <c r="K10" s="30">
        <f t="shared" si="3"/>
        <v>6.709612047196174</v>
      </c>
      <c r="L10" s="27">
        <v>120</v>
      </c>
      <c r="M10" s="31">
        <f t="shared" si="6"/>
        <v>0.24166666666666667</v>
      </c>
      <c r="N10" s="27">
        <v>343</v>
      </c>
      <c r="O10" s="32">
        <f t="shared" ref="O10:P10" si="18">D10/7</f>
        <v>4.1428571428571432</v>
      </c>
      <c r="P10" s="32">
        <f t="shared" si="18"/>
        <v>0.14285714285714285</v>
      </c>
      <c r="Q10" s="27">
        <f t="shared" si="8"/>
        <v>80</v>
      </c>
      <c r="R10" s="27"/>
      <c r="S10" s="33">
        <v>3.3514915693903999</v>
      </c>
      <c r="T10" s="26">
        <v>1796</v>
      </c>
      <c r="U10" s="34">
        <v>700</v>
      </c>
      <c r="V10" s="35" t="s">
        <v>101</v>
      </c>
      <c r="W10" s="26">
        <v>8</v>
      </c>
      <c r="X10" s="36">
        <f t="shared" si="9"/>
        <v>0.27586206896551724</v>
      </c>
      <c r="Y10" s="37">
        <f t="shared" si="10"/>
        <v>10.216249999999999</v>
      </c>
      <c r="Z10" s="26">
        <v>0</v>
      </c>
      <c r="AA10" s="26" t="s">
        <v>37</v>
      </c>
      <c r="AB10" s="38">
        <f t="shared" si="11"/>
        <v>-0.69</v>
      </c>
      <c r="AC10" s="39">
        <v>0.70891203703703709</v>
      </c>
      <c r="AD10" s="37">
        <f t="shared" si="12"/>
        <v>-28.370659722222225</v>
      </c>
      <c r="AE10" s="37">
        <v>-9.6</v>
      </c>
      <c r="AF10" s="37">
        <v>-11.1052272727272</v>
      </c>
      <c r="AG10" s="37">
        <v>0</v>
      </c>
    </row>
    <row r="11" spans="1:33" ht="15.75" customHeight="1" x14ac:dyDescent="0.2">
      <c r="A11" s="26" t="s">
        <v>50</v>
      </c>
      <c r="B11" s="26" t="s">
        <v>102</v>
      </c>
      <c r="C11" s="14">
        <f t="shared" si="4"/>
        <v>34.159661016949151</v>
      </c>
      <c r="D11" s="27">
        <v>59</v>
      </c>
      <c r="E11" s="27">
        <v>2</v>
      </c>
      <c r="F11" s="28">
        <v>2015.42</v>
      </c>
      <c r="G11" s="28">
        <v>-70.700000000000017</v>
      </c>
      <c r="H11" s="29">
        <f t="shared" si="1"/>
        <v>3.5079536771491802E-2</v>
      </c>
      <c r="I11" s="29">
        <f t="shared" si="2"/>
        <v>0.18015052587229444</v>
      </c>
      <c r="J11" s="30">
        <f t="shared" si="5"/>
        <v>363.07897285353965</v>
      </c>
      <c r="K11" s="30">
        <f t="shared" si="3"/>
        <v>6.1538808958227058</v>
      </c>
      <c r="L11" s="27">
        <v>104</v>
      </c>
      <c r="M11" s="31">
        <f t="shared" si="6"/>
        <v>0.56730769230769229</v>
      </c>
      <c r="N11" s="27">
        <v>294</v>
      </c>
      <c r="O11" s="32">
        <f t="shared" ref="O11:P11" si="19">D11/7</f>
        <v>8.4285714285714288</v>
      </c>
      <c r="P11" s="32">
        <f t="shared" si="19"/>
        <v>0.2857142857142857</v>
      </c>
      <c r="Q11" s="27">
        <f t="shared" si="8"/>
        <v>33</v>
      </c>
      <c r="R11" s="27"/>
      <c r="S11" s="33">
        <v>2.4746450304259602</v>
      </c>
      <c r="T11" s="26">
        <v>1796</v>
      </c>
      <c r="U11" s="34">
        <v>700</v>
      </c>
      <c r="V11" s="35" t="s">
        <v>101</v>
      </c>
      <c r="W11" s="26">
        <v>8</v>
      </c>
      <c r="X11" s="36">
        <f t="shared" si="9"/>
        <v>0.13559322033898305</v>
      </c>
      <c r="Y11" s="37">
        <f t="shared" si="10"/>
        <v>8.8375000000000021</v>
      </c>
      <c r="Z11" s="26">
        <v>0</v>
      </c>
      <c r="AA11" s="26" t="s">
        <v>37</v>
      </c>
      <c r="AB11" s="38">
        <f t="shared" si="11"/>
        <v>-0.69</v>
      </c>
      <c r="AC11" s="39">
        <v>0.70891203703703709</v>
      </c>
      <c r="AD11" s="37">
        <f t="shared" si="12"/>
        <v>-57.719618055555557</v>
      </c>
      <c r="AE11" s="37">
        <v>-9.6</v>
      </c>
      <c r="AF11" s="37">
        <v>-11.1052272727272</v>
      </c>
      <c r="AG11" s="37">
        <v>0</v>
      </c>
    </row>
    <row r="12" spans="1:33" ht="15.75" customHeight="1" x14ac:dyDescent="0.2">
      <c r="A12" s="26" t="s">
        <v>52</v>
      </c>
      <c r="B12" s="26" t="s">
        <v>103</v>
      </c>
      <c r="C12" s="14">
        <f t="shared" si="4"/>
        <v>33.99</v>
      </c>
      <c r="D12" s="27">
        <v>15</v>
      </c>
      <c r="E12" s="27">
        <v>3</v>
      </c>
      <c r="F12" s="28">
        <v>509.85000000000008</v>
      </c>
      <c r="G12" s="28">
        <v>-71.089999999999989</v>
      </c>
      <c r="H12" s="29">
        <f t="shared" si="1"/>
        <v>0.13943316661763258</v>
      </c>
      <c r="I12" s="29">
        <f t="shared" si="2"/>
        <v>7.2628443154703168E-2</v>
      </c>
      <c r="J12" s="30">
        <f t="shared" si="5"/>
        <v>37.029611742425416</v>
      </c>
      <c r="K12" s="30">
        <f t="shared" si="3"/>
        <v>2.468640782828361</v>
      </c>
      <c r="L12" s="27">
        <v>87</v>
      </c>
      <c r="M12" s="31">
        <f t="shared" si="6"/>
        <v>0.17241379310344829</v>
      </c>
      <c r="N12" s="27">
        <v>263</v>
      </c>
      <c r="O12" s="32">
        <f t="shared" ref="O12:P12" si="20">D12/7</f>
        <v>2.1428571428571428</v>
      </c>
      <c r="P12" s="32">
        <f t="shared" si="20"/>
        <v>0.42857142857142855</v>
      </c>
      <c r="Q12" s="27">
        <f t="shared" si="8"/>
        <v>102</v>
      </c>
      <c r="R12" s="27"/>
      <c r="S12" s="33">
        <v>2.8520859671302099</v>
      </c>
      <c r="T12" s="26">
        <v>1096</v>
      </c>
      <c r="U12" s="34">
        <v>122</v>
      </c>
      <c r="V12" s="35" t="s">
        <v>104</v>
      </c>
      <c r="W12" s="26">
        <v>1</v>
      </c>
      <c r="X12" s="36">
        <f t="shared" si="9"/>
        <v>6.6666666666666666E-2</v>
      </c>
      <c r="Y12" s="37">
        <f t="shared" si="10"/>
        <v>35.544999999999995</v>
      </c>
      <c r="Z12" s="26">
        <v>1</v>
      </c>
      <c r="AA12" s="26" t="s">
        <v>37</v>
      </c>
      <c r="AB12" s="38">
        <f t="shared" si="11"/>
        <v>-0.69</v>
      </c>
      <c r="AC12" s="39">
        <v>0.70891203703703709</v>
      </c>
      <c r="AD12" s="37">
        <f t="shared" si="12"/>
        <v>-14.674479166666668</v>
      </c>
      <c r="AE12" s="37">
        <v>-9.6</v>
      </c>
      <c r="AF12" s="37">
        <v>-11.1052272727272</v>
      </c>
      <c r="AG12" s="37">
        <v>0</v>
      </c>
    </row>
    <row r="13" spans="1:33" ht="15.75" customHeight="1" x14ac:dyDescent="0.2">
      <c r="A13" s="26" t="s">
        <v>54</v>
      </c>
      <c r="B13" s="26" t="s">
        <v>105</v>
      </c>
      <c r="C13" s="14">
        <f t="shared" si="4"/>
        <v>31.184444444444448</v>
      </c>
      <c r="D13" s="27">
        <v>27</v>
      </c>
      <c r="E13" s="27">
        <v>1</v>
      </c>
      <c r="F13" s="30">
        <v>841.98000000000013</v>
      </c>
      <c r="G13" s="28">
        <v>-59.430000000000007</v>
      </c>
      <c r="H13" s="29">
        <f t="shared" si="1"/>
        <v>7.0583624314116716E-2</v>
      </c>
      <c r="I13" s="29">
        <f t="shared" si="2"/>
        <v>7.2223650583366508E-2</v>
      </c>
      <c r="J13" s="30">
        <f t="shared" si="5"/>
        <v>60.810869318182938</v>
      </c>
      <c r="K13" s="30">
        <f t="shared" si="3"/>
        <v>2.2522544191919605</v>
      </c>
      <c r="L13" s="27">
        <v>59</v>
      </c>
      <c r="M13" s="31">
        <f t="shared" si="6"/>
        <v>0.4576271186440678</v>
      </c>
      <c r="N13" s="27">
        <v>262</v>
      </c>
      <c r="O13" s="32">
        <f t="shared" ref="O13:P13" si="21">D13/7</f>
        <v>3.8571428571428572</v>
      </c>
      <c r="P13" s="32">
        <f t="shared" si="21"/>
        <v>0.14285714285714285</v>
      </c>
      <c r="Q13" s="27">
        <f t="shared" si="8"/>
        <v>65</v>
      </c>
      <c r="R13" s="27"/>
      <c r="S13" s="33">
        <v>3.5102040816326499</v>
      </c>
      <c r="T13" s="26">
        <v>1096</v>
      </c>
      <c r="U13" s="34">
        <v>122</v>
      </c>
      <c r="V13" s="35" t="s">
        <v>104</v>
      </c>
      <c r="W13" s="26">
        <v>6</v>
      </c>
      <c r="X13" s="36">
        <f t="shared" si="9"/>
        <v>0.22222222222222221</v>
      </c>
      <c r="Y13" s="37">
        <f t="shared" si="10"/>
        <v>8.49</v>
      </c>
      <c r="Z13" s="26">
        <v>1</v>
      </c>
      <c r="AA13" s="26" t="s">
        <v>37</v>
      </c>
      <c r="AB13" s="38">
        <f t="shared" si="11"/>
        <v>-0.69</v>
      </c>
      <c r="AC13" s="39">
        <v>0.70891203703703709</v>
      </c>
      <c r="AD13" s="37">
        <f t="shared" si="12"/>
        <v>-26.4140625</v>
      </c>
      <c r="AE13" s="37">
        <v>-9.6</v>
      </c>
      <c r="AF13" s="37">
        <v>-11.4751136363636</v>
      </c>
      <c r="AG13" s="37">
        <v>0</v>
      </c>
    </row>
    <row r="14" spans="1:33" ht="15.75" customHeight="1" x14ac:dyDescent="0.2">
      <c r="A14" s="26" t="s">
        <v>56</v>
      </c>
      <c r="B14" s="26" t="s">
        <v>105</v>
      </c>
      <c r="C14" s="14">
        <f t="shared" si="4"/>
        <v>29.990000000000006</v>
      </c>
      <c r="D14" s="27">
        <v>43</v>
      </c>
      <c r="E14" s="27">
        <v>2</v>
      </c>
      <c r="F14" s="30">
        <v>1289.5700000000002</v>
      </c>
      <c r="G14" s="28">
        <v>-56.79</v>
      </c>
      <c r="H14" s="29">
        <f t="shared" si="1"/>
        <v>4.4037935125662037E-2</v>
      </c>
      <c r="I14" s="29">
        <f t="shared" si="2"/>
        <v>7.0603203671446763E-2</v>
      </c>
      <c r="J14" s="30">
        <f t="shared" si="5"/>
        <v>91.047773358587619</v>
      </c>
      <c r="K14" s="30">
        <f t="shared" si="3"/>
        <v>2.117390078106689</v>
      </c>
      <c r="L14" s="27">
        <v>110</v>
      </c>
      <c r="M14" s="31">
        <f t="shared" si="6"/>
        <v>0.39090909090909093</v>
      </c>
      <c r="N14" s="27">
        <v>223</v>
      </c>
      <c r="O14" s="32">
        <f t="shared" ref="O14:P14" si="22">D14/7</f>
        <v>6.1428571428571432</v>
      </c>
      <c r="P14" s="32">
        <f t="shared" si="22"/>
        <v>0.2857142857142857</v>
      </c>
      <c r="Q14" s="27">
        <f t="shared" si="8"/>
        <v>34</v>
      </c>
      <c r="R14" s="27"/>
      <c r="S14" s="33">
        <v>3.5266955266955202</v>
      </c>
      <c r="T14" s="26">
        <v>974</v>
      </c>
      <c r="U14" s="34">
        <v>360</v>
      </c>
      <c r="V14" s="35" t="s">
        <v>106</v>
      </c>
      <c r="W14" s="26">
        <v>17</v>
      </c>
      <c r="X14" s="36">
        <f t="shared" si="9"/>
        <v>0.39534883720930231</v>
      </c>
      <c r="Y14" s="37">
        <f t="shared" si="10"/>
        <v>3.1549999999999998</v>
      </c>
      <c r="Z14" s="26">
        <v>1</v>
      </c>
      <c r="AA14" s="26" t="s">
        <v>37</v>
      </c>
      <c r="AB14" s="38">
        <f t="shared" si="11"/>
        <v>-0.69</v>
      </c>
      <c r="AC14" s="39">
        <v>0.70891203703703709</v>
      </c>
      <c r="AD14" s="37">
        <f t="shared" si="12"/>
        <v>-42.066840277777779</v>
      </c>
      <c r="AE14" s="37">
        <v>-9.6</v>
      </c>
      <c r="AF14" s="37">
        <v>-11.4751136363636</v>
      </c>
      <c r="AG14" s="37">
        <v>0</v>
      </c>
    </row>
    <row r="15" spans="1:33" ht="15.75" customHeight="1" x14ac:dyDescent="0.2">
      <c r="A15" s="26" t="s">
        <v>58</v>
      </c>
      <c r="B15" s="26" t="s">
        <v>107</v>
      </c>
      <c r="C15" s="14">
        <f t="shared" si="4"/>
        <v>29.989999999999959</v>
      </c>
      <c r="D15" s="27">
        <v>94</v>
      </c>
      <c r="E15" s="27">
        <v>8</v>
      </c>
      <c r="F15" s="30">
        <v>2819.0599999999963</v>
      </c>
      <c r="G15" s="28">
        <v>-55.379999999999995</v>
      </c>
      <c r="H15" s="29">
        <f t="shared" si="1"/>
        <v>1.9644846154391913E-2</v>
      </c>
      <c r="I15" s="29">
        <f t="shared" si="2"/>
        <v>9.4996292642715696E-2</v>
      </c>
      <c r="J15" s="30">
        <f t="shared" si="5"/>
        <v>267.80024873737375</v>
      </c>
      <c r="K15" s="30">
        <f t="shared" si="3"/>
        <v>2.84893881635504</v>
      </c>
      <c r="L15" s="27">
        <v>140</v>
      </c>
      <c r="M15" s="31">
        <f t="shared" si="6"/>
        <v>0.67142857142857137</v>
      </c>
      <c r="N15" s="27">
        <v>134</v>
      </c>
      <c r="O15" s="32">
        <f t="shared" ref="O15:P15" si="23">D15/7</f>
        <v>13.428571428571429</v>
      </c>
      <c r="P15" s="32">
        <f t="shared" si="23"/>
        <v>1.1428571428571428</v>
      </c>
      <c r="Q15" s="27">
        <f t="shared" si="8"/>
        <v>9</v>
      </c>
      <c r="R15" s="27"/>
      <c r="S15" s="33">
        <v>2.29465930018416</v>
      </c>
      <c r="T15" s="26">
        <v>1528</v>
      </c>
      <c r="U15" s="34" t="s">
        <v>34</v>
      </c>
      <c r="V15" s="35" t="s">
        <v>108</v>
      </c>
      <c r="W15" s="26">
        <v>13</v>
      </c>
      <c r="X15" s="36">
        <f t="shared" si="9"/>
        <v>0.13829787234042554</v>
      </c>
      <c r="Y15" s="37">
        <f t="shared" si="10"/>
        <v>3.9557142857142855</v>
      </c>
      <c r="Z15" s="26">
        <v>1</v>
      </c>
      <c r="AA15" s="26" t="s">
        <v>37</v>
      </c>
      <c r="AB15" s="38">
        <f t="shared" si="11"/>
        <v>-0.69</v>
      </c>
      <c r="AC15" s="39">
        <v>0.70891203703703709</v>
      </c>
      <c r="AD15" s="37">
        <f t="shared" si="12"/>
        <v>-91.960069444444443</v>
      </c>
      <c r="AE15" s="37">
        <v>-9.6</v>
      </c>
      <c r="AF15" s="37">
        <v>-11.4751136363636</v>
      </c>
      <c r="AG15" s="37">
        <v>0</v>
      </c>
    </row>
    <row r="16" spans="1:33" ht="15.75" customHeight="1" x14ac:dyDescent="0.2">
      <c r="A16" s="26" t="s">
        <v>60</v>
      </c>
      <c r="B16" s="26" t="s">
        <v>109</v>
      </c>
      <c r="C16" s="14">
        <f t="shared" si="4"/>
        <v>32.111882352941144</v>
      </c>
      <c r="D16" s="27">
        <v>85</v>
      </c>
      <c r="E16" s="27">
        <v>5</v>
      </c>
      <c r="F16" s="30">
        <v>2729.5099999999975</v>
      </c>
      <c r="G16" s="28">
        <v>-8.25</v>
      </c>
      <c r="H16" s="29">
        <f t="shared" si="1"/>
        <v>3.0225205256621179E-3</v>
      </c>
      <c r="I16" s="29">
        <f t="shared" si="2"/>
        <v>0.16020950975253717</v>
      </c>
      <c r="J16" s="30">
        <f t="shared" si="5"/>
        <v>437.29345896464736</v>
      </c>
      <c r="K16" s="30">
        <f t="shared" si="3"/>
        <v>5.1446289289958509</v>
      </c>
      <c r="L16" s="27">
        <v>188</v>
      </c>
      <c r="M16" s="31">
        <f t="shared" si="6"/>
        <v>0.4521276595744681</v>
      </c>
      <c r="N16" s="27">
        <v>26</v>
      </c>
      <c r="O16" s="32">
        <f t="shared" ref="O16:P16" si="24">D16/7</f>
        <v>12.142857142857142</v>
      </c>
      <c r="P16" s="32">
        <f t="shared" si="24"/>
        <v>0.7142857142857143</v>
      </c>
      <c r="Q16" s="27">
        <f t="shared" si="8"/>
        <v>2</v>
      </c>
      <c r="R16" s="27"/>
      <c r="S16" s="33">
        <v>2.96962879640044</v>
      </c>
      <c r="T16" s="26">
        <v>2028</v>
      </c>
      <c r="U16" s="34" t="s">
        <v>34</v>
      </c>
      <c r="V16" s="35" t="s">
        <v>108</v>
      </c>
      <c r="W16" s="26">
        <v>2</v>
      </c>
      <c r="X16" s="36">
        <f t="shared" si="9"/>
        <v>2.3529411764705882E-2</v>
      </c>
      <c r="Y16" s="37">
        <f t="shared" si="10"/>
        <v>4.125</v>
      </c>
      <c r="Z16" s="26">
        <v>0</v>
      </c>
      <c r="AA16" s="26" t="s">
        <v>37</v>
      </c>
      <c r="AB16" s="38">
        <f t="shared" si="11"/>
        <v>-0.69</v>
      </c>
      <c r="AC16" s="39">
        <v>0.70891203703703709</v>
      </c>
      <c r="AD16" s="37">
        <f t="shared" si="12"/>
        <v>-83.155381944444443</v>
      </c>
      <c r="AE16" s="37">
        <v>-9.6</v>
      </c>
      <c r="AF16" s="37">
        <v>-11.4751136363636</v>
      </c>
      <c r="AG16" s="37">
        <v>0</v>
      </c>
    </row>
    <row r="17" spans="1:33" ht="15.75" customHeight="1" x14ac:dyDescent="0.2">
      <c r="A17" s="26" t="s">
        <v>61</v>
      </c>
      <c r="B17" s="26" t="s">
        <v>76</v>
      </c>
      <c r="C17" s="14">
        <f t="shared" si="4"/>
        <v>32.046111111111117</v>
      </c>
      <c r="D17" s="27">
        <v>18</v>
      </c>
      <c r="E17" s="27">
        <v>3</v>
      </c>
      <c r="F17" s="30">
        <v>576.83000000000004</v>
      </c>
      <c r="G17" s="28">
        <v>0</v>
      </c>
      <c r="H17" s="29">
        <f t="shared" si="1"/>
        <v>0</v>
      </c>
      <c r="I17" s="29">
        <f t="shared" si="2"/>
        <v>0.16182251191071054</v>
      </c>
      <c r="J17" s="30">
        <f t="shared" si="5"/>
        <v>93.344079545455173</v>
      </c>
      <c r="K17" s="30">
        <f t="shared" si="3"/>
        <v>5.1857821969697317</v>
      </c>
      <c r="L17" s="27">
        <v>79</v>
      </c>
      <c r="M17" s="31">
        <f t="shared" si="6"/>
        <v>0.22784810126582278</v>
      </c>
      <c r="N17" s="27">
        <v>0</v>
      </c>
      <c r="O17" s="32">
        <f t="shared" ref="O17:P17" si="25">D17/7</f>
        <v>2.5714285714285716</v>
      </c>
      <c r="P17" s="32">
        <f t="shared" si="25"/>
        <v>0.42857142857142855</v>
      </c>
      <c r="Q17" s="27">
        <f t="shared" si="8"/>
        <v>0</v>
      </c>
      <c r="R17" s="27"/>
      <c r="S17" s="33">
        <v>3.9066666666666601</v>
      </c>
      <c r="T17" s="26">
        <v>2028</v>
      </c>
      <c r="U17" s="34" t="s">
        <v>34</v>
      </c>
      <c r="V17" s="35" t="s">
        <v>108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0.70891203703703709</v>
      </c>
      <c r="AD17" s="37">
        <f t="shared" si="12"/>
        <v>-17.609375</v>
      </c>
      <c r="AE17" s="37">
        <v>-9.6</v>
      </c>
      <c r="AF17" s="37">
        <v>-11.4751136363636</v>
      </c>
      <c r="AG17" s="37">
        <v>0</v>
      </c>
    </row>
    <row r="18" spans="1:33" ht="15.75" customHeight="1" x14ac:dyDescent="0.2">
      <c r="A18" s="26" t="s">
        <v>62</v>
      </c>
      <c r="B18" s="26" t="s">
        <v>53</v>
      </c>
      <c r="C18" s="14">
        <f t="shared" si="4"/>
        <v>34.99</v>
      </c>
      <c r="D18" s="27">
        <v>2</v>
      </c>
      <c r="E18" s="27">
        <v>0</v>
      </c>
      <c r="F18" s="30">
        <v>69.98</v>
      </c>
      <c r="G18" s="28">
        <v>0</v>
      </c>
      <c r="H18" s="29">
        <f t="shared" si="1"/>
        <v>0</v>
      </c>
      <c r="I18" s="29">
        <f t="shared" si="2"/>
        <v>0.21972242790869645</v>
      </c>
      <c r="J18" s="30">
        <f t="shared" si="5"/>
        <v>15.376175505050579</v>
      </c>
      <c r="K18" s="30">
        <f t="shared" si="3"/>
        <v>7.6880877525252895</v>
      </c>
      <c r="L18" s="27">
        <v>0</v>
      </c>
      <c r="M18" s="31" t="str">
        <f t="shared" si="6"/>
        <v>-</v>
      </c>
      <c r="N18" s="27">
        <v>156</v>
      </c>
      <c r="O18" s="32">
        <f t="shared" ref="O18:P18" si="26">D18/7</f>
        <v>0.2857142857142857</v>
      </c>
      <c r="P18" s="32">
        <f t="shared" si="26"/>
        <v>0</v>
      </c>
      <c r="Q18" s="27">
        <f t="shared" si="8"/>
        <v>546</v>
      </c>
      <c r="R18" s="27"/>
      <c r="S18" s="33">
        <v>3.3020134228187898</v>
      </c>
      <c r="T18" s="26">
        <v>1738</v>
      </c>
      <c r="U18" s="34">
        <v>324</v>
      </c>
      <c r="V18" s="35" t="s">
        <v>110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0.70891203703703709</v>
      </c>
      <c r="AD18" s="37">
        <f t="shared" si="12"/>
        <v>-1.9565972222222223</v>
      </c>
      <c r="AE18" s="37">
        <v>-9.6</v>
      </c>
      <c r="AF18" s="37">
        <v>-11.4751136363636</v>
      </c>
      <c r="AG18" s="37">
        <v>0</v>
      </c>
    </row>
    <row r="19" spans="1:33" ht="15.75" customHeight="1" x14ac:dyDescent="0.2">
      <c r="A19" s="26" t="s">
        <v>64</v>
      </c>
      <c r="B19" s="26" t="s">
        <v>111</v>
      </c>
      <c r="C19" s="14">
        <f t="shared" si="4"/>
        <v>34.99</v>
      </c>
      <c r="D19" s="27">
        <v>17</v>
      </c>
      <c r="E19" s="27">
        <v>0</v>
      </c>
      <c r="F19" s="30">
        <v>594.83000000000004</v>
      </c>
      <c r="G19" s="28">
        <v>-0.08</v>
      </c>
      <c r="H19" s="29">
        <f t="shared" si="1"/>
        <v>1.3449220785770723E-4</v>
      </c>
      <c r="I19" s="29">
        <f t="shared" si="2"/>
        <v>0.21958793570083782</v>
      </c>
      <c r="J19" s="30">
        <f t="shared" si="5"/>
        <v>130.61749179292937</v>
      </c>
      <c r="K19" s="30">
        <f t="shared" si="3"/>
        <v>7.6833818701723162</v>
      </c>
      <c r="L19" s="27">
        <v>80</v>
      </c>
      <c r="M19" s="31">
        <f t="shared" si="6"/>
        <v>0.21249999999999999</v>
      </c>
      <c r="N19" s="27">
        <v>285</v>
      </c>
      <c r="O19" s="32">
        <f t="shared" ref="O19:P19" si="27">D19/7</f>
        <v>2.4285714285714284</v>
      </c>
      <c r="P19" s="32">
        <f t="shared" si="27"/>
        <v>0</v>
      </c>
      <c r="Q19" s="27">
        <f t="shared" si="8"/>
        <v>117</v>
      </c>
      <c r="R19" s="27"/>
      <c r="S19" s="33">
        <v>1.7938931297709899</v>
      </c>
      <c r="T19" s="26">
        <v>834</v>
      </c>
      <c r="U19" s="34">
        <v>324</v>
      </c>
      <c r="V19" s="35" t="s">
        <v>110</v>
      </c>
      <c r="W19" s="26">
        <v>1</v>
      </c>
      <c r="X19" s="36">
        <f t="shared" si="9"/>
        <v>5.8823529411764705E-2</v>
      </c>
      <c r="Y19" s="37">
        <f t="shared" si="10"/>
        <v>0.08</v>
      </c>
      <c r="Z19" s="26">
        <v>0</v>
      </c>
      <c r="AA19" s="26" t="s">
        <v>37</v>
      </c>
      <c r="AB19" s="38">
        <f t="shared" si="11"/>
        <v>-0.69</v>
      </c>
      <c r="AC19" s="39">
        <v>0.70891203703703709</v>
      </c>
      <c r="AD19" s="37">
        <f t="shared" si="12"/>
        <v>-16.631076388888889</v>
      </c>
      <c r="AE19" s="37">
        <v>-9.6</v>
      </c>
      <c r="AF19" s="37">
        <v>-11.475113636363636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33.740333333333339</v>
      </c>
      <c r="D20" s="27">
        <v>30</v>
      </c>
      <c r="E20" s="27">
        <v>0</v>
      </c>
      <c r="F20" s="30">
        <v>1012.2100000000003</v>
      </c>
      <c r="G20" s="28">
        <v>-0.06</v>
      </c>
      <c r="H20" s="29">
        <f t="shared" si="1"/>
        <v>5.9276237144466051E-5</v>
      </c>
      <c r="I20" s="29">
        <f t="shared" si="2"/>
        <v>0.19631907664986295</v>
      </c>
      <c r="J20" s="30">
        <f t="shared" si="5"/>
        <v>198.71613257575783</v>
      </c>
      <c r="K20" s="30">
        <f t="shared" si="3"/>
        <v>6.6238710858585943</v>
      </c>
      <c r="L20" s="27">
        <v>71</v>
      </c>
      <c r="M20" s="31">
        <f t="shared" si="6"/>
        <v>0.42253521126760563</v>
      </c>
      <c r="N20" s="27">
        <v>258</v>
      </c>
      <c r="O20" s="32">
        <f t="shared" ref="O20:P20" si="28">D20/7</f>
        <v>4.2857142857142856</v>
      </c>
      <c r="P20" s="32">
        <f t="shared" si="28"/>
        <v>0</v>
      </c>
      <c r="Q20" s="27">
        <f t="shared" si="8"/>
        <v>60</v>
      </c>
      <c r="R20" s="27"/>
      <c r="S20" s="33">
        <v>2.2760290556900702</v>
      </c>
      <c r="T20" s="26">
        <v>834</v>
      </c>
      <c r="U20" s="34">
        <v>324</v>
      </c>
      <c r="V20" s="35" t="s">
        <v>110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0.70891203703703709</v>
      </c>
      <c r="AD20" s="37">
        <f t="shared" si="12"/>
        <v>-29.348958333333336</v>
      </c>
      <c r="AE20" s="37">
        <v>-9.6</v>
      </c>
      <c r="AF20" s="37">
        <v>-11.475113636363636</v>
      </c>
      <c r="AG20" s="37">
        <v>0</v>
      </c>
    </row>
    <row r="21" spans="1:33" ht="15.75" customHeight="1" x14ac:dyDescent="0.2">
      <c r="A21" s="26" t="s">
        <v>66</v>
      </c>
      <c r="B21" s="26" t="s">
        <v>112</v>
      </c>
      <c r="C21" s="14">
        <f t="shared" si="4"/>
        <v>32.99</v>
      </c>
      <c r="D21" s="27">
        <v>40</v>
      </c>
      <c r="E21" s="27">
        <v>1</v>
      </c>
      <c r="F21" s="30">
        <v>1319.6000000000001</v>
      </c>
      <c r="G21" s="28">
        <v>-0.11000000000000001</v>
      </c>
      <c r="H21" s="29">
        <f t="shared" si="1"/>
        <v>8.335859351318582E-5</v>
      </c>
      <c r="I21" s="29">
        <f t="shared" si="2"/>
        <v>0.18142884972795564</v>
      </c>
      <c r="J21" s="30">
        <f t="shared" si="5"/>
        <v>239.41351010101027</v>
      </c>
      <c r="K21" s="30">
        <f t="shared" si="3"/>
        <v>5.9853377525252567</v>
      </c>
      <c r="L21" s="27">
        <v>41</v>
      </c>
      <c r="M21" s="31">
        <f t="shared" si="6"/>
        <v>0.97560975609756095</v>
      </c>
      <c r="N21" s="27">
        <v>212</v>
      </c>
      <c r="O21" s="32">
        <f t="shared" ref="O21:P21" si="29">D21/7</f>
        <v>5.7142857142857144</v>
      </c>
      <c r="P21" s="32">
        <f t="shared" si="29"/>
        <v>0.14285714285714285</v>
      </c>
      <c r="Q21" s="27">
        <f t="shared" si="8"/>
        <v>36</v>
      </c>
      <c r="R21" s="27"/>
      <c r="S21" s="33">
        <v>2.9486404833836799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0.70891203703703709</v>
      </c>
      <c r="AD21" s="37">
        <f t="shared" si="12"/>
        <v>-39.131944444444443</v>
      </c>
      <c r="AE21" s="37">
        <v>-9.6</v>
      </c>
      <c r="AF21" s="37">
        <v>-11.475113636363636</v>
      </c>
      <c r="AG21" s="37">
        <v>0</v>
      </c>
    </row>
    <row r="22" spans="1:33" ht="15.75" customHeight="1" x14ac:dyDescent="0.2">
      <c r="A22" s="26" t="s">
        <v>67</v>
      </c>
      <c r="B22" s="26" t="s">
        <v>113</v>
      </c>
      <c r="C22" s="14">
        <f t="shared" si="4"/>
        <v>34.847142857142863</v>
      </c>
      <c r="D22" s="27">
        <v>14</v>
      </c>
      <c r="E22" s="27">
        <v>2</v>
      </c>
      <c r="F22" s="28">
        <v>487.86000000000007</v>
      </c>
      <c r="G22" s="28">
        <v>-0.29000000000000004</v>
      </c>
      <c r="H22" s="29">
        <f t="shared" si="1"/>
        <v>5.9443282909031278E-4</v>
      </c>
      <c r="I22" s="29">
        <f t="shared" si="2"/>
        <v>0.21654414900863675</v>
      </c>
      <c r="J22" s="30">
        <f t="shared" si="5"/>
        <v>105.64322853535354</v>
      </c>
      <c r="K22" s="30">
        <f t="shared" si="3"/>
        <v>7.5459448953823962</v>
      </c>
      <c r="L22" s="27">
        <v>74</v>
      </c>
      <c r="M22" s="31">
        <f t="shared" si="6"/>
        <v>0.1891891891891892</v>
      </c>
      <c r="N22" s="27">
        <v>196</v>
      </c>
      <c r="O22" s="32">
        <f t="shared" ref="O22:P22" si="30">D22/7</f>
        <v>2</v>
      </c>
      <c r="P22" s="32">
        <f t="shared" si="30"/>
        <v>0.2857142857142857</v>
      </c>
      <c r="Q22" s="27">
        <f t="shared" si="8"/>
        <v>85</v>
      </c>
      <c r="R22" s="27"/>
      <c r="S22" s="33">
        <v>3.2945091514142999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0.70891203703703709</v>
      </c>
      <c r="AD22" s="37">
        <f t="shared" si="12"/>
        <v>-13.696180555555557</v>
      </c>
      <c r="AE22" s="37">
        <v>-9.6</v>
      </c>
      <c r="AF22" s="37">
        <v>-11.475113636363636</v>
      </c>
      <c r="AG22" s="37">
        <v>0</v>
      </c>
    </row>
    <row r="23" spans="1:33" ht="15.75" customHeight="1" x14ac:dyDescent="0.2">
      <c r="A23" s="26" t="s">
        <v>68</v>
      </c>
      <c r="B23" s="26" t="s">
        <v>114</v>
      </c>
      <c r="C23" s="14">
        <f t="shared" si="4"/>
        <v>31.12913043478261</v>
      </c>
      <c r="D23" s="27">
        <v>23</v>
      </c>
      <c r="E23" s="27">
        <v>3</v>
      </c>
      <c r="F23" s="30">
        <v>715.97</v>
      </c>
      <c r="G23" s="28">
        <v>-4.29</v>
      </c>
      <c r="H23" s="29">
        <f t="shared" si="1"/>
        <v>5.9918711677863596E-3</v>
      </c>
      <c r="I23" s="29">
        <f t="shared" si="2"/>
        <v>0.13555877803271216</v>
      </c>
      <c r="J23" s="30">
        <f t="shared" si="5"/>
        <v>97.056018308080937</v>
      </c>
      <c r="K23" s="30">
        <f t="shared" si="3"/>
        <v>4.2198268829600405</v>
      </c>
      <c r="L23" s="27">
        <v>58</v>
      </c>
      <c r="M23" s="31">
        <f t="shared" si="6"/>
        <v>0.39655172413793105</v>
      </c>
      <c r="N23" s="27">
        <v>173</v>
      </c>
      <c r="O23" s="32">
        <f t="shared" ref="O23:P23" si="31">D23/7</f>
        <v>3.2857142857142856</v>
      </c>
      <c r="P23" s="32">
        <f t="shared" si="31"/>
        <v>0.42857142857142855</v>
      </c>
      <c r="Q23" s="27">
        <f t="shared" si="8"/>
        <v>46</v>
      </c>
      <c r="R23" s="27"/>
      <c r="S23" s="33">
        <v>2.0833333333333299</v>
      </c>
      <c r="T23" s="26">
        <v>1124</v>
      </c>
      <c r="U23" s="34">
        <v>324</v>
      </c>
      <c r="V23" s="35" t="s">
        <v>115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0.70891203703703709</v>
      </c>
      <c r="AD23" s="37">
        <f t="shared" si="12"/>
        <v>-22.500868055555557</v>
      </c>
      <c r="AE23" s="37">
        <v>-9.6</v>
      </c>
      <c r="AF23" s="37">
        <v>-11.475113636363636</v>
      </c>
      <c r="AG23" s="37">
        <v>0</v>
      </c>
    </row>
    <row r="24" spans="1:33" ht="15.75" customHeight="1" x14ac:dyDescent="0.2">
      <c r="A24" s="26" t="s">
        <v>71</v>
      </c>
      <c r="B24" s="26" t="s">
        <v>116</v>
      </c>
      <c r="C24" s="14">
        <f t="shared" si="4"/>
        <v>29.990000000000002</v>
      </c>
      <c r="D24" s="27">
        <v>38</v>
      </c>
      <c r="E24" s="27">
        <v>2</v>
      </c>
      <c r="F24" s="30">
        <v>1139.6200000000001</v>
      </c>
      <c r="G24" s="30">
        <v>-10.92</v>
      </c>
      <c r="H24" s="29">
        <f t="shared" si="1"/>
        <v>9.5821414155595717E-3</v>
      </c>
      <c r="I24" s="29">
        <f t="shared" si="2"/>
        <v>0.10505899738154791</v>
      </c>
      <c r="J24" s="30">
        <f t="shared" si="5"/>
        <v>119.72733459595963</v>
      </c>
      <c r="K24" s="30">
        <f t="shared" si="3"/>
        <v>3.1507193314726218</v>
      </c>
      <c r="L24" s="27">
        <v>78</v>
      </c>
      <c r="M24" s="31">
        <f t="shared" si="6"/>
        <v>0.48717948717948717</v>
      </c>
      <c r="N24" s="27">
        <v>133</v>
      </c>
      <c r="O24" s="32">
        <f t="shared" ref="O24:P24" si="32">D24/7</f>
        <v>5.4285714285714288</v>
      </c>
      <c r="P24" s="32">
        <f t="shared" si="32"/>
        <v>0.2857142857142857</v>
      </c>
      <c r="Q24" s="27">
        <f t="shared" si="8"/>
        <v>23</v>
      </c>
      <c r="R24" s="27"/>
      <c r="S24" s="33">
        <v>2.06849315068493</v>
      </c>
      <c r="T24" s="26">
        <v>1124</v>
      </c>
      <c r="U24" s="34">
        <v>324</v>
      </c>
      <c r="V24" s="35" t="s">
        <v>115</v>
      </c>
      <c r="W24" s="26">
        <v>2</v>
      </c>
      <c r="X24" s="36">
        <f t="shared" si="9"/>
        <v>5.2631578947368418E-2</v>
      </c>
      <c r="Y24" s="37">
        <f t="shared" si="10"/>
        <v>5.46</v>
      </c>
      <c r="Z24" s="26">
        <v>0</v>
      </c>
      <c r="AA24" s="26" t="s">
        <v>37</v>
      </c>
      <c r="AB24" s="38">
        <f t="shared" si="11"/>
        <v>-0.69</v>
      </c>
      <c r="AC24" s="39">
        <v>0.70891203703703709</v>
      </c>
      <c r="AD24" s="37">
        <f t="shared" si="12"/>
        <v>-37.175347222222221</v>
      </c>
      <c r="AE24" s="37">
        <v>-9.6</v>
      </c>
      <c r="AF24" s="37">
        <v>-11.475113636363636</v>
      </c>
      <c r="AG24" s="37">
        <v>0</v>
      </c>
    </row>
    <row r="25" spans="1:33" ht="15.75" customHeight="1" x14ac:dyDescent="0.2">
      <c r="A25" s="40" t="s">
        <v>73</v>
      </c>
      <c r="B25" s="26" t="s">
        <v>116</v>
      </c>
      <c r="C25" s="14">
        <f t="shared" si="4"/>
        <v>30.141999999999999</v>
      </c>
      <c r="D25" s="15">
        <v>30</v>
      </c>
      <c r="E25" s="15">
        <v>3</v>
      </c>
      <c r="F25" s="16">
        <v>904.26</v>
      </c>
      <c r="G25" s="16">
        <v>-7.99</v>
      </c>
      <c r="H25" s="29">
        <f t="shared" si="1"/>
        <v>8.8359542609426495E-3</v>
      </c>
      <c r="I25" s="29">
        <f t="shared" si="2"/>
        <v>0.10935133884797138</v>
      </c>
      <c r="J25" s="30">
        <f t="shared" si="5"/>
        <v>98.882041666666595</v>
      </c>
      <c r="K25" s="30">
        <f t="shared" si="3"/>
        <v>3.296068055555553</v>
      </c>
      <c r="L25" s="15">
        <v>92</v>
      </c>
      <c r="M25" s="31">
        <f t="shared" si="6"/>
        <v>0.32608695652173914</v>
      </c>
      <c r="N25" s="15">
        <v>94</v>
      </c>
      <c r="O25" s="32">
        <f t="shared" ref="O25:P25" si="33">D25/7</f>
        <v>4.2857142857142856</v>
      </c>
      <c r="P25" s="32">
        <f t="shared" si="33"/>
        <v>0.42857142857142855</v>
      </c>
      <c r="Q25" s="27">
        <f t="shared" si="8"/>
        <v>19</v>
      </c>
      <c r="R25" s="27"/>
      <c r="S25" s="41">
        <v>3.016077170418006</v>
      </c>
      <c r="T25" s="26">
        <v>800</v>
      </c>
      <c r="U25" s="34">
        <v>800</v>
      </c>
      <c r="V25" s="35" t="s">
        <v>117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0.70891203703703709</v>
      </c>
      <c r="AD25" s="37">
        <f t="shared" si="12"/>
        <v>-29.348958333333336</v>
      </c>
      <c r="AE25" s="42">
        <v>-9.6</v>
      </c>
      <c r="AF25" s="42">
        <v>-11.48</v>
      </c>
      <c r="AG25" s="42">
        <v>0</v>
      </c>
    </row>
    <row r="26" spans="1:33" ht="15.75" customHeight="1" x14ac:dyDescent="0.2">
      <c r="A26" s="40" t="s">
        <v>75</v>
      </c>
      <c r="B26" s="40" t="s">
        <v>118</v>
      </c>
      <c r="C26" s="14">
        <f t="shared" si="4"/>
        <v>28.686086956521738</v>
      </c>
      <c r="D26" s="15">
        <v>23</v>
      </c>
      <c r="E26" s="15">
        <v>3</v>
      </c>
      <c r="F26" s="16">
        <v>659.78</v>
      </c>
      <c r="G26" s="16">
        <v>-2.09</v>
      </c>
      <c r="H26" s="29">
        <f t="shared" si="1"/>
        <v>3.1677225741913971E-3</v>
      </c>
      <c r="I26" s="29">
        <f t="shared" si="2"/>
        <v>0.1101193099337379</v>
      </c>
      <c r="J26" s="30">
        <f t="shared" si="5"/>
        <v>72.654518308081592</v>
      </c>
      <c r="K26" s="30">
        <f t="shared" si="3"/>
        <v>3.1588921003513737</v>
      </c>
      <c r="L26" s="15">
        <v>71</v>
      </c>
      <c r="M26" s="31">
        <f t="shared" si="6"/>
        <v>0.323943661971831</v>
      </c>
      <c r="N26" s="15">
        <v>70</v>
      </c>
      <c r="O26" s="32">
        <f t="shared" ref="O26:P26" si="34">D26/7</f>
        <v>3.2857142857142856</v>
      </c>
      <c r="P26" s="32">
        <f t="shared" si="34"/>
        <v>0.42857142857142855</v>
      </c>
      <c r="Q26" s="27">
        <f t="shared" si="8"/>
        <v>18</v>
      </c>
      <c r="R26" s="27"/>
      <c r="S26" s="41">
        <v>3.3968804159445409</v>
      </c>
      <c r="T26" s="26">
        <v>800</v>
      </c>
      <c r="U26" s="34">
        <v>800</v>
      </c>
      <c r="V26" s="35" t="s">
        <v>119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0.70891203703703709</v>
      </c>
      <c r="AD26" s="37">
        <f t="shared" si="12"/>
        <v>-22.500868055555557</v>
      </c>
      <c r="AE26" s="42">
        <v>-8.68</v>
      </c>
      <c r="AF26" s="42">
        <v>-11.4751136363636</v>
      </c>
      <c r="AG26" s="42">
        <v>0</v>
      </c>
    </row>
    <row r="27" spans="1:33" ht="15.75" customHeight="1" x14ac:dyDescent="0.2">
      <c r="A27" s="40" t="s">
        <v>77</v>
      </c>
      <c r="B27" s="40" t="s">
        <v>120</v>
      </c>
      <c r="C27" s="14">
        <f t="shared" si="4"/>
        <v>30.79</v>
      </c>
      <c r="D27" s="15">
        <v>25</v>
      </c>
      <c r="E27" s="15">
        <v>0</v>
      </c>
      <c r="F27" s="16">
        <v>769.75</v>
      </c>
      <c r="G27" s="16">
        <v>-3.89</v>
      </c>
      <c r="H27" s="29">
        <f t="shared" si="1"/>
        <v>5.0535888275414099E-3</v>
      </c>
      <c r="I27" s="29">
        <f t="shared" si="2"/>
        <v>0.15857381463219519</v>
      </c>
      <c r="J27" s="30">
        <f t="shared" si="5"/>
        <v>122.06219381313224</v>
      </c>
      <c r="K27" s="30">
        <f t="shared" si="3"/>
        <v>4.8824877525252894</v>
      </c>
      <c r="L27" s="15">
        <v>60</v>
      </c>
      <c r="M27" s="31">
        <f t="shared" si="6"/>
        <v>0.41666666666666669</v>
      </c>
      <c r="N27" s="15">
        <v>368</v>
      </c>
      <c r="O27" s="32">
        <f t="shared" ref="O27:P27" si="35">D27/7</f>
        <v>3.5714285714285716</v>
      </c>
      <c r="P27" s="32">
        <f t="shared" si="35"/>
        <v>0</v>
      </c>
      <c r="Q27" s="27">
        <f t="shared" si="8"/>
        <v>103</v>
      </c>
      <c r="R27" s="27"/>
      <c r="S27" s="41">
        <v>1.6975252062328141</v>
      </c>
      <c r="T27" s="26">
        <v>800</v>
      </c>
      <c r="U27" s="34">
        <v>800</v>
      </c>
      <c r="V27" s="35" t="s">
        <v>119</v>
      </c>
      <c r="W27" s="40">
        <v>3</v>
      </c>
      <c r="X27" s="36">
        <f t="shared" si="9"/>
        <v>0.12</v>
      </c>
      <c r="Y27" s="37">
        <f t="shared" si="10"/>
        <v>1.2966666666666666</v>
      </c>
      <c r="Z27" s="40">
        <v>0</v>
      </c>
      <c r="AA27" s="26" t="s">
        <v>37</v>
      </c>
      <c r="AB27" s="38">
        <f t="shared" si="11"/>
        <v>-0.69</v>
      </c>
      <c r="AC27" s="39">
        <v>0.70891203703703709</v>
      </c>
      <c r="AD27" s="37">
        <f t="shared" si="12"/>
        <v>-24.457465277777779</v>
      </c>
      <c r="AE27" s="42">
        <v>-8.68</v>
      </c>
      <c r="AF27" s="42">
        <v>-11.4751136363636</v>
      </c>
      <c r="AG27" s="42">
        <v>0</v>
      </c>
    </row>
    <row r="28" spans="1:33" ht="15.75" customHeight="1" x14ac:dyDescent="0.2">
      <c r="A28" s="40" t="s">
        <v>79</v>
      </c>
      <c r="B28" s="40" t="s">
        <v>121</v>
      </c>
      <c r="C28" s="14">
        <f t="shared" si="4"/>
        <v>30.222142857142853</v>
      </c>
      <c r="D28" s="15">
        <v>28</v>
      </c>
      <c r="E28" s="15">
        <v>0</v>
      </c>
      <c r="F28" s="16">
        <v>846.21999999999991</v>
      </c>
      <c r="G28" s="16">
        <v>-2.37</v>
      </c>
      <c r="H28" s="29">
        <f t="shared" si="1"/>
        <v>2.800690127862731E-3</v>
      </c>
      <c r="I28" s="29">
        <f t="shared" si="2"/>
        <v>0.14793015654405239</v>
      </c>
      <c r="J28" s="30">
        <f t="shared" si="5"/>
        <v>125.18145707070801</v>
      </c>
      <c r="K28" s="30">
        <f t="shared" si="3"/>
        <v>4.4707663239538578</v>
      </c>
      <c r="L28" s="15">
        <v>59</v>
      </c>
      <c r="M28" s="31">
        <f t="shared" si="6"/>
        <v>0.47457627118644069</v>
      </c>
      <c r="N28" s="15">
        <v>349</v>
      </c>
      <c r="O28" s="32">
        <f t="shared" ref="O28:P28" si="36">D28/7</f>
        <v>4</v>
      </c>
      <c r="P28" s="32">
        <f t="shared" si="36"/>
        <v>0</v>
      </c>
      <c r="Q28" s="27">
        <f t="shared" si="8"/>
        <v>87</v>
      </c>
      <c r="R28" s="27"/>
      <c r="S28" s="41">
        <v>1.7308488612836439</v>
      </c>
      <c r="T28" s="40" t="s">
        <v>34</v>
      </c>
      <c r="U28" s="22">
        <v>800</v>
      </c>
      <c r="V28" s="1" t="s">
        <v>122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0.70891203703703709</v>
      </c>
      <c r="AD28" s="37">
        <f t="shared" si="12"/>
        <v>-27.392361111111114</v>
      </c>
      <c r="AE28" s="42">
        <v>-8.68</v>
      </c>
      <c r="AF28" s="42">
        <v>-11.4751136363636</v>
      </c>
      <c r="AG28" s="42">
        <v>0</v>
      </c>
    </row>
    <row r="29" spans="1:33" ht="15.75" customHeight="1" x14ac:dyDescent="0.2">
      <c r="A29" s="26" t="s">
        <v>82</v>
      </c>
      <c r="B29" s="26" t="s">
        <v>123</v>
      </c>
      <c r="C29" s="14">
        <f t="shared" si="4"/>
        <v>28.885999999999999</v>
      </c>
      <c r="D29" s="27">
        <v>45</v>
      </c>
      <c r="E29" s="27">
        <v>5</v>
      </c>
      <c r="F29" s="30">
        <v>1299.8699999999999</v>
      </c>
      <c r="G29" s="30">
        <v>-21.02</v>
      </c>
      <c r="H29" s="29">
        <f t="shared" si="1"/>
        <v>1.6170847854016172E-2</v>
      </c>
      <c r="I29" s="29">
        <f t="shared" si="2"/>
        <v>0.10221479752870505</v>
      </c>
      <c r="J29" s="30">
        <f t="shared" si="5"/>
        <v>132.86594886363781</v>
      </c>
      <c r="K29" s="30">
        <f t="shared" si="3"/>
        <v>2.9525766414141734</v>
      </c>
      <c r="L29" s="27">
        <v>90</v>
      </c>
      <c r="M29" s="31">
        <f t="shared" si="6"/>
        <v>0.5</v>
      </c>
      <c r="N29" s="15">
        <v>275</v>
      </c>
      <c r="O29" s="32">
        <f t="shared" ref="O29:P29" si="37">D29/7</f>
        <v>6.4285714285714288</v>
      </c>
      <c r="P29" s="32">
        <f t="shared" si="37"/>
        <v>0.7142857142857143</v>
      </c>
      <c r="Q29" s="27">
        <f t="shared" si="8"/>
        <v>38</v>
      </c>
      <c r="R29" s="27"/>
      <c r="S29" s="41">
        <v>2.0465116279069768</v>
      </c>
      <c r="T29" s="40" t="s">
        <v>34</v>
      </c>
      <c r="U29" s="22" t="s">
        <v>34</v>
      </c>
      <c r="V29" s="1" t="s">
        <v>34</v>
      </c>
      <c r="W29" s="40">
        <v>6</v>
      </c>
      <c r="X29" s="36">
        <f t="shared" si="9"/>
        <v>0.13333333333333333</v>
      </c>
      <c r="Y29" s="37">
        <f t="shared" si="10"/>
        <v>3.0028571428571427</v>
      </c>
      <c r="Z29" s="40">
        <v>1</v>
      </c>
      <c r="AA29" s="26" t="s">
        <v>37</v>
      </c>
      <c r="AB29" s="38">
        <f t="shared" si="11"/>
        <v>-0.69</v>
      </c>
      <c r="AC29" s="39">
        <v>0.70891203703703709</v>
      </c>
      <c r="AD29" s="37">
        <f t="shared" si="12"/>
        <v>-44.0234375</v>
      </c>
      <c r="AE29" s="37">
        <v>-8.68</v>
      </c>
      <c r="AF29" s="42">
        <v>-11.4751136363636</v>
      </c>
      <c r="AG29" s="37">
        <v>0</v>
      </c>
    </row>
    <row r="30" spans="1:33" ht="15.75" customHeight="1" x14ac:dyDescent="0.2">
      <c r="A30" s="40" t="s">
        <v>84</v>
      </c>
      <c r="B30" s="40" t="s">
        <v>124</v>
      </c>
      <c r="C30" s="14">
        <f t="shared" si="4"/>
        <v>27.990000000000006</v>
      </c>
      <c r="D30" s="15">
        <v>29</v>
      </c>
      <c r="E30" s="15">
        <v>6</v>
      </c>
      <c r="F30" s="16">
        <v>811.71000000000015</v>
      </c>
      <c r="G30" s="16">
        <v>-16.850000000000001</v>
      </c>
      <c r="H30" s="29">
        <f t="shared" si="1"/>
        <v>2.0758645328996808E-2</v>
      </c>
      <c r="I30" s="29">
        <f t="shared" si="2"/>
        <v>5.458436606396104E-2</v>
      </c>
      <c r="J30" s="30">
        <f t="shared" si="5"/>
        <v>44.306675777777826</v>
      </c>
      <c r="K30" s="30">
        <f t="shared" si="3"/>
        <v>1.5278164061302699</v>
      </c>
      <c r="L30" s="15">
        <v>97</v>
      </c>
      <c r="M30" s="31">
        <f t="shared" si="6"/>
        <v>0.29896907216494845</v>
      </c>
      <c r="N30" s="15">
        <v>254</v>
      </c>
      <c r="O30" s="32">
        <f t="shared" ref="O30:P30" si="38">D30/7</f>
        <v>4.1428571428571432</v>
      </c>
      <c r="P30" s="32">
        <f t="shared" si="38"/>
        <v>0.8571428571428571</v>
      </c>
      <c r="Q30" s="27">
        <f t="shared" si="8"/>
        <v>50</v>
      </c>
      <c r="R30" s="27"/>
      <c r="S30" s="41">
        <v>2.2695507487520801</v>
      </c>
      <c r="T30" s="26">
        <v>800</v>
      </c>
      <c r="U30" s="34">
        <v>800</v>
      </c>
      <c r="V30" s="35" t="s">
        <v>125</v>
      </c>
      <c r="W30" s="40">
        <v>4</v>
      </c>
      <c r="X30" s="36">
        <f t="shared" si="9"/>
        <v>0.13793103448275862</v>
      </c>
      <c r="Y30" s="37">
        <f t="shared" si="10"/>
        <v>3.37</v>
      </c>
      <c r="Z30" s="40">
        <v>1</v>
      </c>
      <c r="AA30" s="26" t="s">
        <v>37</v>
      </c>
      <c r="AB30" s="38">
        <f t="shared" si="11"/>
        <v>-0.69</v>
      </c>
      <c r="AC30" s="39">
        <v>0.70891203703703709</v>
      </c>
      <c r="AD30" s="37">
        <f t="shared" si="12"/>
        <v>-28.370659722222225</v>
      </c>
      <c r="AE30" s="42">
        <v>-8.68</v>
      </c>
      <c r="AF30" s="42">
        <v>-12.024350500000001</v>
      </c>
      <c r="AG30" s="42">
        <v>0</v>
      </c>
    </row>
    <row r="31" spans="1:33" ht="15.75" customHeight="1" x14ac:dyDescent="0.2">
      <c r="A31" s="40" t="s">
        <v>87</v>
      </c>
      <c r="B31" s="40" t="s">
        <v>126</v>
      </c>
      <c r="C31" s="14">
        <f t="shared" si="4"/>
        <v>28.228043478260851</v>
      </c>
      <c r="D31" s="15">
        <v>92</v>
      </c>
      <c r="E31" s="15">
        <v>1</v>
      </c>
      <c r="F31" s="16">
        <v>2596.9799999999982</v>
      </c>
      <c r="G31" s="43">
        <v>-35.649999999999991</v>
      </c>
      <c r="H31" s="29">
        <f t="shared" si="1"/>
        <v>1.3727483461559203E-2</v>
      </c>
      <c r="I31" s="29">
        <f t="shared" si="2"/>
        <v>6.814811118213325E-2</v>
      </c>
      <c r="J31" s="30">
        <f t="shared" si="5"/>
        <v>176.97928177777629</v>
      </c>
      <c r="K31" s="30">
        <f t="shared" si="3"/>
        <v>1.9236878454106119</v>
      </c>
      <c r="L31" s="15">
        <v>144</v>
      </c>
      <c r="M31" s="31">
        <f t="shared" si="6"/>
        <v>0.63888888888888884</v>
      </c>
      <c r="N31" s="15">
        <v>186</v>
      </c>
      <c r="O31" s="32">
        <f t="shared" ref="O31:P31" si="39">D31/7</f>
        <v>13.142857142857142</v>
      </c>
      <c r="P31" s="32">
        <f t="shared" si="39"/>
        <v>0.14285714285714285</v>
      </c>
      <c r="Q31" s="27">
        <f t="shared" si="8"/>
        <v>14</v>
      </c>
      <c r="R31" s="27"/>
      <c r="S31" s="41">
        <v>1.94621026894865</v>
      </c>
      <c r="T31" s="40">
        <v>80</v>
      </c>
      <c r="U31" s="22">
        <v>1010</v>
      </c>
      <c r="V31" s="1" t="s">
        <v>127</v>
      </c>
      <c r="W31" s="40">
        <v>12</v>
      </c>
      <c r="X31" s="36">
        <f t="shared" si="9"/>
        <v>0.13043478260869565</v>
      </c>
      <c r="Y31" s="37">
        <f t="shared" si="10"/>
        <v>2.7423076923076914</v>
      </c>
      <c r="Z31" s="40">
        <v>1</v>
      </c>
      <c r="AA31" s="40" t="s">
        <v>37</v>
      </c>
      <c r="AB31" s="38">
        <f t="shared" si="11"/>
        <v>-0.69</v>
      </c>
      <c r="AC31" s="44">
        <v>0.70891203703703709</v>
      </c>
      <c r="AD31" s="37">
        <f t="shared" si="12"/>
        <v>-90.003472222222229</v>
      </c>
      <c r="AE31" s="45">
        <v>-8.68</v>
      </c>
      <c r="AF31" s="45">
        <v>-12.024350500000001</v>
      </c>
      <c r="AG31" s="42">
        <v>0</v>
      </c>
    </row>
    <row r="32" spans="1:33" ht="15.75" customHeight="1" x14ac:dyDescent="0.2">
      <c r="A32" s="40" t="s">
        <v>90</v>
      </c>
      <c r="B32" s="50" t="s">
        <v>128</v>
      </c>
      <c r="C32" s="14">
        <f t="shared" si="4"/>
        <v>27.996285714285715</v>
      </c>
      <c r="D32" s="15">
        <v>105</v>
      </c>
      <c r="E32" s="15">
        <v>5</v>
      </c>
      <c r="F32" s="16">
        <v>2939.61</v>
      </c>
      <c r="G32" s="16">
        <v>-29.57</v>
      </c>
      <c r="H32" s="29">
        <f t="shared" si="1"/>
        <v>1.0059157507288382E-2</v>
      </c>
      <c r="I32" s="29">
        <f t="shared" si="2"/>
        <v>6.5457779546719927E-2</v>
      </c>
      <c r="J32" s="30">
        <f t="shared" si="5"/>
        <v>192.42034333333339</v>
      </c>
      <c r="K32" s="30">
        <f t="shared" si="3"/>
        <v>1.8325746984126989</v>
      </c>
      <c r="L32" s="15">
        <v>175</v>
      </c>
      <c r="M32" s="31">
        <f t="shared" si="6"/>
        <v>0.6</v>
      </c>
      <c r="N32" s="15">
        <v>912</v>
      </c>
      <c r="O32" s="32">
        <f t="shared" ref="O32:P32" si="40">D32/7</f>
        <v>15</v>
      </c>
      <c r="P32" s="32">
        <f t="shared" si="40"/>
        <v>0.7142857142857143</v>
      </c>
      <c r="Q32" s="27">
        <f t="shared" si="8"/>
        <v>58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1.1817142857142859</v>
      </c>
      <c r="T32" s="40">
        <f ca="1">IFERROR(__xludf.DUMMYFUNCTION("IFERROR(VLOOKUP($B$2,IMPORTRANGE(""https://docs.google.com/spreadsheets/d/1KiWZV1ko8G7lnRucBRBd29jj3Be6ltMfljMDqzOkQmI/edit#gid=1381463014"",""Lookup!A:D""),4,FALSE),"""")"),80)</f>
        <v>80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AGL253  - 210 units 11/01")</f>
        <v>| AGL253  - 210 units 11/01</v>
      </c>
      <c r="W32" s="40">
        <v>6</v>
      </c>
      <c r="X32" s="36">
        <f t="shared" si="9"/>
        <v>5.7142857142857141E-2</v>
      </c>
      <c r="Y32" s="37">
        <f t="shared" si="10"/>
        <v>4.2242857142857142</v>
      </c>
      <c r="Z32" s="40">
        <v>1</v>
      </c>
      <c r="AA32" s="40" t="s">
        <v>37</v>
      </c>
      <c r="AB32" s="38">
        <f t="shared" si="11"/>
        <v>-0.69</v>
      </c>
      <c r="AC32" s="44">
        <v>0.70891203703703709</v>
      </c>
      <c r="AD32" s="37">
        <f t="shared" si="12"/>
        <v>-102.72135416666667</v>
      </c>
      <c r="AE32" s="42">
        <v>-8.68</v>
      </c>
      <c r="AF32" s="42">
        <v>-12.024350500000001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ySplit="3" topLeftCell="A4" activePane="bottomLeft" state="frozen"/>
      <selection activeCell="T3" sqref="T3"/>
      <selection pane="bottomLef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9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Info!B1:BJ5000""),3,FALSE),"""")"),"32 oz Amber Glass Beer Bottles for Home Brewing - 6 Pack with Airtight Rubber Seal Flip Caps")</f>
        <v>32 oz Amber Glass Beer Bottles for Home Brewing - 6 Pack with Airtight Rubber Seal Flip Caps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Info!B1:BJ5000""),2,FALSE),"""")"),"B085JZVVDF")</f>
        <v>B085JZVVDF</v>
      </c>
      <c r="B2" s="3" t="s">
        <v>129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80" customHeight="1" x14ac:dyDescent="0.2">
      <c r="A3" s="68" t="s">
        <v>31</v>
      </c>
      <c r="B3" s="69"/>
      <c r="C3" s="48">
        <f>((AE32+AF32)/0.85)*-1</f>
        <v>23.462136298039177</v>
      </c>
      <c r="D3" s="5">
        <f>SUM(D4:D99767)</f>
        <v>134</v>
      </c>
      <c r="E3" s="5"/>
      <c r="F3" s="6">
        <f t="shared" ref="F3:G3" si="0">SUM(F4:F99767)</f>
        <v>3722.8</v>
      </c>
      <c r="G3" s="6">
        <f t="shared" si="0"/>
        <v>-0.27</v>
      </c>
      <c r="H3" s="7">
        <f t="shared" ref="H3:H32" si="1">G3/F3*-1</f>
        <v>7.2526055657032344E-5</v>
      </c>
      <c r="I3" s="8">
        <f t="shared" ref="I3:I32" si="2">J3/F3</f>
        <v>0.20550538890252371</v>
      </c>
      <c r="J3" s="6">
        <f>SUM(J4:J99767)</f>
        <v>765.05546180631529</v>
      </c>
      <c r="K3" s="6">
        <f t="shared" ref="K3:K32" si="3">J3/D3</f>
        <v>5.7093691179575767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3.5 - April
3.5 - May
3.5 - June
3.5 - July
3.5 - Aug
2 - Sept
2 - Oct
2 - Nov
2 - Dec
3.5 - Jan
3.5 - Feb")</f>
        <v>3.5 - March
3.5 - April
3.5 - May
3.5 - June
3.5 - July
3.5 - Aug
2 - Sept
2 - Oct
2 - Nov
2 - Dec
3.5 - Jan
3.5 -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-128.06099950681633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Info!B2:BZ3000""),37,FALSE)),"""")*-1"),-12.1628158533333)</f>
        <v>-12.162815853333299</v>
      </c>
      <c r="AG3" s="6">
        <f>SUM(AG4:AG99767)</f>
        <v>0</v>
      </c>
    </row>
    <row r="4" spans="1:33" ht="1.5" customHeight="1" x14ac:dyDescent="0.2">
      <c r="A4" s="1" t="s">
        <v>32</v>
      </c>
      <c r="B4" s="2" t="s">
        <v>130</v>
      </c>
      <c r="C4" s="14">
        <f t="shared" ref="C4:C32" si="4">IFERROR(F4/D4," - ")</f>
        <v>25.63</v>
      </c>
      <c r="D4" s="15">
        <v>16</v>
      </c>
      <c r="E4" s="15">
        <v>0</v>
      </c>
      <c r="F4" s="16">
        <v>410.08</v>
      </c>
      <c r="G4" s="16">
        <v>0</v>
      </c>
      <c r="H4" s="17">
        <f t="shared" si="1"/>
        <v>0</v>
      </c>
      <c r="I4" s="17">
        <f t="shared" si="2"/>
        <v>0.16479597058174403</v>
      </c>
      <c r="J4" s="16">
        <f t="shared" ref="J4:J32" si="5">F4*0.85+G4+AF4*D4+D4*AE4+AG4+AD4</f>
        <v>67.579531616161589</v>
      </c>
      <c r="K4" s="16">
        <f t="shared" si="3"/>
        <v>4.2237207260100993</v>
      </c>
      <c r="L4" s="15">
        <v>44</v>
      </c>
      <c r="M4" s="18">
        <f t="shared" ref="M4:M32" si="6">IFERROR(D4/L4,"-")</f>
        <v>0.36363636363636365</v>
      </c>
      <c r="N4" s="15">
        <v>106</v>
      </c>
      <c r="O4" s="19">
        <f t="shared" ref="O4:P4" si="7">D4/7</f>
        <v>2.2857142857142856</v>
      </c>
      <c r="P4" s="19">
        <f t="shared" si="7"/>
        <v>0</v>
      </c>
      <c r="Q4" s="15">
        <f t="shared" ref="Q4:Q32" si="8">ROUNDDOWN(N4/(O4+P4),0)</f>
        <v>46</v>
      </c>
      <c r="R4" s="15"/>
      <c r="S4" s="20">
        <v>2.0438871473354201</v>
      </c>
      <c r="T4" s="2">
        <v>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0.64887152777777779</v>
      </c>
      <c r="AD4" s="24">
        <f t="shared" ref="AD4:AD32" si="12">IFERROR(AB4*AC4*D4*2,0)</f>
        <v>-14.327083333333333</v>
      </c>
      <c r="AE4" s="24">
        <v>-8.4600000000000009</v>
      </c>
      <c r="AF4" s="24">
        <v>-8.2063365656565654</v>
      </c>
      <c r="AG4" s="24">
        <v>0</v>
      </c>
    </row>
    <row r="5" spans="1:33" ht="15.75" customHeight="1" x14ac:dyDescent="0.2">
      <c r="A5" s="26" t="s">
        <v>35</v>
      </c>
      <c r="B5" s="26" t="s">
        <v>131</v>
      </c>
      <c r="C5" s="14">
        <f t="shared" si="4"/>
        <v>25.81260869565217</v>
      </c>
      <c r="D5" s="27">
        <v>23</v>
      </c>
      <c r="E5" s="27">
        <v>0</v>
      </c>
      <c r="F5" s="28">
        <v>593.68999999999994</v>
      </c>
      <c r="G5" s="28">
        <v>0</v>
      </c>
      <c r="H5" s="29">
        <f t="shared" si="1"/>
        <v>0</v>
      </c>
      <c r="I5" s="29">
        <f t="shared" si="2"/>
        <v>0.1696031802128764</v>
      </c>
      <c r="J5" s="30">
        <f t="shared" si="5"/>
        <v>100.69171206058257</v>
      </c>
      <c r="K5" s="30">
        <f t="shared" si="3"/>
        <v>4.377900524373155</v>
      </c>
      <c r="L5" s="27">
        <v>31</v>
      </c>
      <c r="M5" s="31">
        <f t="shared" si="6"/>
        <v>0.74193548387096775</v>
      </c>
      <c r="N5" s="27">
        <v>95</v>
      </c>
      <c r="O5" s="32">
        <f t="shared" ref="O5:P5" si="13">D5/7</f>
        <v>3.2857142857142856</v>
      </c>
      <c r="P5" s="32">
        <f t="shared" si="13"/>
        <v>0</v>
      </c>
      <c r="Q5" s="27">
        <f t="shared" si="8"/>
        <v>28</v>
      </c>
      <c r="R5" s="27"/>
      <c r="S5" s="33">
        <v>2.3826714801444</v>
      </c>
      <c r="T5" s="26">
        <v>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0.64962340672074159</v>
      </c>
      <c r="AD5" s="37">
        <f t="shared" si="12"/>
        <v>-20.619046929316337</v>
      </c>
      <c r="AE5" s="37">
        <v>-8.4600000000000009</v>
      </c>
      <c r="AF5" s="37">
        <v>-8.2063365656565654</v>
      </c>
      <c r="AG5" s="37">
        <v>0</v>
      </c>
    </row>
    <row r="6" spans="1:33" ht="15.75" customHeight="1" x14ac:dyDescent="0.2">
      <c r="A6" s="26" t="s">
        <v>38</v>
      </c>
      <c r="B6" s="26" t="s">
        <v>132</v>
      </c>
      <c r="C6" s="14">
        <f t="shared" si="4"/>
        <v>26.897272727272732</v>
      </c>
      <c r="D6" s="27">
        <v>22</v>
      </c>
      <c r="E6" s="27">
        <v>0</v>
      </c>
      <c r="F6" s="28">
        <v>591.74000000000012</v>
      </c>
      <c r="G6" s="28">
        <v>0</v>
      </c>
      <c r="H6" s="29">
        <f t="shared" si="1"/>
        <v>0</v>
      </c>
      <c r="I6" s="29">
        <f t="shared" si="2"/>
        <v>0.19707955516311612</v>
      </c>
      <c r="J6" s="30">
        <f t="shared" si="5"/>
        <v>116.61985597222235</v>
      </c>
      <c r="K6" s="30">
        <f t="shared" si="3"/>
        <v>5.3009025441919251</v>
      </c>
      <c r="L6" s="27">
        <v>58</v>
      </c>
      <c r="M6" s="31">
        <f t="shared" si="6"/>
        <v>0.37931034482758619</v>
      </c>
      <c r="N6" s="27">
        <v>79</v>
      </c>
      <c r="O6" s="32">
        <f t="shared" ref="O6:P6" si="14">D6/7</f>
        <v>3.1428571428571428</v>
      </c>
      <c r="P6" s="32">
        <f t="shared" si="14"/>
        <v>0</v>
      </c>
      <c r="Q6" s="27">
        <f t="shared" si="8"/>
        <v>25</v>
      </c>
      <c r="R6" s="27"/>
      <c r="S6" s="33">
        <v>1.8434782608695599</v>
      </c>
      <c r="T6" s="26" t="s">
        <v>34</v>
      </c>
      <c r="U6" s="34" t="s">
        <v>34</v>
      </c>
      <c r="V6" s="35" t="s">
        <v>34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0.64887152777777779</v>
      </c>
      <c r="AD6" s="37">
        <f t="shared" si="12"/>
        <v>-19.699739583333333</v>
      </c>
      <c r="AE6" s="37">
        <v>-8.4600000000000009</v>
      </c>
      <c r="AF6" s="37">
        <v>-8.2063365656565654</v>
      </c>
      <c r="AG6" s="37">
        <v>0</v>
      </c>
    </row>
    <row r="7" spans="1:33" ht="15.75" customHeight="1" x14ac:dyDescent="0.2">
      <c r="A7" s="26" t="s">
        <v>41</v>
      </c>
      <c r="B7" s="26" t="s">
        <v>133</v>
      </c>
      <c r="C7" s="14">
        <f t="shared" si="4"/>
        <v>29.35733333333334</v>
      </c>
      <c r="D7" s="27">
        <v>30</v>
      </c>
      <c r="E7" s="27">
        <v>0</v>
      </c>
      <c r="F7" s="28">
        <v>880.72000000000025</v>
      </c>
      <c r="G7" s="28">
        <v>0</v>
      </c>
      <c r="H7" s="29">
        <f t="shared" si="1"/>
        <v>0</v>
      </c>
      <c r="I7" s="29">
        <f t="shared" si="2"/>
        <v>0.25179242185973205</v>
      </c>
      <c r="J7" s="30">
        <f t="shared" si="5"/>
        <v>221.75862178030326</v>
      </c>
      <c r="K7" s="30">
        <f t="shared" si="3"/>
        <v>7.3919540593434423</v>
      </c>
      <c r="L7" s="27">
        <v>90</v>
      </c>
      <c r="M7" s="31">
        <f t="shared" si="6"/>
        <v>0.33333333333333331</v>
      </c>
      <c r="N7" s="27">
        <v>61</v>
      </c>
      <c r="O7" s="32">
        <f t="shared" ref="O7:P7" si="15">D7/7</f>
        <v>4.2857142857142856</v>
      </c>
      <c r="P7" s="32">
        <f t="shared" si="15"/>
        <v>0</v>
      </c>
      <c r="Q7" s="27">
        <f t="shared" si="8"/>
        <v>14</v>
      </c>
      <c r="R7" s="27"/>
      <c r="S7" s="33">
        <v>2.12709030100334</v>
      </c>
      <c r="T7" s="26">
        <v>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0.64887152777777779</v>
      </c>
      <c r="AD7" s="37">
        <f t="shared" si="12"/>
        <v>-26.86328125</v>
      </c>
      <c r="AE7" s="37">
        <v>-8.4600000000000009</v>
      </c>
      <c r="AF7" s="37">
        <v>-8.2063365656565654</v>
      </c>
      <c r="AG7" s="37">
        <v>0</v>
      </c>
    </row>
    <row r="8" spans="1:33" ht="15.75" customHeight="1" x14ac:dyDescent="0.2">
      <c r="A8" s="26" t="s">
        <v>43</v>
      </c>
      <c r="B8" s="26" t="s">
        <v>134</v>
      </c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51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>
        <v>2.8054298642533899</v>
      </c>
      <c r="T8" s="26">
        <v>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0.78449356944444448</v>
      </c>
      <c r="AD8" s="37">
        <f t="shared" si="12"/>
        <v>0</v>
      </c>
      <c r="AE8" s="37">
        <v>-8.4600000000000009</v>
      </c>
      <c r="AF8" s="37">
        <v>-8.2100000000000009</v>
      </c>
      <c r="AG8" s="37">
        <v>0</v>
      </c>
    </row>
    <row r="9" spans="1:33" ht="15.75" customHeight="1" x14ac:dyDescent="0.2">
      <c r="A9" s="26" t="s">
        <v>45</v>
      </c>
      <c r="B9" s="26" t="s">
        <v>135</v>
      </c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51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>
        <v>2.6536585365853602</v>
      </c>
      <c r="T9" s="26">
        <v>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0.78449356944444448</v>
      </c>
      <c r="AD9" s="37">
        <f t="shared" si="12"/>
        <v>0</v>
      </c>
      <c r="AE9" s="37">
        <v>-8.4600000000000009</v>
      </c>
      <c r="AF9" s="37">
        <v>-8.8777370707070702</v>
      </c>
      <c r="AG9" s="37">
        <v>0</v>
      </c>
    </row>
    <row r="10" spans="1:33" ht="15.75" customHeight="1" x14ac:dyDescent="0.2">
      <c r="A10" s="26" t="s">
        <v>48</v>
      </c>
      <c r="B10" s="26" t="s">
        <v>136</v>
      </c>
      <c r="C10" s="14" t="str">
        <f t="shared" si="4"/>
        <v xml:space="preserve"> - </v>
      </c>
      <c r="D10" s="27">
        <v>0</v>
      </c>
      <c r="E10" s="27">
        <v>1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52</v>
      </c>
      <c r="O10" s="32">
        <f t="shared" ref="O10:P10" si="18">D10/7</f>
        <v>0</v>
      </c>
      <c r="P10" s="32">
        <f t="shared" si="18"/>
        <v>0.14285714285714285</v>
      </c>
      <c r="Q10" s="27">
        <f t="shared" si="8"/>
        <v>364</v>
      </c>
      <c r="R10" s="27"/>
      <c r="S10" s="33">
        <v>2.9349112426035502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0.78449356944444448</v>
      </c>
      <c r="AD10" s="37">
        <f t="shared" si="12"/>
        <v>0</v>
      </c>
      <c r="AE10" s="37">
        <v>-8.4600000000000009</v>
      </c>
      <c r="AF10" s="37">
        <v>-8.8777370707070702</v>
      </c>
      <c r="AG10" s="37">
        <v>0</v>
      </c>
    </row>
    <row r="11" spans="1:33" ht="15.75" customHeight="1" x14ac:dyDescent="0.2">
      <c r="A11" s="26" t="s">
        <v>50</v>
      </c>
      <c r="B11" s="26" t="s">
        <v>137</v>
      </c>
      <c r="C11" s="14">
        <f t="shared" si="4"/>
        <v>28.99</v>
      </c>
      <c r="D11" s="27">
        <v>6</v>
      </c>
      <c r="E11" s="27">
        <v>0</v>
      </c>
      <c r="F11" s="28">
        <v>173.94</v>
      </c>
      <c r="G11" s="28">
        <v>-0.08</v>
      </c>
      <c r="H11" s="29">
        <f t="shared" si="1"/>
        <v>4.5992871104978732E-4</v>
      </c>
      <c r="I11" s="29">
        <f t="shared" si="2"/>
        <v>0.21413689100125075</v>
      </c>
      <c r="J11" s="30">
        <f t="shared" si="5"/>
        <v>37.246970820757554</v>
      </c>
      <c r="K11" s="30">
        <f t="shared" si="3"/>
        <v>6.2078284701262589</v>
      </c>
      <c r="L11" s="27">
        <v>53</v>
      </c>
      <c r="M11" s="31">
        <f t="shared" si="6"/>
        <v>0.11320754716981132</v>
      </c>
      <c r="N11" s="27">
        <v>49</v>
      </c>
      <c r="O11" s="32">
        <f t="shared" ref="O11:P11" si="19">D11/7</f>
        <v>0.8571428571428571</v>
      </c>
      <c r="P11" s="32">
        <f t="shared" si="19"/>
        <v>0</v>
      </c>
      <c r="Q11" s="27">
        <f t="shared" si="8"/>
        <v>57</v>
      </c>
      <c r="R11" s="27"/>
      <c r="S11" s="33">
        <v>1.72043010752688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0.78449356944444448</v>
      </c>
      <c r="AD11" s="37">
        <f t="shared" si="12"/>
        <v>-6.495606754999999</v>
      </c>
      <c r="AE11" s="37">
        <v>-8.4600000000000009</v>
      </c>
      <c r="AF11" s="37">
        <v>-8.8777370707070702</v>
      </c>
      <c r="AG11" s="37">
        <v>0</v>
      </c>
    </row>
    <row r="12" spans="1:33" ht="15.75" customHeight="1" x14ac:dyDescent="0.2">
      <c r="A12" s="26" t="s">
        <v>52</v>
      </c>
      <c r="B12" s="26" t="s">
        <v>137</v>
      </c>
      <c r="C12" s="14">
        <f t="shared" si="4"/>
        <v>28.990000000000006</v>
      </c>
      <c r="D12" s="27">
        <v>12</v>
      </c>
      <c r="E12" s="27">
        <v>1</v>
      </c>
      <c r="F12" s="28">
        <v>347.88000000000005</v>
      </c>
      <c r="G12" s="28">
        <v>-0.08</v>
      </c>
      <c r="H12" s="29">
        <f t="shared" si="1"/>
        <v>2.2996435552489361E-4</v>
      </c>
      <c r="I12" s="29">
        <f t="shared" si="2"/>
        <v>0.21436685535677588</v>
      </c>
      <c r="J12" s="30">
        <f t="shared" si="5"/>
        <v>74.573941641515205</v>
      </c>
      <c r="K12" s="30">
        <f t="shared" si="3"/>
        <v>6.2144951367929337</v>
      </c>
      <c r="L12" s="27">
        <v>49</v>
      </c>
      <c r="M12" s="31">
        <f t="shared" si="6"/>
        <v>0.24489795918367346</v>
      </c>
      <c r="N12" s="27">
        <v>32</v>
      </c>
      <c r="O12" s="32">
        <f t="shared" ref="O12:P12" si="20">D12/7</f>
        <v>1.7142857142857142</v>
      </c>
      <c r="P12" s="32">
        <f t="shared" si="20"/>
        <v>0.14285714285714285</v>
      </c>
      <c r="Q12" s="27">
        <f t="shared" si="8"/>
        <v>17</v>
      </c>
      <c r="R12" s="27"/>
      <c r="S12" s="33">
        <v>2.08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0.78449356944444448</v>
      </c>
      <c r="AD12" s="37">
        <f t="shared" si="12"/>
        <v>-12.991213509999998</v>
      </c>
      <c r="AE12" s="37">
        <v>-8.4600000000000009</v>
      </c>
      <c r="AF12" s="37">
        <v>-8.8777370707070702</v>
      </c>
      <c r="AG12" s="37">
        <v>0</v>
      </c>
    </row>
    <row r="13" spans="1:33" ht="15.75" customHeight="1" x14ac:dyDescent="0.2">
      <c r="A13" s="26" t="s">
        <v>54</v>
      </c>
      <c r="B13" s="26" t="s">
        <v>138</v>
      </c>
      <c r="C13" s="14">
        <f t="shared" si="4"/>
        <v>28.99</v>
      </c>
      <c r="D13" s="27">
        <v>20</v>
      </c>
      <c r="E13" s="27">
        <v>3</v>
      </c>
      <c r="F13" s="30">
        <v>579.79999999999995</v>
      </c>
      <c r="G13" s="28">
        <v>-0.11</v>
      </c>
      <c r="H13" s="29">
        <f t="shared" si="1"/>
        <v>1.8972059330803727E-4</v>
      </c>
      <c r="I13" s="29">
        <f t="shared" si="2"/>
        <v>0.20221776876822739</v>
      </c>
      <c r="J13" s="30">
        <f t="shared" si="5"/>
        <v>117.24586233181823</v>
      </c>
      <c r="K13" s="30">
        <f t="shared" si="3"/>
        <v>5.8622931165909113</v>
      </c>
      <c r="L13" s="27">
        <v>31</v>
      </c>
      <c r="M13" s="31">
        <f t="shared" si="6"/>
        <v>0.64516129032258063</v>
      </c>
      <c r="N13" s="27">
        <v>7</v>
      </c>
      <c r="O13" s="32">
        <f t="shared" ref="O13:P13" si="21">D13/7</f>
        <v>2.8571428571428572</v>
      </c>
      <c r="P13" s="32">
        <f t="shared" si="21"/>
        <v>0.42857142857142855</v>
      </c>
      <c r="Q13" s="27">
        <f t="shared" si="8"/>
        <v>2</v>
      </c>
      <c r="R13" s="27"/>
      <c r="S13" s="33">
        <v>2.5759162303664902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0.78449356944444448</v>
      </c>
      <c r="AD13" s="37">
        <f t="shared" si="12"/>
        <v>-21.652022516666666</v>
      </c>
      <c r="AE13" s="37">
        <v>-8.4600000000000009</v>
      </c>
      <c r="AF13" s="37">
        <v>-9.2311057575757491</v>
      </c>
      <c r="AG13" s="37">
        <v>0</v>
      </c>
    </row>
    <row r="14" spans="1:33" ht="15.75" customHeight="1" x14ac:dyDescent="0.2">
      <c r="A14" s="26" t="s">
        <v>56</v>
      </c>
      <c r="B14" s="26" t="s">
        <v>139</v>
      </c>
      <c r="C14" s="14">
        <f t="shared" si="4"/>
        <v>28.99</v>
      </c>
      <c r="D14" s="27">
        <v>5</v>
      </c>
      <c r="E14" s="27">
        <v>0</v>
      </c>
      <c r="F14" s="30">
        <v>144.94999999999999</v>
      </c>
      <c r="G14" s="28">
        <v>0</v>
      </c>
      <c r="H14" s="29">
        <f t="shared" si="1"/>
        <v>0</v>
      </c>
      <c r="I14" s="29">
        <f t="shared" si="2"/>
        <v>0.20240748936153544</v>
      </c>
      <c r="J14" s="30">
        <f t="shared" si="5"/>
        <v>29.338965582954561</v>
      </c>
      <c r="K14" s="30">
        <f t="shared" si="3"/>
        <v>5.8677931165909119</v>
      </c>
      <c r="L14" s="27">
        <v>27</v>
      </c>
      <c r="M14" s="31">
        <f t="shared" si="6"/>
        <v>0.18518518518518517</v>
      </c>
      <c r="N14" s="27">
        <v>2</v>
      </c>
      <c r="O14" s="32">
        <f t="shared" ref="O14:P14" si="22">D14/7</f>
        <v>0.7142857142857143</v>
      </c>
      <c r="P14" s="32">
        <f t="shared" si="22"/>
        <v>0</v>
      </c>
      <c r="Q14" s="27">
        <f t="shared" si="8"/>
        <v>2</v>
      </c>
      <c r="R14" s="27"/>
      <c r="S14" s="33">
        <v>3.84615384615384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0.78449356944444448</v>
      </c>
      <c r="AD14" s="37">
        <f t="shared" si="12"/>
        <v>-5.4130056291666664</v>
      </c>
      <c r="AE14" s="37">
        <v>-8.4600000000000009</v>
      </c>
      <c r="AF14" s="37">
        <v>-9.2311057575757491</v>
      </c>
      <c r="AG14" s="37">
        <v>0</v>
      </c>
    </row>
    <row r="15" spans="1:33" ht="15.75" customHeight="1" x14ac:dyDescent="0.2">
      <c r="A15" s="26" t="s">
        <v>58</v>
      </c>
      <c r="B15" s="26" t="s">
        <v>139</v>
      </c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2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>
        <v>2.1561338289962801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0.78449356944444448</v>
      </c>
      <c r="AD15" s="37">
        <f t="shared" si="12"/>
        <v>0</v>
      </c>
      <c r="AE15" s="37">
        <v>-8.4600000000000009</v>
      </c>
      <c r="AF15" s="37">
        <v>-9.2311057575757491</v>
      </c>
      <c r="AG15" s="37">
        <v>0</v>
      </c>
    </row>
    <row r="16" spans="1:33" ht="15.75" customHeight="1" x14ac:dyDescent="0.2">
      <c r="A16" s="26" t="s">
        <v>60</v>
      </c>
      <c r="B16" s="26" t="s">
        <v>139</v>
      </c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2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>
        <v>2.4102564102564101</v>
      </c>
      <c r="T16" s="26">
        <v>510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0.78449356944444448</v>
      </c>
      <c r="AD16" s="37">
        <f t="shared" si="12"/>
        <v>0</v>
      </c>
      <c r="AE16" s="37">
        <v>-8.4600000000000009</v>
      </c>
      <c r="AF16" s="37">
        <v>-9.2311057575757491</v>
      </c>
      <c r="AG16" s="37">
        <v>0</v>
      </c>
    </row>
    <row r="17" spans="1:33" ht="15.75" customHeight="1" x14ac:dyDescent="0.2">
      <c r="A17" s="26" t="s">
        <v>61</v>
      </c>
      <c r="B17" s="26" t="s">
        <v>139</v>
      </c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2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>
        <v>2.6943005181347099</v>
      </c>
      <c r="T17" s="26">
        <v>510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0.78449356944444448</v>
      </c>
      <c r="AD17" s="37">
        <f t="shared" si="12"/>
        <v>0</v>
      </c>
      <c r="AE17" s="37">
        <v>-8.4600000000000009</v>
      </c>
      <c r="AF17" s="37">
        <v>-9.2311057575757491</v>
      </c>
      <c r="AG17" s="37">
        <v>0</v>
      </c>
    </row>
    <row r="18" spans="1:33" ht="15.75" customHeight="1" x14ac:dyDescent="0.2">
      <c r="A18" s="26" t="s">
        <v>62</v>
      </c>
      <c r="B18" s="26" t="s">
        <v>139</v>
      </c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2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2.60645161290322</v>
      </c>
      <c r="T18" s="26">
        <v>510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0.78449356944444448</v>
      </c>
      <c r="AD18" s="37">
        <f t="shared" si="12"/>
        <v>0</v>
      </c>
      <c r="AE18" s="37">
        <v>-8.4600000000000009</v>
      </c>
      <c r="AF18" s="37">
        <v>-9.2311057575757491</v>
      </c>
      <c r="AG18" s="37">
        <v>0</v>
      </c>
    </row>
    <row r="19" spans="1:33" ht="15.75" customHeight="1" x14ac:dyDescent="0.2">
      <c r="A19" s="26" t="s">
        <v>64</v>
      </c>
      <c r="B19" s="26" t="s">
        <v>139</v>
      </c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2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>
        <v>2.3776223776223699</v>
      </c>
      <c r="T19" s="26">
        <v>540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0.78449356944444448</v>
      </c>
      <c r="AD19" s="37">
        <f t="shared" si="12"/>
        <v>0</v>
      </c>
      <c r="AE19" s="37">
        <v>-8.4600000000000009</v>
      </c>
      <c r="AF19" s="37">
        <v>-9.231105757575758</v>
      </c>
      <c r="AG19" s="37">
        <v>0</v>
      </c>
    </row>
    <row r="20" spans="1:33" ht="15.75" customHeight="1" x14ac:dyDescent="0.2">
      <c r="A20" s="26" t="s">
        <v>65</v>
      </c>
      <c r="B20" s="26" t="s">
        <v>139</v>
      </c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2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>
        <v>2.0634920634920602</v>
      </c>
      <c r="T20" s="26">
        <v>540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0.78449356944444448</v>
      </c>
      <c r="AD20" s="37">
        <f t="shared" si="12"/>
        <v>0</v>
      </c>
      <c r="AE20" s="37">
        <v>-8.4600000000000009</v>
      </c>
      <c r="AF20" s="37">
        <v>-9.231105757575758</v>
      </c>
      <c r="AG20" s="37">
        <v>0</v>
      </c>
    </row>
    <row r="21" spans="1:33" ht="15.75" customHeight="1" x14ac:dyDescent="0.2">
      <c r="A21" s="26" t="s">
        <v>66</v>
      </c>
      <c r="B21" s="26" t="s">
        <v>139</v>
      </c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2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>
        <v>2.1098901098901099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0.78449356944444448</v>
      </c>
      <c r="AD21" s="37">
        <f t="shared" si="12"/>
        <v>0</v>
      </c>
      <c r="AE21" s="37">
        <v>-8.4600000000000009</v>
      </c>
      <c r="AF21" s="37">
        <v>-9.231105757575758</v>
      </c>
      <c r="AG21" s="37">
        <v>0</v>
      </c>
    </row>
    <row r="22" spans="1:33" ht="15.75" customHeight="1" x14ac:dyDescent="0.2">
      <c r="A22" s="26" t="s">
        <v>67</v>
      </c>
      <c r="B22" s="26" t="s">
        <v>139</v>
      </c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2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>
        <v>2.8656716417910402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0.78449356944444448</v>
      </c>
      <c r="AD22" s="37">
        <f t="shared" si="12"/>
        <v>0</v>
      </c>
      <c r="AE22" s="37">
        <v>-8.4600000000000009</v>
      </c>
      <c r="AF22" s="37">
        <v>-9.231105757575758</v>
      </c>
      <c r="AG22" s="37">
        <v>0</v>
      </c>
    </row>
    <row r="23" spans="1:33" ht="15.75" customHeight="1" x14ac:dyDescent="0.2">
      <c r="A23" s="26" t="s">
        <v>68</v>
      </c>
      <c r="B23" s="26" t="s">
        <v>139</v>
      </c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2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>
        <v>2.8484848484848402</v>
      </c>
      <c r="T23" s="26">
        <v>150</v>
      </c>
      <c r="U23" s="34">
        <v>150</v>
      </c>
      <c r="V23" s="35" t="s">
        <v>140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0.78449356944444448</v>
      </c>
      <c r="AD23" s="37">
        <f t="shared" si="12"/>
        <v>0</v>
      </c>
      <c r="AE23" s="37">
        <v>-8.4600000000000009</v>
      </c>
      <c r="AF23" s="37">
        <v>-9.231105757575758</v>
      </c>
      <c r="AG23" s="37">
        <v>0</v>
      </c>
    </row>
    <row r="24" spans="1:33" ht="15.75" customHeight="1" x14ac:dyDescent="0.2">
      <c r="A24" s="26" t="s">
        <v>71</v>
      </c>
      <c r="B24" s="26" t="s">
        <v>139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2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>
        <v>2.875</v>
      </c>
      <c r="T24" s="26">
        <v>150</v>
      </c>
      <c r="U24" s="34">
        <v>150</v>
      </c>
      <c r="V24" s="35" t="s">
        <v>140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0.78449356944444448</v>
      </c>
      <c r="AD24" s="37">
        <f t="shared" si="12"/>
        <v>0</v>
      </c>
      <c r="AE24" s="37">
        <v>-8.4600000000000009</v>
      </c>
      <c r="AF24" s="37">
        <v>-9.231105757575758</v>
      </c>
      <c r="AG24" s="37">
        <v>0</v>
      </c>
    </row>
    <row r="25" spans="1:33" ht="15.75" customHeight="1" x14ac:dyDescent="0.2">
      <c r="A25" s="40" t="s">
        <v>73</v>
      </c>
      <c r="B25" s="26" t="s">
        <v>139</v>
      </c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2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2.7272727272727271</v>
      </c>
      <c r="T25" s="26">
        <v>370</v>
      </c>
      <c r="U25" s="34">
        <v>220</v>
      </c>
      <c r="V25" s="35" t="s">
        <v>141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0.78449356944444448</v>
      </c>
      <c r="AD25" s="37">
        <f t="shared" si="12"/>
        <v>0</v>
      </c>
      <c r="AE25" s="42">
        <v>-8.4600000000000009</v>
      </c>
      <c r="AF25" s="42">
        <v>-9.23</v>
      </c>
      <c r="AG25" s="42">
        <v>0</v>
      </c>
    </row>
    <row r="26" spans="1:33" ht="15.75" customHeight="1" x14ac:dyDescent="0.2">
      <c r="A26" s="40" t="s">
        <v>75</v>
      </c>
      <c r="B26" s="26" t="s">
        <v>139</v>
      </c>
      <c r="C26" s="14" t="str">
        <f t="shared" si="4"/>
        <v xml:space="preserve"> - </v>
      </c>
      <c r="D26" s="15">
        <v>0</v>
      </c>
      <c r="E26" s="15">
        <v>1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2</v>
      </c>
      <c r="O26" s="32">
        <f t="shared" ref="O26:P26" si="34">D26/7</f>
        <v>0</v>
      </c>
      <c r="P26" s="32">
        <f t="shared" si="34"/>
        <v>0.14285714285714285</v>
      </c>
      <c r="Q26" s="27">
        <f t="shared" si="8"/>
        <v>14</v>
      </c>
      <c r="R26" s="27"/>
      <c r="S26" s="41">
        <v>1.666666666666667</v>
      </c>
      <c r="T26" s="26">
        <v>370</v>
      </c>
      <c r="U26" s="34">
        <v>220</v>
      </c>
      <c r="V26" s="35" t="s">
        <v>142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0.78449356944444448</v>
      </c>
      <c r="AD26" s="37">
        <f t="shared" si="12"/>
        <v>0</v>
      </c>
      <c r="AE26" s="42">
        <v>-8.4600000000000009</v>
      </c>
      <c r="AF26" s="42">
        <v>-9.2311057575757491</v>
      </c>
      <c r="AG26" s="42">
        <v>0</v>
      </c>
    </row>
    <row r="27" spans="1:33" ht="15.75" customHeight="1" x14ac:dyDescent="0.2">
      <c r="A27" s="40" t="s">
        <v>77</v>
      </c>
      <c r="B27" s="26" t="s">
        <v>139</v>
      </c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2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370</v>
      </c>
      <c r="U27" s="34">
        <v>220</v>
      </c>
      <c r="V27" s="35" t="s">
        <v>143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0.78449356944444448</v>
      </c>
      <c r="AD27" s="37">
        <f t="shared" si="12"/>
        <v>0</v>
      </c>
      <c r="AE27" s="42">
        <v>-8.4600000000000009</v>
      </c>
      <c r="AF27" s="42">
        <v>-9.2311057575757491</v>
      </c>
      <c r="AG27" s="42">
        <v>0</v>
      </c>
    </row>
    <row r="28" spans="1:33" ht="15.75" customHeight="1" x14ac:dyDescent="0.2">
      <c r="A28" s="40" t="s">
        <v>79</v>
      </c>
      <c r="B28" s="26" t="s">
        <v>139</v>
      </c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2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370</v>
      </c>
      <c r="V28" s="1" t="s">
        <v>144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0.78449356944444448</v>
      </c>
      <c r="AD28" s="37">
        <f t="shared" si="12"/>
        <v>0</v>
      </c>
      <c r="AE28" s="42">
        <v>-8.4600000000000009</v>
      </c>
      <c r="AF28" s="42">
        <v>-9.2311057575757491</v>
      </c>
      <c r="AG28" s="42">
        <v>0</v>
      </c>
    </row>
    <row r="29" spans="1:33" ht="15.75" customHeight="1" x14ac:dyDescent="0.2">
      <c r="A29" s="26" t="s">
        <v>82</v>
      </c>
      <c r="B29" s="26" t="s">
        <v>139</v>
      </c>
      <c r="C29" s="14" t="str">
        <f t="shared" si="4"/>
        <v xml:space="preserve"> - </v>
      </c>
      <c r="D29" s="27">
        <v>0</v>
      </c>
      <c r="E29" s="27">
        <v>1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1</v>
      </c>
      <c r="O29" s="32">
        <f t="shared" ref="O29:P29" si="37">D29/7</f>
        <v>0</v>
      </c>
      <c r="P29" s="32">
        <f t="shared" si="37"/>
        <v>0.14285714285714285</v>
      </c>
      <c r="Q29" s="27">
        <f t="shared" si="8"/>
        <v>7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0.78449356944444448</v>
      </c>
      <c r="AD29" s="37">
        <f t="shared" si="12"/>
        <v>0</v>
      </c>
      <c r="AE29" s="37">
        <v>-8.4600000000000009</v>
      </c>
      <c r="AF29" s="42">
        <v>-9.2311057575757491</v>
      </c>
      <c r="AG29" s="37">
        <v>0</v>
      </c>
    </row>
    <row r="30" spans="1:33" ht="15.75" customHeight="1" x14ac:dyDescent="0.2">
      <c r="A30" s="40" t="s">
        <v>84</v>
      </c>
      <c r="B30" s="26" t="s">
        <v>139</v>
      </c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2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370</v>
      </c>
      <c r="U30" s="34">
        <v>220</v>
      </c>
      <c r="V30" s="35" t="s">
        <v>145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0.78449356944444448</v>
      </c>
      <c r="AD30" s="37">
        <f t="shared" si="12"/>
        <v>0</v>
      </c>
      <c r="AE30" s="42">
        <v>-8.4600000000000009</v>
      </c>
      <c r="AF30" s="42">
        <v>-12.162815853333299</v>
      </c>
      <c r="AG30" s="42">
        <v>0</v>
      </c>
    </row>
    <row r="31" spans="1:33" ht="15.75" customHeight="1" x14ac:dyDescent="0.2">
      <c r="A31" s="40" t="s">
        <v>87</v>
      </c>
      <c r="B31" s="26" t="s">
        <v>139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2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0</v>
      </c>
      <c r="T31" s="40">
        <v>-80</v>
      </c>
      <c r="U31" s="22">
        <v>370</v>
      </c>
      <c r="V31" s="1" t="s">
        <v>146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0.78449356944444448</v>
      </c>
      <c r="AD31" s="37">
        <f t="shared" si="12"/>
        <v>0</v>
      </c>
      <c r="AE31" s="45">
        <v>-8.4600000000000009</v>
      </c>
      <c r="AF31" s="45">
        <v>-12.162815853333331</v>
      </c>
      <c r="AG31" s="42">
        <v>0</v>
      </c>
    </row>
    <row r="32" spans="1:33" ht="15.75" customHeight="1" x14ac:dyDescent="0.2">
      <c r="A32" s="40" t="s">
        <v>90</v>
      </c>
      <c r="B32" s="50" t="s">
        <v>147</v>
      </c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221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IFERROR(__xludf.DUMMYFUNCTION("IFERROR(VLOOKUP($B$2,IMPORTRANGE(""https://docs.google.com/spreadsheets/d/1KiWZV1ko8G7lnRucBRBd29jj3Be6ltMfljMDqzOkQmI/edit#gid=1381463014"",""Lookup!A:D""),4,FALSE),"""")"),-80)</f>
        <v>-80</v>
      </c>
      <c r="U32" s="22">
        <f ca="1">IFERROR(__xludf.DUMMYFUNCTION("IFERROR(VLOOKUP($B$2,IMPORTRANGE(""https://docs.google.com/spreadsheets/d/1KiWZV1ko8G7lnRucBRBd29jj3Be6ltMfljMDqzOkQmI/edit#gid=1381463014"",""Lookup!A:D""),3,FALSE),"""")"),220)</f>
        <v>220</v>
      </c>
      <c r="V32" s="1" t="str">
        <f ca="1">IFERROR(__xludf.DUMMYFUNCTION("IFERROR(VLOOKUP($B$2,IMPORTRANGE(""https://docs.google.com/spreadsheets/d/1KiWZV1ko8G7lnRucBRBd29jj3Be6ltMfljMDqzOkQmI/edit#gid=1381463014"",""Lookup!A:D""),2,FALSE),"""")"),"| AGL211  - 220 units 07/23")</f>
        <v>| AGL211  - 220 units 07/23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0.78449356944444448</v>
      </c>
      <c r="AD32" s="37">
        <f t="shared" si="12"/>
        <v>0</v>
      </c>
      <c r="AE32" s="42">
        <v>-7.78</v>
      </c>
      <c r="AF32" s="42">
        <v>-12.162815853333299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1:33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1:33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1:33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1:33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1:33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91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Info!B1:BJ5000""),3,FALSE),"""")"),"32 oz Clear Glass Beer Bottles for Home Brewing - 6 Pack with Airtight Rubber Seal Flip Caps")</f>
        <v>32 oz Clear Glass Beer Bottles for Home Brewing - 6 Pack with Airtight Rubber Seal Flip Caps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Info!B1:BJ5000""),2,FALSE),"""")"),"B085K88DNK")</f>
        <v>B085K88DNK</v>
      </c>
      <c r="B2" s="3" t="s">
        <v>148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8" customHeight="1" x14ac:dyDescent="0.2">
      <c r="A3" s="68" t="s">
        <v>31</v>
      </c>
      <c r="B3" s="69"/>
      <c r="C3" s="48">
        <f>((AE32+AF32)/0.85)*-1</f>
        <v>19.747250929411752</v>
      </c>
      <c r="D3" s="5">
        <f>SUM(D4:D99767)</f>
        <v>291</v>
      </c>
      <c r="E3" s="5"/>
      <c r="F3" s="6">
        <f t="shared" ref="F3:G3" si="0">SUM(F4:F99767)</f>
        <v>7281.279999999997</v>
      </c>
      <c r="G3" s="6">
        <f t="shared" si="0"/>
        <v>-10.27</v>
      </c>
      <c r="H3" s="7">
        <f t="shared" ref="H3:H32" si="1">G3/F3*-1</f>
        <v>1.4104662916410307E-3</v>
      </c>
      <c r="I3" s="8">
        <f t="shared" ref="I3:I32" si="2">J3/F3</f>
        <v>0.16149578344590501</v>
      </c>
      <c r="J3" s="6">
        <f>SUM(J4:J99767)</f>
        <v>1175.8960180889987</v>
      </c>
      <c r="K3" s="6">
        <f t="shared" ref="K3:K32" si="3">J3/D3</f>
        <v>4.0408797872474187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3 - Sept
2 - Oct
1 - Nov
1 - Dec
2 - Jan
2 - Feb")</f>
        <v>2 - March
2 - April
2 - May
2 - June
2 - July
2 - Aug
3 - Sept
2 - Oct
1 - Nov
1 -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QTY-57")</f>
        <v>US QTY-57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21</v>
      </c>
      <c r="X3" s="7">
        <f>W3/D3</f>
        <v>7.2164948453608241E-2</v>
      </c>
      <c r="Y3" s="6"/>
      <c r="Z3" s="5"/>
      <c r="AA3" s="5"/>
      <c r="AB3" s="5"/>
      <c r="AC3" s="5"/>
      <c r="AD3" s="6">
        <f>SUM(AD4:AD99767)</f>
        <v>-281.09256016100261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Info!B2:BZ3000""),37,FALSE)),"""")*-1"),-9.00516328999999)</f>
        <v>-9.0051632899999898</v>
      </c>
      <c r="AG3" s="6">
        <f>SUM(AG4:AG99767)</f>
        <v>0</v>
      </c>
    </row>
    <row r="4" spans="1:33" x14ac:dyDescent="0.2">
      <c r="A4" s="1" t="s">
        <v>32</v>
      </c>
      <c r="B4" s="2" t="s">
        <v>149</v>
      </c>
      <c r="C4" s="14">
        <f t="shared" ref="C4:C32" si="4">IFERROR(F4/D4," - ")</f>
        <v>27.372000000000003</v>
      </c>
      <c r="D4" s="15">
        <v>40</v>
      </c>
      <c r="E4" s="15">
        <v>1</v>
      </c>
      <c r="F4" s="16">
        <v>1094.8800000000001</v>
      </c>
      <c r="G4" s="16">
        <v>0</v>
      </c>
      <c r="H4" s="17">
        <f t="shared" si="1"/>
        <v>0</v>
      </c>
      <c r="I4" s="17">
        <f t="shared" si="2"/>
        <v>0.25038104045775694</v>
      </c>
      <c r="J4" s="16">
        <f t="shared" ref="J4:J32" si="5">F4*0.85+G4+AF4*D4+D4*AE4+AG4+AD4</f>
        <v>274.13719357638894</v>
      </c>
      <c r="K4" s="16">
        <f t="shared" si="3"/>
        <v>6.8534298394097233</v>
      </c>
      <c r="L4" s="15">
        <v>113</v>
      </c>
      <c r="M4" s="18">
        <f t="shared" ref="M4:M32" si="6">IFERROR(D4/L4,"-")</f>
        <v>0.35398230088495575</v>
      </c>
      <c r="N4" s="15">
        <v>51</v>
      </c>
      <c r="O4" s="19">
        <f t="shared" ref="O4:P4" si="7">D4/7</f>
        <v>5.7142857142857144</v>
      </c>
      <c r="P4" s="19">
        <f t="shared" si="7"/>
        <v>0.14285714285714285</v>
      </c>
      <c r="Q4" s="15">
        <f t="shared" ref="Q4:Q32" si="8">ROUNDDOWN(N4/(O4+P4),0)</f>
        <v>8</v>
      </c>
      <c r="R4" s="15"/>
      <c r="S4" s="20">
        <v>2.7491856677524402</v>
      </c>
      <c r="T4" s="2">
        <v>303</v>
      </c>
      <c r="U4" s="2">
        <v>60</v>
      </c>
      <c r="V4" s="21" t="s">
        <v>150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0.6999330873842593</v>
      </c>
      <c r="AD4" s="24">
        <f t="shared" ref="AD4:AD32" si="12">IFERROR(AB4*AC4*D4*2,0)</f>
        <v>-38.63630642361111</v>
      </c>
      <c r="AE4" s="24">
        <v>-8.08</v>
      </c>
      <c r="AF4" s="24">
        <v>-7.366862499999999</v>
      </c>
      <c r="AG4" s="24">
        <v>0</v>
      </c>
    </row>
    <row r="5" spans="1:33" ht="15.75" customHeight="1" x14ac:dyDescent="0.2">
      <c r="A5" s="26" t="s">
        <v>35</v>
      </c>
      <c r="B5" s="26" t="s">
        <v>46</v>
      </c>
      <c r="C5" s="14">
        <f t="shared" si="4"/>
        <v>27.407500000000002</v>
      </c>
      <c r="D5" s="27">
        <v>12</v>
      </c>
      <c r="E5" s="27">
        <v>1</v>
      </c>
      <c r="F5" s="28">
        <v>328.89000000000004</v>
      </c>
      <c r="G5" s="28">
        <v>0</v>
      </c>
      <c r="H5" s="29">
        <f t="shared" si="1"/>
        <v>0</v>
      </c>
      <c r="I5" s="29">
        <f t="shared" si="2"/>
        <v>0.25111686929880767</v>
      </c>
      <c r="J5" s="30">
        <f t="shared" si="5"/>
        <v>82.589827143684857</v>
      </c>
      <c r="K5" s="30">
        <f t="shared" si="3"/>
        <v>6.8824855953070712</v>
      </c>
      <c r="L5" s="27">
        <v>79</v>
      </c>
      <c r="M5" s="31">
        <f t="shared" si="6"/>
        <v>0.15189873417721519</v>
      </c>
      <c r="N5" s="27">
        <v>52</v>
      </c>
      <c r="O5" s="32">
        <f t="shared" ref="O5:P5" si="13">D5/7</f>
        <v>1.7142857142857142</v>
      </c>
      <c r="P5" s="32">
        <f t="shared" si="13"/>
        <v>0.14285714285714285</v>
      </c>
      <c r="Q5" s="27">
        <f t="shared" si="8"/>
        <v>28</v>
      </c>
      <c r="R5" s="27"/>
      <c r="S5" s="33">
        <v>3.3660377358490501</v>
      </c>
      <c r="T5" s="26">
        <v>393</v>
      </c>
      <c r="U5" s="34">
        <v>60</v>
      </c>
      <c r="V5" s="35" t="s">
        <v>151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0.70074413383545775</v>
      </c>
      <c r="AD5" s="37">
        <f t="shared" si="12"/>
        <v>-11.604322856315179</v>
      </c>
      <c r="AE5" s="37">
        <v>-8.08</v>
      </c>
      <c r="AF5" s="37">
        <v>-7.366862499999999</v>
      </c>
      <c r="AG5" s="37">
        <v>0</v>
      </c>
    </row>
    <row r="6" spans="1:33" ht="15.75" customHeight="1" x14ac:dyDescent="0.2">
      <c r="A6" s="26" t="s">
        <v>38</v>
      </c>
      <c r="B6" s="26" t="s">
        <v>46</v>
      </c>
      <c r="C6" s="14">
        <f t="shared" si="4"/>
        <v>30.989999999999995</v>
      </c>
      <c r="D6" s="27">
        <v>9</v>
      </c>
      <c r="E6" s="27">
        <v>0</v>
      </c>
      <c r="F6" s="28">
        <v>278.90999999999997</v>
      </c>
      <c r="G6" s="28">
        <v>0</v>
      </c>
      <c r="H6" s="29">
        <f t="shared" si="1"/>
        <v>0</v>
      </c>
      <c r="I6" s="29">
        <f t="shared" si="2"/>
        <v>0.32038495770925207</v>
      </c>
      <c r="J6" s="30">
        <f t="shared" si="5"/>
        <v>89.35856855468748</v>
      </c>
      <c r="K6" s="30">
        <f t="shared" si="3"/>
        <v>9.9287298394097192</v>
      </c>
      <c r="L6" s="27">
        <v>41</v>
      </c>
      <c r="M6" s="31">
        <f t="shared" si="6"/>
        <v>0.21951219512195122</v>
      </c>
      <c r="N6" s="27">
        <v>45</v>
      </c>
      <c r="O6" s="32">
        <f t="shared" ref="O6:P6" si="14">D6/7</f>
        <v>1.2857142857142858</v>
      </c>
      <c r="P6" s="32">
        <f t="shared" si="14"/>
        <v>0</v>
      </c>
      <c r="Q6" s="27">
        <f t="shared" si="8"/>
        <v>35</v>
      </c>
      <c r="R6" s="27"/>
      <c r="S6" s="33">
        <v>2.3010752688172</v>
      </c>
      <c r="T6" s="26">
        <v>393</v>
      </c>
      <c r="U6" s="34">
        <v>60</v>
      </c>
      <c r="V6" s="35" t="s">
        <v>151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0.6999330873842593</v>
      </c>
      <c r="AD6" s="37">
        <f t="shared" si="12"/>
        <v>-8.6931689453125003</v>
      </c>
      <c r="AE6" s="37">
        <v>-8.08</v>
      </c>
      <c r="AF6" s="37">
        <v>-7.366862499999999</v>
      </c>
      <c r="AG6" s="37">
        <v>0</v>
      </c>
    </row>
    <row r="7" spans="1:33" ht="15.75" customHeight="1" x14ac:dyDescent="0.2">
      <c r="A7" s="26" t="s">
        <v>41</v>
      </c>
      <c r="B7" s="26" t="s">
        <v>46</v>
      </c>
      <c r="C7" s="14">
        <f t="shared" si="4"/>
        <v>30.99</v>
      </c>
      <c r="D7" s="27">
        <v>5</v>
      </c>
      <c r="E7" s="27">
        <v>1</v>
      </c>
      <c r="F7" s="28">
        <v>154.94999999999999</v>
      </c>
      <c r="G7" s="28">
        <v>0</v>
      </c>
      <c r="H7" s="29">
        <f t="shared" si="1"/>
        <v>0</v>
      </c>
      <c r="I7" s="29">
        <f t="shared" si="2"/>
        <v>0.32038495770925202</v>
      </c>
      <c r="J7" s="30">
        <f t="shared" si="5"/>
        <v>49.643649197048596</v>
      </c>
      <c r="K7" s="30">
        <f t="shared" si="3"/>
        <v>9.9287298394097192</v>
      </c>
      <c r="L7" s="27">
        <v>40</v>
      </c>
      <c r="M7" s="31">
        <f t="shared" si="6"/>
        <v>0.125</v>
      </c>
      <c r="N7" s="27">
        <v>41</v>
      </c>
      <c r="O7" s="32">
        <f t="shared" ref="O7:P7" si="15">D7/7</f>
        <v>0.7142857142857143</v>
      </c>
      <c r="P7" s="32">
        <f t="shared" si="15"/>
        <v>0.14285714285714285</v>
      </c>
      <c r="Q7" s="27">
        <f t="shared" si="8"/>
        <v>47</v>
      </c>
      <c r="R7" s="27"/>
      <c r="S7" s="33">
        <v>2.7837837837837802</v>
      </c>
      <c r="T7" s="26">
        <v>393</v>
      </c>
      <c r="U7" s="34">
        <v>60</v>
      </c>
      <c r="V7" s="49" t="s">
        <v>152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0.6999330873842593</v>
      </c>
      <c r="AD7" s="37">
        <f t="shared" si="12"/>
        <v>-4.8295383029513888</v>
      </c>
      <c r="AE7" s="37">
        <v>-8.08</v>
      </c>
      <c r="AF7" s="37">
        <v>-7.366862499999999</v>
      </c>
      <c r="AG7" s="37">
        <v>0</v>
      </c>
    </row>
    <row r="8" spans="1:33" ht="15.75" customHeight="1" x14ac:dyDescent="0.2">
      <c r="A8" s="26" t="s">
        <v>43</v>
      </c>
      <c r="B8" s="26" t="s">
        <v>153</v>
      </c>
      <c r="C8" s="14">
        <f t="shared" si="4"/>
        <v>27.895</v>
      </c>
      <c r="D8" s="27">
        <v>10</v>
      </c>
      <c r="E8" s="27">
        <v>1</v>
      </c>
      <c r="F8" s="28">
        <v>278.95</v>
      </c>
      <c r="G8" s="28">
        <v>0</v>
      </c>
      <c r="H8" s="29">
        <f t="shared" si="1"/>
        <v>0</v>
      </c>
      <c r="I8" s="29">
        <f t="shared" si="2"/>
        <v>0.26151074885856673</v>
      </c>
      <c r="J8" s="30">
        <f t="shared" si="5"/>
        <v>72.94842339409719</v>
      </c>
      <c r="K8" s="30">
        <f t="shared" si="3"/>
        <v>7.294842339409719</v>
      </c>
      <c r="L8" s="27">
        <v>19</v>
      </c>
      <c r="M8" s="31">
        <f t="shared" si="6"/>
        <v>0.52631578947368418</v>
      </c>
      <c r="N8" s="27">
        <v>31</v>
      </c>
      <c r="O8" s="32">
        <f t="shared" ref="O8:P8" si="16">D8/7</f>
        <v>1.4285714285714286</v>
      </c>
      <c r="P8" s="32">
        <f t="shared" si="16"/>
        <v>0.14285714285714285</v>
      </c>
      <c r="Q8" s="27">
        <f t="shared" si="8"/>
        <v>19</v>
      </c>
      <c r="R8" s="27"/>
      <c r="S8" s="33">
        <v>4.3829787234042499</v>
      </c>
      <c r="T8" s="26">
        <v>333</v>
      </c>
      <c r="U8" s="34">
        <v>90</v>
      </c>
      <c r="V8" s="35" t="s">
        <v>154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0.6999330873842593</v>
      </c>
      <c r="AD8" s="37">
        <f t="shared" si="12"/>
        <v>-9.6590766059027775</v>
      </c>
      <c r="AE8" s="37">
        <v>-8.08</v>
      </c>
      <c r="AF8" s="37">
        <v>-7.37</v>
      </c>
      <c r="AG8" s="37">
        <v>0</v>
      </c>
    </row>
    <row r="9" spans="1:33" ht="15.75" customHeight="1" x14ac:dyDescent="0.2">
      <c r="A9" s="26" t="s">
        <v>45</v>
      </c>
      <c r="B9" s="26" t="s">
        <v>155</v>
      </c>
      <c r="C9" s="14">
        <f t="shared" si="4"/>
        <v>30.99</v>
      </c>
      <c r="D9" s="27">
        <v>1</v>
      </c>
      <c r="E9" s="27">
        <v>3</v>
      </c>
      <c r="F9" s="28">
        <v>30.99</v>
      </c>
      <c r="G9" s="28">
        <v>0</v>
      </c>
      <c r="H9" s="29">
        <f t="shared" si="1"/>
        <v>0</v>
      </c>
      <c r="I9" s="29">
        <f t="shared" si="2"/>
        <v>0.29747797158469602</v>
      </c>
      <c r="J9" s="30">
        <f t="shared" si="5"/>
        <v>9.2188423394097292</v>
      </c>
      <c r="K9" s="30">
        <f t="shared" si="3"/>
        <v>9.2188423394097292</v>
      </c>
      <c r="L9" s="27">
        <v>14</v>
      </c>
      <c r="M9" s="31">
        <f t="shared" si="6"/>
        <v>7.1428571428571425E-2</v>
      </c>
      <c r="N9" s="27">
        <v>25</v>
      </c>
      <c r="O9" s="32">
        <f t="shared" ref="O9:P9" si="17">D9/7</f>
        <v>0.14285714285714285</v>
      </c>
      <c r="P9" s="32">
        <f t="shared" si="17"/>
        <v>0.42857142857142855</v>
      </c>
      <c r="Q9" s="27">
        <f t="shared" si="8"/>
        <v>43</v>
      </c>
      <c r="R9" s="27"/>
      <c r="S9" s="33">
        <v>4.7701863354037197</v>
      </c>
      <c r="T9" s="26">
        <v>303</v>
      </c>
      <c r="U9" s="34">
        <v>60</v>
      </c>
      <c r="V9" s="35" t="s">
        <v>156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0.6999330873842593</v>
      </c>
      <c r="AD9" s="37">
        <f t="shared" si="12"/>
        <v>-0.96590766059027777</v>
      </c>
      <c r="AE9" s="37">
        <v>-8.08</v>
      </c>
      <c r="AF9" s="37">
        <v>-8.0767499999999899</v>
      </c>
      <c r="AG9" s="37">
        <v>0</v>
      </c>
    </row>
    <row r="10" spans="1:33" ht="15.75" customHeight="1" x14ac:dyDescent="0.2">
      <c r="A10" s="26" t="s">
        <v>48</v>
      </c>
      <c r="B10" s="26" t="s">
        <v>157</v>
      </c>
      <c r="C10" s="14">
        <f t="shared" si="4"/>
        <v>29.99</v>
      </c>
      <c r="D10" s="27">
        <v>2</v>
      </c>
      <c r="E10" s="27">
        <v>4</v>
      </c>
      <c r="F10" s="28">
        <v>59.98</v>
      </c>
      <c r="G10" s="28">
        <v>0</v>
      </c>
      <c r="H10" s="29">
        <f t="shared" si="1"/>
        <v>0</v>
      </c>
      <c r="I10" s="29">
        <f t="shared" si="2"/>
        <v>0.27905442945680997</v>
      </c>
      <c r="J10" s="30">
        <f t="shared" si="5"/>
        <v>16.737684678819463</v>
      </c>
      <c r="K10" s="30">
        <f t="shared" si="3"/>
        <v>8.3688423394097313</v>
      </c>
      <c r="L10" s="27">
        <v>18</v>
      </c>
      <c r="M10" s="31">
        <f t="shared" si="6"/>
        <v>0.1111111111111111</v>
      </c>
      <c r="N10" s="27">
        <v>84</v>
      </c>
      <c r="O10" s="32">
        <f t="shared" ref="O10:P10" si="18">D10/7</f>
        <v>0.2857142857142857</v>
      </c>
      <c r="P10" s="32">
        <f t="shared" si="18"/>
        <v>0.5714285714285714</v>
      </c>
      <c r="Q10" s="27">
        <f t="shared" si="8"/>
        <v>98</v>
      </c>
      <c r="R10" s="27"/>
      <c r="S10" s="33">
        <v>3.6435643564356401</v>
      </c>
      <c r="T10" s="26">
        <v>303</v>
      </c>
      <c r="U10" s="34">
        <v>60</v>
      </c>
      <c r="V10" s="35" t="s">
        <v>158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0.6999330873842593</v>
      </c>
      <c r="AD10" s="37">
        <f t="shared" si="12"/>
        <v>-1.9318153211805555</v>
      </c>
      <c r="AE10" s="37">
        <v>-8.08</v>
      </c>
      <c r="AF10" s="37">
        <v>-8.0767499999999899</v>
      </c>
      <c r="AG10" s="37">
        <v>0</v>
      </c>
    </row>
    <row r="11" spans="1:33" ht="15.75" customHeight="1" x14ac:dyDescent="0.2">
      <c r="A11" s="26" t="s">
        <v>50</v>
      </c>
      <c r="B11" s="26" t="s">
        <v>159</v>
      </c>
      <c r="C11" s="14">
        <f t="shared" si="4"/>
        <v>28.79</v>
      </c>
      <c r="D11" s="27">
        <v>5</v>
      </c>
      <c r="E11" s="27">
        <v>1</v>
      </c>
      <c r="F11" s="28">
        <v>143.94999999999999</v>
      </c>
      <c r="G11" s="28">
        <v>0</v>
      </c>
      <c r="H11" s="29">
        <f t="shared" si="1"/>
        <v>0</v>
      </c>
      <c r="I11" s="29">
        <f t="shared" si="2"/>
        <v>0.25525676760714588</v>
      </c>
      <c r="J11" s="30">
        <f t="shared" si="5"/>
        <v>36.744211697048648</v>
      </c>
      <c r="K11" s="30">
        <f t="shared" si="3"/>
        <v>7.34884233940973</v>
      </c>
      <c r="L11" s="27">
        <v>19</v>
      </c>
      <c r="M11" s="31">
        <f t="shared" si="6"/>
        <v>0.26315789473684209</v>
      </c>
      <c r="N11" s="27">
        <v>84</v>
      </c>
      <c r="O11" s="32">
        <f t="shared" ref="O11:P11" si="19">D11/7</f>
        <v>0.7142857142857143</v>
      </c>
      <c r="P11" s="32">
        <f t="shared" si="19"/>
        <v>0.14285714285714285</v>
      </c>
      <c r="Q11" s="27">
        <f t="shared" si="8"/>
        <v>98</v>
      </c>
      <c r="R11" s="27"/>
      <c r="S11" s="33">
        <v>2.1418439716312001</v>
      </c>
      <c r="T11" s="26">
        <v>303</v>
      </c>
      <c r="U11" s="34">
        <v>60</v>
      </c>
      <c r="V11" s="35" t="s">
        <v>158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0.6999330873842593</v>
      </c>
      <c r="AD11" s="37">
        <f t="shared" si="12"/>
        <v>-4.8295383029513888</v>
      </c>
      <c r="AE11" s="37">
        <v>-8.08</v>
      </c>
      <c r="AF11" s="37">
        <v>-8.0767499999999899</v>
      </c>
      <c r="AG11" s="37">
        <v>0</v>
      </c>
    </row>
    <row r="12" spans="1:33" ht="15.75" customHeight="1" x14ac:dyDescent="0.2">
      <c r="A12" s="26" t="s">
        <v>52</v>
      </c>
      <c r="B12" s="26" t="s">
        <v>160</v>
      </c>
      <c r="C12" s="14">
        <f t="shared" si="4"/>
        <v>24.99038461538462</v>
      </c>
      <c r="D12" s="27">
        <v>26</v>
      </c>
      <c r="E12" s="27">
        <v>2</v>
      </c>
      <c r="F12" s="28">
        <v>649.75000000000011</v>
      </c>
      <c r="G12" s="28">
        <v>0</v>
      </c>
      <c r="H12" s="29">
        <f t="shared" si="1"/>
        <v>0</v>
      </c>
      <c r="I12" s="29">
        <f t="shared" si="2"/>
        <v>0.16483016671743458</v>
      </c>
      <c r="J12" s="30">
        <f t="shared" si="5"/>
        <v>107.09840082465314</v>
      </c>
      <c r="K12" s="30">
        <f t="shared" si="3"/>
        <v>4.1191692624866594</v>
      </c>
      <c r="L12" s="27">
        <v>43</v>
      </c>
      <c r="M12" s="31">
        <f t="shared" si="6"/>
        <v>0.60465116279069764</v>
      </c>
      <c r="N12" s="27">
        <v>43</v>
      </c>
      <c r="O12" s="32">
        <f t="shared" ref="O12:P12" si="20">D12/7</f>
        <v>3.7142857142857144</v>
      </c>
      <c r="P12" s="32">
        <f t="shared" si="20"/>
        <v>0.2857142857142857</v>
      </c>
      <c r="Q12" s="27">
        <f t="shared" si="8"/>
        <v>10</v>
      </c>
      <c r="R12" s="27"/>
      <c r="S12" s="33">
        <v>3.4098360655737698</v>
      </c>
      <c r="T12" s="26">
        <v>243</v>
      </c>
      <c r="U12" s="34">
        <v>90</v>
      </c>
      <c r="V12" s="35" t="s">
        <v>161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0.6999330873842593</v>
      </c>
      <c r="AD12" s="37">
        <f t="shared" si="12"/>
        <v>-25.113599175347222</v>
      </c>
      <c r="AE12" s="37">
        <v>-8.08</v>
      </c>
      <c r="AF12" s="37">
        <v>-8.0767499999999899</v>
      </c>
      <c r="AG12" s="37">
        <v>0</v>
      </c>
    </row>
    <row r="13" spans="1:33" ht="15.75" customHeight="1" x14ac:dyDescent="0.2">
      <c r="A13" s="26" t="s">
        <v>54</v>
      </c>
      <c r="B13" s="26" t="s">
        <v>138</v>
      </c>
      <c r="C13" s="14">
        <f t="shared" si="4"/>
        <v>25.990000000000006</v>
      </c>
      <c r="D13" s="27">
        <v>23</v>
      </c>
      <c r="E13" s="27">
        <v>6</v>
      </c>
      <c r="F13" s="30">
        <v>597.7700000000001</v>
      </c>
      <c r="G13" s="28">
        <v>0</v>
      </c>
      <c r="H13" s="29">
        <f t="shared" si="1"/>
        <v>0</v>
      </c>
      <c r="I13" s="29">
        <f t="shared" si="2"/>
        <v>0.17680713118159769</v>
      </c>
      <c r="J13" s="30">
        <f t="shared" si="5"/>
        <v>105.68999880642367</v>
      </c>
      <c r="K13" s="30">
        <f t="shared" si="3"/>
        <v>4.5952173394097251</v>
      </c>
      <c r="L13" s="27">
        <v>33</v>
      </c>
      <c r="M13" s="31">
        <f t="shared" si="6"/>
        <v>0.69696969696969702</v>
      </c>
      <c r="N13" s="27">
        <v>10</v>
      </c>
      <c r="O13" s="32">
        <f t="shared" ref="O13:P13" si="21">D13/7</f>
        <v>3.2857142857142856</v>
      </c>
      <c r="P13" s="32">
        <f t="shared" si="21"/>
        <v>0.8571428571428571</v>
      </c>
      <c r="Q13" s="27">
        <f t="shared" si="8"/>
        <v>2</v>
      </c>
      <c r="R13" s="27"/>
      <c r="S13" s="33">
        <v>4.9927007299269999</v>
      </c>
      <c r="T13" s="26">
        <v>243</v>
      </c>
      <c r="U13" s="34">
        <v>90</v>
      </c>
      <c r="V13" s="35" t="s">
        <v>161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0.6999330873842593</v>
      </c>
      <c r="AD13" s="37">
        <f t="shared" si="12"/>
        <v>-22.215876193576388</v>
      </c>
      <c r="AE13" s="37">
        <v>-8.08</v>
      </c>
      <c r="AF13" s="37">
        <v>-8.4503749999999993</v>
      </c>
      <c r="AG13" s="37">
        <v>0</v>
      </c>
    </row>
    <row r="14" spans="1:33" ht="15.75" customHeight="1" x14ac:dyDescent="0.2">
      <c r="A14" s="26" t="s">
        <v>56</v>
      </c>
      <c r="B14" s="26" t="s">
        <v>162</v>
      </c>
      <c r="C14" s="14">
        <f t="shared" si="4"/>
        <v>25.99</v>
      </c>
      <c r="D14" s="27">
        <v>5</v>
      </c>
      <c r="E14" s="27">
        <v>0</v>
      </c>
      <c r="F14" s="30">
        <v>129.94999999999999</v>
      </c>
      <c r="G14" s="28">
        <v>0</v>
      </c>
      <c r="H14" s="29">
        <f t="shared" si="1"/>
        <v>0</v>
      </c>
      <c r="I14" s="29">
        <f t="shared" si="2"/>
        <v>0.17680713118159752</v>
      </c>
      <c r="J14" s="30">
        <f t="shared" si="5"/>
        <v>22.976086697048597</v>
      </c>
      <c r="K14" s="30">
        <f t="shared" si="3"/>
        <v>4.5952173394097198</v>
      </c>
      <c r="L14" s="27">
        <v>23</v>
      </c>
      <c r="M14" s="31">
        <f t="shared" si="6"/>
        <v>0.21739130434782608</v>
      </c>
      <c r="N14" s="27">
        <v>4</v>
      </c>
      <c r="O14" s="32">
        <f t="shared" ref="O14:P14" si="22">D14/7</f>
        <v>0.7142857142857143</v>
      </c>
      <c r="P14" s="32">
        <f t="shared" si="22"/>
        <v>0</v>
      </c>
      <c r="Q14" s="27">
        <f t="shared" si="8"/>
        <v>5</v>
      </c>
      <c r="R14" s="27"/>
      <c r="S14" s="33">
        <v>4.9873417721518898</v>
      </c>
      <c r="T14" s="26">
        <v>153</v>
      </c>
      <c r="U14" s="34">
        <v>150</v>
      </c>
      <c r="V14" s="35" t="s">
        <v>163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0.6999330873842593</v>
      </c>
      <c r="AD14" s="37">
        <f t="shared" si="12"/>
        <v>-4.8295383029513888</v>
      </c>
      <c r="AE14" s="37">
        <v>-8.08</v>
      </c>
      <c r="AF14" s="37">
        <v>-8.4503749999999993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25.99</v>
      </c>
      <c r="D15" s="27">
        <v>1</v>
      </c>
      <c r="E15" s="27">
        <v>1</v>
      </c>
      <c r="F15" s="30">
        <v>25.99</v>
      </c>
      <c r="G15" s="28">
        <v>0</v>
      </c>
      <c r="H15" s="29">
        <f t="shared" si="1"/>
        <v>0</v>
      </c>
      <c r="I15" s="29">
        <f t="shared" si="2"/>
        <v>0.17680713118159749</v>
      </c>
      <c r="J15" s="30">
        <f t="shared" si="5"/>
        <v>4.5952173394097189</v>
      </c>
      <c r="K15" s="30">
        <f t="shared" si="3"/>
        <v>4.5952173394097189</v>
      </c>
      <c r="L15" s="27">
        <v>9</v>
      </c>
      <c r="M15" s="31">
        <f t="shared" si="6"/>
        <v>0.1111111111111111</v>
      </c>
      <c r="N15" s="27">
        <v>1</v>
      </c>
      <c r="O15" s="32">
        <f t="shared" ref="O15:P15" si="23">D15/7</f>
        <v>0.14285714285714285</v>
      </c>
      <c r="P15" s="32">
        <f t="shared" si="23"/>
        <v>0.14285714285714285</v>
      </c>
      <c r="Q15" s="27">
        <f t="shared" si="8"/>
        <v>3</v>
      </c>
      <c r="R15" s="27"/>
      <c r="S15" s="33">
        <v>2.7128027681660898</v>
      </c>
      <c r="T15" s="26">
        <v>6</v>
      </c>
      <c r="U15" s="34" t="s">
        <v>34</v>
      </c>
      <c r="V15" s="35" t="s">
        <v>164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0.6999330873842593</v>
      </c>
      <c r="AD15" s="37">
        <f t="shared" si="12"/>
        <v>-0.96590766059027777</v>
      </c>
      <c r="AE15" s="37">
        <v>-8.08</v>
      </c>
      <c r="AF15" s="37">
        <v>-8.4503749999999993</v>
      </c>
      <c r="AG15" s="37">
        <v>0</v>
      </c>
    </row>
    <row r="16" spans="1:33" ht="15.75" customHeight="1" x14ac:dyDescent="0.2">
      <c r="A16" s="26" t="s">
        <v>60</v>
      </c>
      <c r="B16" s="26" t="s">
        <v>165</v>
      </c>
      <c r="C16" s="14">
        <f t="shared" si="4"/>
        <v>25.99</v>
      </c>
      <c r="D16" s="27">
        <v>1</v>
      </c>
      <c r="E16" s="27">
        <v>0</v>
      </c>
      <c r="F16" s="30">
        <v>25.99</v>
      </c>
      <c r="G16" s="28">
        <v>0</v>
      </c>
      <c r="H16" s="29">
        <f t="shared" si="1"/>
        <v>0</v>
      </c>
      <c r="I16" s="29">
        <f t="shared" si="2"/>
        <v>0.17680713118159749</v>
      </c>
      <c r="J16" s="30">
        <f t="shared" si="5"/>
        <v>4.5952173394097189</v>
      </c>
      <c r="K16" s="30">
        <f t="shared" si="3"/>
        <v>4.5952173394097189</v>
      </c>
      <c r="L16" s="27">
        <v>3</v>
      </c>
      <c r="M16" s="31">
        <f t="shared" si="6"/>
        <v>0.33333333333333331</v>
      </c>
      <c r="N16" s="27">
        <v>0</v>
      </c>
      <c r="O16" s="32">
        <f t="shared" ref="O16:P16" si="24">D16/7</f>
        <v>0.14285714285714285</v>
      </c>
      <c r="P16" s="32">
        <f t="shared" si="24"/>
        <v>0</v>
      </c>
      <c r="Q16" s="27">
        <f t="shared" si="8"/>
        <v>0</v>
      </c>
      <c r="R16" s="27"/>
      <c r="S16" s="33">
        <v>2.9649122807017498</v>
      </c>
      <c r="T16" s="26">
        <v>246</v>
      </c>
      <c r="U16" s="34" t="s">
        <v>34</v>
      </c>
      <c r="V16" s="35" t="s">
        <v>164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0.6999330873842593</v>
      </c>
      <c r="AD16" s="37">
        <f t="shared" si="12"/>
        <v>-0.96590766059027777</v>
      </c>
      <c r="AE16" s="37">
        <v>-8.08</v>
      </c>
      <c r="AF16" s="37">
        <v>-8.4503749999999993</v>
      </c>
      <c r="AG16" s="37">
        <v>0</v>
      </c>
    </row>
    <row r="17" spans="1:33" ht="15.75" customHeight="1" x14ac:dyDescent="0.2">
      <c r="A17" s="26" t="s">
        <v>61</v>
      </c>
      <c r="B17" s="26" t="s">
        <v>166</v>
      </c>
      <c r="C17" s="14">
        <f t="shared" si="4"/>
        <v>25.99</v>
      </c>
      <c r="D17" s="27">
        <v>4</v>
      </c>
      <c r="E17" s="27">
        <v>0</v>
      </c>
      <c r="F17" s="30">
        <v>103.96</v>
      </c>
      <c r="G17" s="28">
        <v>0</v>
      </c>
      <c r="H17" s="29">
        <f t="shared" si="1"/>
        <v>0</v>
      </c>
      <c r="I17" s="29">
        <f t="shared" si="2"/>
        <v>0.17680713118159749</v>
      </c>
      <c r="J17" s="30">
        <f t="shared" si="5"/>
        <v>18.380869357638876</v>
      </c>
      <c r="K17" s="30">
        <f t="shared" si="3"/>
        <v>4.5952173394097189</v>
      </c>
      <c r="L17" s="27">
        <v>8</v>
      </c>
      <c r="M17" s="31">
        <f t="shared" si="6"/>
        <v>0.5</v>
      </c>
      <c r="N17" s="27">
        <v>135</v>
      </c>
      <c r="O17" s="32">
        <f t="shared" ref="O17:P17" si="25">D17/7</f>
        <v>0.5714285714285714</v>
      </c>
      <c r="P17" s="32">
        <f t="shared" si="25"/>
        <v>0</v>
      </c>
      <c r="Q17" s="27">
        <f t="shared" si="8"/>
        <v>236</v>
      </c>
      <c r="R17" s="27"/>
      <c r="S17" s="33">
        <v>3.1707317073170702</v>
      </c>
      <c r="T17" s="26">
        <v>246</v>
      </c>
      <c r="U17" s="34" t="s">
        <v>34</v>
      </c>
      <c r="V17" s="35" t="s">
        <v>164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0.6999330873842593</v>
      </c>
      <c r="AD17" s="37">
        <f t="shared" si="12"/>
        <v>-3.8636306423611111</v>
      </c>
      <c r="AE17" s="37">
        <v>-8.08</v>
      </c>
      <c r="AF17" s="37">
        <v>-8.4503749999999993</v>
      </c>
      <c r="AG17" s="37">
        <v>0</v>
      </c>
    </row>
    <row r="18" spans="1:33" ht="15.75" customHeight="1" x14ac:dyDescent="0.2">
      <c r="A18" s="26" t="s">
        <v>62</v>
      </c>
      <c r="B18" s="26" t="s">
        <v>167</v>
      </c>
      <c r="C18" s="14">
        <f t="shared" si="4"/>
        <v>25.990000000000002</v>
      </c>
      <c r="D18" s="27">
        <v>8</v>
      </c>
      <c r="E18" s="27">
        <v>0</v>
      </c>
      <c r="F18" s="30">
        <v>207.92000000000002</v>
      </c>
      <c r="G18" s="28">
        <v>0</v>
      </c>
      <c r="H18" s="29">
        <f t="shared" si="1"/>
        <v>0</v>
      </c>
      <c r="I18" s="29">
        <f t="shared" si="2"/>
        <v>0.1768071311815976</v>
      </c>
      <c r="J18" s="30">
        <f t="shared" si="5"/>
        <v>36.761738715277779</v>
      </c>
      <c r="K18" s="30">
        <f t="shared" si="3"/>
        <v>4.5952173394097224</v>
      </c>
      <c r="L18" s="27">
        <v>21</v>
      </c>
      <c r="M18" s="31">
        <f t="shared" si="6"/>
        <v>0.38095238095238093</v>
      </c>
      <c r="N18" s="27">
        <v>125</v>
      </c>
      <c r="O18" s="32">
        <f t="shared" ref="O18:P18" si="26">D18/7</f>
        <v>1.1428571428571428</v>
      </c>
      <c r="P18" s="32">
        <f t="shared" si="26"/>
        <v>0</v>
      </c>
      <c r="Q18" s="27">
        <f t="shared" si="8"/>
        <v>109</v>
      </c>
      <c r="R18" s="27"/>
      <c r="S18" s="33">
        <v>2.06222222222222</v>
      </c>
      <c r="T18" s="26">
        <v>243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0.6999330873842593</v>
      </c>
      <c r="AD18" s="37">
        <f t="shared" si="12"/>
        <v>-7.7272612847222222</v>
      </c>
      <c r="AE18" s="37">
        <v>-8.08</v>
      </c>
      <c r="AF18" s="37">
        <v>-8.4503749999999993</v>
      </c>
      <c r="AG18" s="37">
        <v>0</v>
      </c>
    </row>
    <row r="19" spans="1:33" ht="15.75" customHeight="1" x14ac:dyDescent="0.2">
      <c r="A19" s="26" t="s">
        <v>64</v>
      </c>
      <c r="B19" s="26" t="s">
        <v>167</v>
      </c>
      <c r="C19" s="14">
        <f t="shared" si="4"/>
        <v>25.99</v>
      </c>
      <c r="D19" s="27">
        <v>6</v>
      </c>
      <c r="E19" s="27">
        <v>0</v>
      </c>
      <c r="F19" s="30">
        <v>155.94</v>
      </c>
      <c r="G19" s="28">
        <v>0</v>
      </c>
      <c r="H19" s="29">
        <f t="shared" si="1"/>
        <v>0</v>
      </c>
      <c r="I19" s="29">
        <f t="shared" si="2"/>
        <v>0.17680713118159769</v>
      </c>
      <c r="J19" s="30">
        <f t="shared" si="5"/>
        <v>27.571304036458343</v>
      </c>
      <c r="K19" s="30">
        <f t="shared" si="3"/>
        <v>4.5952173394097242</v>
      </c>
      <c r="L19" s="27">
        <v>31</v>
      </c>
      <c r="M19" s="31">
        <f t="shared" si="6"/>
        <v>0.19354838709677419</v>
      </c>
      <c r="N19" s="27">
        <v>140</v>
      </c>
      <c r="O19" s="32">
        <f t="shared" ref="O19:P19" si="27">D19/7</f>
        <v>0.8571428571428571</v>
      </c>
      <c r="P19" s="32">
        <f t="shared" si="27"/>
        <v>0</v>
      </c>
      <c r="Q19" s="27">
        <f t="shared" si="8"/>
        <v>163</v>
      </c>
      <c r="R19" s="27"/>
      <c r="S19" s="33">
        <v>1.4871794871794799</v>
      </c>
      <c r="T19" s="26">
        <v>486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0.6999330873842593</v>
      </c>
      <c r="AD19" s="37">
        <f t="shared" si="12"/>
        <v>-5.7954459635416669</v>
      </c>
      <c r="AE19" s="37">
        <v>-8.08</v>
      </c>
      <c r="AF19" s="37">
        <v>-8.4503749999999993</v>
      </c>
      <c r="AG19" s="37">
        <v>0</v>
      </c>
    </row>
    <row r="20" spans="1:33" ht="15.75" customHeight="1" x14ac:dyDescent="0.2">
      <c r="A20" s="26" t="s">
        <v>65</v>
      </c>
      <c r="B20" s="26" t="s">
        <v>167</v>
      </c>
      <c r="C20" s="14">
        <f t="shared" si="4"/>
        <v>25.990000000000006</v>
      </c>
      <c r="D20" s="27">
        <v>12</v>
      </c>
      <c r="E20" s="27">
        <v>1</v>
      </c>
      <c r="F20" s="30">
        <v>311.88000000000005</v>
      </c>
      <c r="G20" s="28">
        <v>0</v>
      </c>
      <c r="H20" s="29">
        <f t="shared" si="1"/>
        <v>0</v>
      </c>
      <c r="I20" s="29">
        <f t="shared" si="2"/>
        <v>0.17680713118159766</v>
      </c>
      <c r="J20" s="30">
        <f t="shared" si="5"/>
        <v>55.142608072916687</v>
      </c>
      <c r="K20" s="30">
        <f t="shared" si="3"/>
        <v>4.5952173394097242</v>
      </c>
      <c r="L20" s="27">
        <v>19</v>
      </c>
      <c r="M20" s="31">
        <f t="shared" si="6"/>
        <v>0.63157894736842102</v>
      </c>
      <c r="N20" s="27">
        <v>151</v>
      </c>
      <c r="O20" s="32">
        <f t="shared" ref="O20:P20" si="28">D20/7</f>
        <v>1.7142857142857142</v>
      </c>
      <c r="P20" s="32">
        <f t="shared" si="28"/>
        <v>0.14285714285714285</v>
      </c>
      <c r="Q20" s="27">
        <f t="shared" si="8"/>
        <v>81</v>
      </c>
      <c r="R20" s="27"/>
      <c r="S20" s="33">
        <v>1.71631205673758</v>
      </c>
      <c r="T20" s="26">
        <v>486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0.6999330873842593</v>
      </c>
      <c r="AD20" s="37">
        <f t="shared" si="12"/>
        <v>-11.590891927083334</v>
      </c>
      <c r="AE20" s="37">
        <v>-8.08</v>
      </c>
      <c r="AF20" s="37">
        <v>-8.4503749999999993</v>
      </c>
      <c r="AG20" s="37">
        <v>0</v>
      </c>
    </row>
    <row r="21" spans="1:33" ht="15.75" customHeight="1" x14ac:dyDescent="0.2">
      <c r="A21" s="26" t="s">
        <v>66</v>
      </c>
      <c r="B21" s="26" t="s">
        <v>168</v>
      </c>
      <c r="C21" s="14">
        <f t="shared" si="4"/>
        <v>0</v>
      </c>
      <c r="D21" s="27">
        <v>2</v>
      </c>
      <c r="E21" s="27">
        <v>1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-34.992565321180557</v>
      </c>
      <c r="K21" s="30">
        <f t="shared" si="3"/>
        <v>-17.496282660590278</v>
      </c>
      <c r="L21" s="27">
        <v>10</v>
      </c>
      <c r="M21" s="31">
        <f t="shared" si="6"/>
        <v>0.2</v>
      </c>
      <c r="N21" s="27">
        <v>144</v>
      </c>
      <c r="O21" s="32">
        <f t="shared" ref="O21:P21" si="29">D21/7</f>
        <v>0.2857142857142857</v>
      </c>
      <c r="P21" s="32">
        <f t="shared" si="29"/>
        <v>0.14285714285714285</v>
      </c>
      <c r="Q21" s="27">
        <f t="shared" si="8"/>
        <v>336</v>
      </c>
      <c r="R21" s="27"/>
      <c r="S21" s="33">
        <v>1.70342205323193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0.6999330873842593</v>
      </c>
      <c r="AD21" s="37">
        <f t="shared" si="12"/>
        <v>-1.9318153211805555</v>
      </c>
      <c r="AE21" s="37">
        <v>-8.08</v>
      </c>
      <c r="AF21" s="37">
        <v>-8.4503749999999993</v>
      </c>
      <c r="AG21" s="37">
        <v>0</v>
      </c>
    </row>
    <row r="22" spans="1:33" ht="15.75" customHeight="1" x14ac:dyDescent="0.2">
      <c r="A22" s="26" t="s">
        <v>67</v>
      </c>
      <c r="B22" s="26" t="s">
        <v>168</v>
      </c>
      <c r="C22" s="14">
        <f t="shared" si="4"/>
        <v>25.99</v>
      </c>
      <c r="D22" s="27">
        <v>2</v>
      </c>
      <c r="E22" s="27">
        <v>0</v>
      </c>
      <c r="F22" s="28">
        <v>51.98</v>
      </c>
      <c r="G22" s="28">
        <v>0</v>
      </c>
      <c r="H22" s="29">
        <f t="shared" si="1"/>
        <v>0</v>
      </c>
      <c r="I22" s="29">
        <f t="shared" si="2"/>
        <v>0.17680713118159749</v>
      </c>
      <c r="J22" s="30">
        <f t="shared" si="5"/>
        <v>9.1904346788194378</v>
      </c>
      <c r="K22" s="30">
        <f t="shared" si="3"/>
        <v>4.5952173394097189</v>
      </c>
      <c r="L22" s="27">
        <v>21</v>
      </c>
      <c r="M22" s="31">
        <f t="shared" si="6"/>
        <v>9.5238095238095233E-2</v>
      </c>
      <c r="N22" s="27">
        <v>149</v>
      </c>
      <c r="O22" s="32">
        <f t="shared" ref="O22:P22" si="30">D22/7</f>
        <v>0.2857142857142857</v>
      </c>
      <c r="P22" s="32">
        <f t="shared" si="30"/>
        <v>0</v>
      </c>
      <c r="Q22" s="27">
        <f t="shared" si="8"/>
        <v>521</v>
      </c>
      <c r="R22" s="27"/>
      <c r="S22" s="33">
        <v>1.35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0.6999330873842593</v>
      </c>
      <c r="AD22" s="37">
        <f t="shared" si="12"/>
        <v>-1.9318153211805555</v>
      </c>
      <c r="AE22" s="37">
        <v>-8.08</v>
      </c>
      <c r="AF22" s="37">
        <v>-8.4503749999999993</v>
      </c>
      <c r="AG22" s="37">
        <v>0</v>
      </c>
    </row>
    <row r="23" spans="1:33" ht="15.75" customHeight="1" x14ac:dyDescent="0.2">
      <c r="A23" s="26" t="s">
        <v>68</v>
      </c>
      <c r="B23" s="26" t="s">
        <v>168</v>
      </c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146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>
        <v>1.1260053619302901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0.6999330873842593</v>
      </c>
      <c r="AD23" s="37">
        <f t="shared" si="12"/>
        <v>0</v>
      </c>
      <c r="AE23" s="37">
        <v>-8.08</v>
      </c>
      <c r="AF23" s="37">
        <v>-8.4503749999999993</v>
      </c>
      <c r="AG23" s="37">
        <v>0</v>
      </c>
    </row>
    <row r="24" spans="1:33" ht="15.75" customHeight="1" x14ac:dyDescent="0.2">
      <c r="A24" s="26" t="s">
        <v>71</v>
      </c>
      <c r="B24" s="26" t="s">
        <v>168</v>
      </c>
      <c r="C24" s="14" t="str">
        <f t="shared" si="4"/>
        <v xml:space="preserve"> - </v>
      </c>
      <c r="D24" s="27">
        <v>0</v>
      </c>
      <c r="E24" s="27">
        <v>3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143</v>
      </c>
      <c r="O24" s="32">
        <f t="shared" ref="O24:P24" si="32">D24/7</f>
        <v>0</v>
      </c>
      <c r="P24" s="32">
        <f t="shared" si="32"/>
        <v>0.42857142857142855</v>
      </c>
      <c r="Q24" s="27">
        <f t="shared" si="8"/>
        <v>333</v>
      </c>
      <c r="R24" s="27"/>
      <c r="S24" s="33">
        <v>1.0355329949238501</v>
      </c>
      <c r="T24" s="26">
        <v>243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0.6999330873842593</v>
      </c>
      <c r="AD24" s="37">
        <f t="shared" si="12"/>
        <v>0</v>
      </c>
      <c r="AE24" s="37">
        <v>-8.08</v>
      </c>
      <c r="AF24" s="37">
        <v>-8.4503749999999993</v>
      </c>
      <c r="AG24" s="37">
        <v>0</v>
      </c>
    </row>
    <row r="25" spans="1:33" ht="15.75" customHeight="1" x14ac:dyDescent="0.2">
      <c r="A25" s="40" t="s">
        <v>73</v>
      </c>
      <c r="B25" s="26" t="s">
        <v>168</v>
      </c>
      <c r="C25" s="14" t="str">
        <f t="shared" si="4"/>
        <v xml:space="preserve"> - </v>
      </c>
      <c r="D25" s="15">
        <v>0</v>
      </c>
      <c r="E25" s="15">
        <v>3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140</v>
      </c>
      <c r="O25" s="32">
        <f t="shared" ref="O25:P25" si="33">D25/7</f>
        <v>0</v>
      </c>
      <c r="P25" s="32">
        <f t="shared" si="33"/>
        <v>0.42857142857142855</v>
      </c>
      <c r="Q25" s="27">
        <f t="shared" si="8"/>
        <v>326</v>
      </c>
      <c r="R25" s="27"/>
      <c r="S25" s="41">
        <v>1</v>
      </c>
      <c r="T25" s="26">
        <v>243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0.6999330873842593</v>
      </c>
      <c r="AD25" s="37">
        <f t="shared" si="12"/>
        <v>0</v>
      </c>
      <c r="AE25" s="42">
        <v>-8.08</v>
      </c>
      <c r="AF25" s="42">
        <v>-8.4499999999999904</v>
      </c>
      <c r="AG25" s="42">
        <v>0</v>
      </c>
    </row>
    <row r="26" spans="1:33" ht="15.75" customHeight="1" x14ac:dyDescent="0.2">
      <c r="A26" s="40" t="s">
        <v>75</v>
      </c>
      <c r="B26" s="40" t="s">
        <v>169</v>
      </c>
      <c r="C26" s="14">
        <f t="shared" si="4"/>
        <v>25.99</v>
      </c>
      <c r="D26" s="15">
        <v>6</v>
      </c>
      <c r="E26" s="15">
        <v>3</v>
      </c>
      <c r="F26" s="16">
        <v>155.94</v>
      </c>
      <c r="G26" s="16">
        <v>0</v>
      </c>
      <c r="H26" s="29">
        <f t="shared" si="1"/>
        <v>0</v>
      </c>
      <c r="I26" s="29">
        <f t="shared" si="2"/>
        <v>0.18835003229741148</v>
      </c>
      <c r="J26" s="30">
        <f t="shared" si="5"/>
        <v>29.371304036458348</v>
      </c>
      <c r="K26" s="30">
        <f t="shared" si="3"/>
        <v>4.8952173394097249</v>
      </c>
      <c r="L26" s="15">
        <v>19</v>
      </c>
      <c r="M26" s="31">
        <f t="shared" si="6"/>
        <v>0.31578947368421051</v>
      </c>
      <c r="N26" s="15">
        <v>135</v>
      </c>
      <c r="O26" s="32">
        <f t="shared" ref="O26:P26" si="34">D26/7</f>
        <v>0.8571428571428571</v>
      </c>
      <c r="P26" s="32">
        <f t="shared" si="34"/>
        <v>0.42857142857142855</v>
      </c>
      <c r="Q26" s="27">
        <f t="shared" si="8"/>
        <v>105</v>
      </c>
      <c r="R26" s="27"/>
      <c r="S26" s="41">
        <v>0.49315068493150682</v>
      </c>
      <c r="T26" s="26">
        <v>243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0.6999330873842593</v>
      </c>
      <c r="AD26" s="37">
        <f t="shared" si="12"/>
        <v>-5.7954459635416669</v>
      </c>
      <c r="AE26" s="42">
        <v>-7.78</v>
      </c>
      <c r="AF26" s="42">
        <v>-8.4503749999999993</v>
      </c>
      <c r="AG26" s="42">
        <v>0</v>
      </c>
    </row>
    <row r="27" spans="1:33" ht="15.75" customHeight="1" x14ac:dyDescent="0.2">
      <c r="A27" s="40" t="s">
        <v>77</v>
      </c>
      <c r="B27" s="40" t="s">
        <v>170</v>
      </c>
      <c r="C27" s="14">
        <f t="shared" si="4"/>
        <v>25.99</v>
      </c>
      <c r="D27" s="15">
        <v>4</v>
      </c>
      <c r="E27" s="15">
        <v>0</v>
      </c>
      <c r="F27" s="16">
        <v>103.96</v>
      </c>
      <c r="G27" s="16">
        <v>0</v>
      </c>
      <c r="H27" s="29">
        <f t="shared" si="1"/>
        <v>0</v>
      </c>
      <c r="I27" s="29">
        <f t="shared" si="2"/>
        <v>0.18835003229741126</v>
      </c>
      <c r="J27" s="30">
        <f t="shared" si="5"/>
        <v>19.580869357638875</v>
      </c>
      <c r="K27" s="30">
        <f t="shared" si="3"/>
        <v>4.8952173394097187</v>
      </c>
      <c r="L27" s="15">
        <v>16</v>
      </c>
      <c r="M27" s="31">
        <f t="shared" si="6"/>
        <v>0.25</v>
      </c>
      <c r="N27" s="15">
        <v>128</v>
      </c>
      <c r="O27" s="32">
        <f t="shared" ref="O27:P27" si="35">D27/7</f>
        <v>0.5714285714285714</v>
      </c>
      <c r="P27" s="32">
        <f t="shared" si="35"/>
        <v>0</v>
      </c>
      <c r="Q27" s="27">
        <f t="shared" si="8"/>
        <v>224</v>
      </c>
      <c r="R27" s="27"/>
      <c r="S27" s="41">
        <v>0.51207729468599039</v>
      </c>
      <c r="T27" s="26">
        <v>243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0.6999330873842593</v>
      </c>
      <c r="AD27" s="37">
        <f t="shared" si="12"/>
        <v>-3.8636306423611111</v>
      </c>
      <c r="AE27" s="42">
        <v>-7.78</v>
      </c>
      <c r="AF27" s="42">
        <v>-8.4503749999999993</v>
      </c>
      <c r="AG27" s="42">
        <v>0</v>
      </c>
    </row>
    <row r="28" spans="1:33" ht="15.75" customHeight="1" x14ac:dyDescent="0.2">
      <c r="A28" s="40" t="s">
        <v>79</v>
      </c>
      <c r="B28" s="40" t="s">
        <v>171</v>
      </c>
      <c r="C28" s="14">
        <f t="shared" si="4"/>
        <v>22.990000000000002</v>
      </c>
      <c r="D28" s="15">
        <v>14</v>
      </c>
      <c r="E28" s="15">
        <v>1</v>
      </c>
      <c r="F28" s="16">
        <v>321.86</v>
      </c>
      <c r="G28" s="16">
        <v>-0.75</v>
      </c>
      <c r="H28" s="29">
        <f t="shared" si="1"/>
        <v>2.330205679487976E-3</v>
      </c>
      <c r="I28" s="29">
        <f t="shared" si="2"/>
        <v>9.9680117913801436E-2</v>
      </c>
      <c r="J28" s="30">
        <f t="shared" si="5"/>
        <v>32.08304275173613</v>
      </c>
      <c r="K28" s="30">
        <f t="shared" si="3"/>
        <v>2.2916459108382949</v>
      </c>
      <c r="L28" s="15">
        <v>17</v>
      </c>
      <c r="M28" s="31">
        <f t="shared" si="6"/>
        <v>0.82352941176470584</v>
      </c>
      <c r="N28" s="15">
        <v>115</v>
      </c>
      <c r="O28" s="32">
        <f t="shared" ref="O28:P28" si="36">D28/7</f>
        <v>2</v>
      </c>
      <c r="P28" s="32">
        <f t="shared" si="36"/>
        <v>0.14285714285714285</v>
      </c>
      <c r="Q28" s="27">
        <f t="shared" si="8"/>
        <v>53</v>
      </c>
      <c r="R28" s="27"/>
      <c r="S28" s="41">
        <v>0.60431654676258995</v>
      </c>
      <c r="T28" s="40" t="s">
        <v>34</v>
      </c>
      <c r="U28" s="22">
        <v>243</v>
      </c>
      <c r="V28" s="1" t="s">
        <v>172</v>
      </c>
      <c r="W28" s="40">
        <v>5</v>
      </c>
      <c r="X28" s="36">
        <f t="shared" si="9"/>
        <v>0.35714285714285715</v>
      </c>
      <c r="Y28" s="37">
        <f t="shared" si="10"/>
        <v>0.15</v>
      </c>
      <c r="Z28" s="40">
        <v>0</v>
      </c>
      <c r="AA28" s="26" t="s">
        <v>37</v>
      </c>
      <c r="AB28" s="38">
        <f t="shared" si="11"/>
        <v>-0.69</v>
      </c>
      <c r="AC28" s="39">
        <v>0.6999330873842593</v>
      </c>
      <c r="AD28" s="37">
        <f t="shared" si="12"/>
        <v>-13.522707248263888</v>
      </c>
      <c r="AE28" s="42">
        <v>-7.78</v>
      </c>
      <c r="AF28" s="42">
        <v>-8.4503749999999993</v>
      </c>
      <c r="AG28" s="42">
        <v>0</v>
      </c>
    </row>
    <row r="29" spans="1:33" ht="15.75" customHeight="1" x14ac:dyDescent="0.2">
      <c r="A29" s="26" t="s">
        <v>82</v>
      </c>
      <c r="B29" s="40" t="s">
        <v>171</v>
      </c>
      <c r="C29" s="14">
        <f t="shared" si="4"/>
        <v>22.99</v>
      </c>
      <c r="D29" s="27">
        <v>18</v>
      </c>
      <c r="E29" s="27">
        <v>3</v>
      </c>
      <c r="F29" s="30">
        <v>413.82</v>
      </c>
      <c r="G29" s="30">
        <v>-2.2999999999999998</v>
      </c>
      <c r="H29" s="29">
        <f t="shared" si="1"/>
        <v>5.5579720651490984E-3</v>
      </c>
      <c r="I29" s="29">
        <f t="shared" si="2"/>
        <v>9.6452351528140204E-2</v>
      </c>
      <c r="J29" s="30">
        <f t="shared" si="5"/>
        <v>39.913912109374976</v>
      </c>
      <c r="K29" s="30">
        <f t="shared" si="3"/>
        <v>2.2174395616319433</v>
      </c>
      <c r="L29" s="27">
        <v>29</v>
      </c>
      <c r="M29" s="31">
        <f t="shared" si="6"/>
        <v>0.62068965517241381</v>
      </c>
      <c r="N29" s="15">
        <v>90</v>
      </c>
      <c r="O29" s="32">
        <f t="shared" ref="O29:P29" si="37">D29/7</f>
        <v>2.5714285714285716</v>
      </c>
      <c r="P29" s="32">
        <f t="shared" si="37"/>
        <v>0.42857142857142855</v>
      </c>
      <c r="Q29" s="27">
        <f t="shared" si="8"/>
        <v>30</v>
      </c>
      <c r="R29" s="27"/>
      <c r="S29" s="41">
        <v>0.83417085427135673</v>
      </c>
      <c r="T29" s="40" t="s">
        <v>34</v>
      </c>
      <c r="U29" s="22" t="s">
        <v>34</v>
      </c>
      <c r="V29" s="1" t="s">
        <v>34</v>
      </c>
      <c r="W29" s="40">
        <v>3</v>
      </c>
      <c r="X29" s="36">
        <f t="shared" si="9"/>
        <v>0.16666666666666666</v>
      </c>
      <c r="Y29" s="37">
        <f t="shared" si="10"/>
        <v>0.76666666666666661</v>
      </c>
      <c r="Z29" s="40">
        <v>0</v>
      </c>
      <c r="AA29" s="26" t="s">
        <v>37</v>
      </c>
      <c r="AB29" s="38">
        <f t="shared" si="11"/>
        <v>-0.69</v>
      </c>
      <c r="AC29" s="39">
        <v>0.6999330873842593</v>
      </c>
      <c r="AD29" s="37">
        <f t="shared" si="12"/>
        <v>-17.386337890625001</v>
      </c>
      <c r="AE29" s="37">
        <v>-7.78</v>
      </c>
      <c r="AF29" s="42">
        <v>-8.4503749999999993</v>
      </c>
      <c r="AG29" s="37">
        <v>0</v>
      </c>
    </row>
    <row r="30" spans="1:33" ht="15.75" customHeight="1" x14ac:dyDescent="0.2">
      <c r="A30" s="40" t="s">
        <v>84</v>
      </c>
      <c r="B30" s="40" t="s">
        <v>171</v>
      </c>
      <c r="C30" s="14">
        <f t="shared" si="4"/>
        <v>22.990000000000006</v>
      </c>
      <c r="D30" s="15">
        <v>24</v>
      </c>
      <c r="E30" s="15">
        <v>0</v>
      </c>
      <c r="F30" s="16">
        <v>551.7600000000001</v>
      </c>
      <c r="G30" s="16">
        <v>-1.7</v>
      </c>
      <c r="H30" s="29">
        <f t="shared" si="1"/>
        <v>3.0810497317674346E-3</v>
      </c>
      <c r="I30" s="29">
        <f t="shared" si="2"/>
        <v>7.4797551808456014E-2</v>
      </c>
      <c r="J30" s="30">
        <f t="shared" si="5"/>
        <v>41.270297185833698</v>
      </c>
      <c r="K30" s="30">
        <f t="shared" si="3"/>
        <v>1.7195957160764042</v>
      </c>
      <c r="L30" s="15">
        <v>26</v>
      </c>
      <c r="M30" s="31">
        <f t="shared" si="6"/>
        <v>0.92307692307692313</v>
      </c>
      <c r="N30" s="15">
        <v>71</v>
      </c>
      <c r="O30" s="32">
        <f t="shared" ref="O30:P30" si="38">D30/7</f>
        <v>3.4285714285714284</v>
      </c>
      <c r="P30" s="32">
        <f t="shared" si="38"/>
        <v>0</v>
      </c>
      <c r="Q30" s="27">
        <f t="shared" si="8"/>
        <v>20</v>
      </c>
      <c r="R30" s="27"/>
      <c r="S30" s="41">
        <v>0.8867924528301887</v>
      </c>
      <c r="T30" s="26">
        <v>426</v>
      </c>
      <c r="U30" s="34" t="s">
        <v>34</v>
      </c>
      <c r="V30" s="35" t="s">
        <v>173</v>
      </c>
      <c r="W30" s="40">
        <v>4</v>
      </c>
      <c r="X30" s="36">
        <f t="shared" si="9"/>
        <v>0.16666666666666666</v>
      </c>
      <c r="Y30" s="37">
        <f t="shared" si="10"/>
        <v>0.42499999999999999</v>
      </c>
      <c r="Z30" s="40">
        <v>0</v>
      </c>
      <c r="AA30" s="26" t="s">
        <v>37</v>
      </c>
      <c r="AB30" s="38">
        <f t="shared" si="11"/>
        <v>-0.69</v>
      </c>
      <c r="AC30" s="39">
        <v>0.6999330873842593</v>
      </c>
      <c r="AD30" s="37">
        <f t="shared" si="12"/>
        <v>-23.181783854166667</v>
      </c>
      <c r="AE30" s="42">
        <v>-7.78</v>
      </c>
      <c r="AF30" s="42">
        <v>-9.0051632899999898</v>
      </c>
      <c r="AG30" s="42">
        <v>0</v>
      </c>
    </row>
    <row r="31" spans="1:33" ht="15.75" customHeight="1" x14ac:dyDescent="0.2">
      <c r="A31" s="40" t="s">
        <v>87</v>
      </c>
      <c r="B31" s="40" t="s">
        <v>174</v>
      </c>
      <c r="C31" s="14">
        <f t="shared" si="4"/>
        <v>22.990000000000002</v>
      </c>
      <c r="D31" s="15">
        <v>17</v>
      </c>
      <c r="E31" s="15">
        <v>0</v>
      </c>
      <c r="F31" s="16">
        <v>390.83000000000004</v>
      </c>
      <c r="G31" s="43">
        <v>-2.68</v>
      </c>
      <c r="H31" s="29">
        <f t="shared" si="1"/>
        <v>6.8572013407363812E-3</v>
      </c>
      <c r="I31" s="29">
        <f t="shared" si="2"/>
        <v>7.1021400199486592E-2</v>
      </c>
      <c r="J31" s="30">
        <f t="shared" si="5"/>
        <v>27.757293839965346</v>
      </c>
      <c r="K31" s="30">
        <f t="shared" si="3"/>
        <v>1.6327819905861969</v>
      </c>
      <c r="L31" s="15">
        <v>27</v>
      </c>
      <c r="M31" s="31">
        <f t="shared" si="6"/>
        <v>0.62962962962962965</v>
      </c>
      <c r="N31" s="15">
        <v>57</v>
      </c>
      <c r="O31" s="32">
        <f t="shared" ref="O31:P31" si="39">D31/7</f>
        <v>2.4285714285714284</v>
      </c>
      <c r="P31" s="32">
        <f t="shared" si="39"/>
        <v>0</v>
      </c>
      <c r="Q31" s="27">
        <f t="shared" si="8"/>
        <v>23</v>
      </c>
      <c r="R31" s="27"/>
      <c r="S31" s="41">
        <v>0.89166666666666605</v>
      </c>
      <c r="T31" s="40" t="s">
        <v>34</v>
      </c>
      <c r="U31" s="22">
        <v>243</v>
      </c>
      <c r="V31" s="1" t="s">
        <v>175</v>
      </c>
      <c r="W31" s="40">
        <v>4</v>
      </c>
      <c r="X31" s="36">
        <f t="shared" si="9"/>
        <v>0.23529411764705882</v>
      </c>
      <c r="Y31" s="37">
        <f t="shared" si="10"/>
        <v>0.67</v>
      </c>
      <c r="Z31" s="40">
        <v>0</v>
      </c>
      <c r="AA31" s="40" t="s">
        <v>37</v>
      </c>
      <c r="AB31" s="38">
        <f t="shared" si="11"/>
        <v>-0.69</v>
      </c>
      <c r="AC31" s="44">
        <v>0.6999330873842593</v>
      </c>
      <c r="AD31" s="37">
        <f t="shared" si="12"/>
        <v>-16.420430230034722</v>
      </c>
      <c r="AE31" s="45">
        <v>-7.78</v>
      </c>
      <c r="AF31" s="45">
        <v>-9.0051632899999987</v>
      </c>
      <c r="AG31" s="42">
        <v>0</v>
      </c>
    </row>
    <row r="32" spans="1:33" ht="15.75" customHeight="1" x14ac:dyDescent="0.2">
      <c r="A32" s="40" t="s">
        <v>90</v>
      </c>
      <c r="B32" s="50" t="s">
        <v>176</v>
      </c>
      <c r="C32" s="14">
        <f t="shared" si="4"/>
        <v>20.896470588235296</v>
      </c>
      <c r="D32" s="15">
        <v>34</v>
      </c>
      <c r="E32" s="15">
        <v>1</v>
      </c>
      <c r="F32" s="16">
        <v>710.48</v>
      </c>
      <c r="G32" s="16">
        <v>-2.84</v>
      </c>
      <c r="H32" s="29">
        <f t="shared" si="1"/>
        <v>3.9972976016214388E-3</v>
      </c>
      <c r="I32" s="29">
        <f t="shared" si="2"/>
        <v>-3.4742882559242834E-3</v>
      </c>
      <c r="J32" s="30">
        <f t="shared" si="5"/>
        <v>-2.4684123200690848</v>
      </c>
      <c r="K32" s="30">
        <f t="shared" si="3"/>
        <v>-7.260036235497308E-2</v>
      </c>
      <c r="L32" s="15">
        <v>38</v>
      </c>
      <c r="M32" s="31">
        <f t="shared" si="6"/>
        <v>0.89473684210526316</v>
      </c>
      <c r="N32" s="15">
        <v>20</v>
      </c>
      <c r="O32" s="32">
        <f t="shared" ref="O32:P32" si="40">D32/7</f>
        <v>4.8571428571428568</v>
      </c>
      <c r="P32" s="32">
        <f t="shared" si="40"/>
        <v>0.14285714285714285</v>
      </c>
      <c r="Q32" s="27">
        <f t="shared" si="8"/>
        <v>4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1.1936218678815489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S210704  - 60 units 09/17| AGL253  - 183 units 11/01")</f>
        <v>| S210704  - 60 units 09/17| AGL253  - 183 units 11/01</v>
      </c>
      <c r="W32" s="40">
        <v>5</v>
      </c>
      <c r="X32" s="36">
        <f t="shared" si="9"/>
        <v>0.14705882352941177</v>
      </c>
      <c r="Y32" s="37">
        <f t="shared" si="10"/>
        <v>0.56799999999999995</v>
      </c>
      <c r="Z32" s="40">
        <v>0</v>
      </c>
      <c r="AA32" s="40" t="s">
        <v>37</v>
      </c>
      <c r="AB32" s="38">
        <f t="shared" si="11"/>
        <v>-0.69</v>
      </c>
      <c r="AC32" s="44">
        <v>0.6999330873842593</v>
      </c>
      <c r="AD32" s="37">
        <f t="shared" si="12"/>
        <v>-32.840860460069443</v>
      </c>
      <c r="AE32" s="42">
        <v>-7.78</v>
      </c>
      <c r="AF32" s="42">
        <v>-9.0051632899999898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1:33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1:33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1:33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1:33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1:33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92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Info!B1:BJ5000""),3,FALSE),"""")"),"12 Pack of Glass Beer Bottles for Home Brewing - Square 8 oz Bottles with Flip Caps and Funnel")</f>
        <v>12 Pack of Glass Beer Bottles for Home Brewing - Square 8 oz Bottles with Flip Caps and Funnel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Info!B1:BJ5000""),2,FALSE),"""")"),"B085K9KNXS")</f>
        <v>B085K9KNXS</v>
      </c>
      <c r="B2" s="3" t="s">
        <v>177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4.5" customHeight="1" x14ac:dyDescent="0.2">
      <c r="A3" s="68" t="s">
        <v>31</v>
      </c>
      <c r="B3" s="69"/>
      <c r="C3" s="48">
        <f>((AE32+AF32)/0.85)*-1</f>
        <v>18.799573929411764</v>
      </c>
      <c r="D3" s="5">
        <f>SUM(D4:D99767)</f>
        <v>1238</v>
      </c>
      <c r="E3" s="5"/>
      <c r="F3" s="6">
        <f t="shared" ref="F3:G3" si="0">SUM(F4:F99767)</f>
        <v>33807.109999999986</v>
      </c>
      <c r="G3" s="6">
        <f t="shared" si="0"/>
        <v>-643.05999999999995</v>
      </c>
      <c r="H3" s="7">
        <f t="shared" ref="H3:H32" si="1">G3/F3*-1</f>
        <v>1.9021442530875909E-2</v>
      </c>
      <c r="I3" s="8">
        <f t="shared" ref="I3:I32" si="2">J3/F3</f>
        <v>0.22589387695184118</v>
      </c>
      <c r="J3" s="6">
        <f>SUM(J4:J99767)</f>
        <v>7636.8191464373567</v>
      </c>
      <c r="K3" s="6">
        <f t="shared" ref="K3:K32" si="3">J3/D3</f>
        <v>6.1686745932450373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Sheet!a1:g5000""),2,FALSE),"""")"),"15.0 - March
15.0 - April
15.0 - May
15.0 - June
15.0 - July
15.0 - Aug
15.0 - Sept
15.0 - Oct
15.0 - Nov
15.0 - Dec
15.0 - Jan
15.0 - Feb")</f>
        <v>15.0 - March
15.0 - April
15.0 - May
15.0 - June
15.0 - July
15.0 - Aug
15.0 - Sept
15.0 - Oct
15.0 - Nov
15.0 - Dec
15.0 - Jan
15.0 -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QTY-582")</f>
        <v>US QTY-582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134</v>
      </c>
      <c r="X3" s="7">
        <f>W3/D3</f>
        <v>0.10823909531502424</v>
      </c>
      <c r="Y3" s="6"/>
      <c r="Z3" s="5"/>
      <c r="AA3" s="5"/>
      <c r="AB3" s="5"/>
      <c r="AC3" s="5"/>
      <c r="AD3" s="6">
        <f>SUM(AD4:AD99767)</f>
        <v>-780.72737583899789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Info!B2:BZ3000""),37,FALSE)),"""")*-1"),-8.79963784)</f>
        <v>-8.7996378400000008</v>
      </c>
      <c r="AG3" s="6">
        <f>SUM(AG4:AG99767)</f>
        <v>0</v>
      </c>
    </row>
    <row r="4" spans="1:33" ht="32" x14ac:dyDescent="0.2">
      <c r="A4" s="1" t="s">
        <v>32</v>
      </c>
      <c r="B4" s="2" t="s">
        <v>178</v>
      </c>
      <c r="C4" s="14">
        <f t="shared" ref="C4:C32" si="4">IFERROR(F4/D4," - ")</f>
        <v>30.408309859154844</v>
      </c>
      <c r="D4" s="15">
        <v>142</v>
      </c>
      <c r="E4" s="15">
        <v>0</v>
      </c>
      <c r="F4" s="16">
        <v>4317.9799999999877</v>
      </c>
      <c r="G4" s="16">
        <v>0</v>
      </c>
      <c r="H4" s="17">
        <f t="shared" si="1"/>
        <v>0</v>
      </c>
      <c r="I4" s="17">
        <f t="shared" si="2"/>
        <v>0.32374808376149211</v>
      </c>
      <c r="J4" s="16">
        <f t="shared" ref="J4:J32" si="5">F4*0.85+G4+AF4*D4+D4*AE4+AG4+AD4</f>
        <v>1397.9377507204438</v>
      </c>
      <c r="K4" s="16">
        <f t="shared" si="3"/>
        <v>9.8446320473270692</v>
      </c>
      <c r="L4" s="15">
        <v>254</v>
      </c>
      <c r="M4" s="18">
        <f t="shared" ref="M4:M32" si="6">IFERROR(D4/L4,"-")</f>
        <v>0.55905511811023623</v>
      </c>
      <c r="N4" s="15">
        <v>270</v>
      </c>
      <c r="O4" s="19">
        <f t="shared" ref="O4:P4" si="7">D4/7</f>
        <v>20.285714285714285</v>
      </c>
      <c r="P4" s="19">
        <f t="shared" si="7"/>
        <v>0</v>
      </c>
      <c r="Q4" s="15">
        <f t="shared" ref="Q4:Q32" si="8">ROUNDDOWN(N4/(O4+P4),0)</f>
        <v>13</v>
      </c>
      <c r="R4" s="15"/>
      <c r="S4" s="20">
        <v>4.4636363636363603</v>
      </c>
      <c r="T4" s="2">
        <v>34</v>
      </c>
      <c r="U4" s="2">
        <v>34</v>
      </c>
      <c r="V4" s="51" t="s">
        <v>179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0.54020298611111106</v>
      </c>
      <c r="AD4" s="24">
        <f t="shared" ref="AD4:AD32" si="12">IFERROR(AB4*AC4*D4*2,0)</f>
        <v>-105.85817715833332</v>
      </c>
      <c r="AE4" s="24">
        <v>-7.7</v>
      </c>
      <c r="AF4" s="24">
        <v>-7.5569512121212128</v>
      </c>
      <c r="AG4" s="24">
        <v>0</v>
      </c>
    </row>
    <row r="5" spans="1:33" ht="16" x14ac:dyDescent="0.2">
      <c r="A5" s="26" t="s">
        <v>35</v>
      </c>
      <c r="B5" s="26" t="s">
        <v>46</v>
      </c>
      <c r="C5" s="14">
        <f t="shared" si="4"/>
        <v>31.014057971014491</v>
      </c>
      <c r="D5" s="27">
        <v>69</v>
      </c>
      <c r="E5" s="27">
        <v>0</v>
      </c>
      <c r="F5" s="28">
        <v>2139.9699999999998</v>
      </c>
      <c r="G5" s="28">
        <v>0</v>
      </c>
      <c r="H5" s="29">
        <f t="shared" si="1"/>
        <v>0</v>
      </c>
      <c r="I5" s="29">
        <f t="shared" si="2"/>
        <v>0.3339986701539881</v>
      </c>
      <c r="J5" s="30">
        <f t="shared" si="5"/>
        <v>714.74713416942984</v>
      </c>
      <c r="K5" s="30">
        <f t="shared" si="3"/>
        <v>10.358654118397533</v>
      </c>
      <c r="L5" s="27">
        <v>210</v>
      </c>
      <c r="M5" s="31">
        <f t="shared" si="6"/>
        <v>0.32857142857142857</v>
      </c>
      <c r="N5" s="27">
        <v>247</v>
      </c>
      <c r="O5" s="32">
        <f t="shared" ref="O5:P5" si="13">D5/7</f>
        <v>9.8571428571428577</v>
      </c>
      <c r="P5" s="32">
        <f t="shared" si="13"/>
        <v>0</v>
      </c>
      <c r="Q5" s="27">
        <f t="shared" si="8"/>
        <v>25</v>
      </c>
      <c r="R5" s="27"/>
      <c r="S5" s="33">
        <v>7.20567375886524</v>
      </c>
      <c r="T5" s="26">
        <v>706</v>
      </c>
      <c r="U5" s="34">
        <v>34</v>
      </c>
      <c r="V5" s="52" t="s">
        <v>180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0.540828945538818</v>
      </c>
      <c r="AD5" s="37">
        <f t="shared" si="12"/>
        <v>-51.49773219420625</v>
      </c>
      <c r="AE5" s="37">
        <v>-7.7</v>
      </c>
      <c r="AF5" s="37">
        <v>-7.5569512121212128</v>
      </c>
      <c r="AG5" s="37">
        <v>0</v>
      </c>
    </row>
    <row r="6" spans="1:33" ht="15.75" customHeight="1" x14ac:dyDescent="0.2">
      <c r="A6" s="26" t="s">
        <v>38</v>
      </c>
      <c r="B6" s="26" t="s">
        <v>46</v>
      </c>
      <c r="C6" s="14">
        <f t="shared" si="4"/>
        <v>32.465087719298253</v>
      </c>
      <c r="D6" s="27">
        <v>57</v>
      </c>
      <c r="E6" s="27">
        <v>0</v>
      </c>
      <c r="F6" s="28">
        <v>1850.5100000000004</v>
      </c>
      <c r="G6" s="28">
        <v>0</v>
      </c>
      <c r="H6" s="29">
        <f t="shared" si="1"/>
        <v>0</v>
      </c>
      <c r="I6" s="29">
        <f t="shared" si="2"/>
        <v>0.34758933430329525</v>
      </c>
      <c r="J6" s="30">
        <f t="shared" si="5"/>
        <v>643.21753902159105</v>
      </c>
      <c r="K6" s="30">
        <f t="shared" si="3"/>
        <v>11.284518228448967</v>
      </c>
      <c r="L6" s="27">
        <v>161</v>
      </c>
      <c r="M6" s="31">
        <f t="shared" si="6"/>
        <v>0.35403726708074534</v>
      </c>
      <c r="N6" s="27">
        <v>182</v>
      </c>
      <c r="O6" s="32">
        <f t="shared" ref="O6:P6" si="14">D6/7</f>
        <v>8.1428571428571423</v>
      </c>
      <c r="P6" s="32">
        <f t="shared" si="14"/>
        <v>0</v>
      </c>
      <c r="Q6" s="27">
        <f t="shared" si="8"/>
        <v>22</v>
      </c>
      <c r="R6" s="27"/>
      <c r="S6" s="33">
        <v>2.36666666666666</v>
      </c>
      <c r="T6" s="26">
        <v>706</v>
      </c>
      <c r="U6" s="34">
        <v>34</v>
      </c>
      <c r="V6" s="49" t="s">
        <v>181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0.54020298611111106</v>
      </c>
      <c r="AD6" s="37">
        <f t="shared" si="12"/>
        <v>-42.492366887499998</v>
      </c>
      <c r="AE6" s="37">
        <v>-7.7</v>
      </c>
      <c r="AF6" s="37">
        <v>-7.8653262121212126</v>
      </c>
      <c r="AG6" s="37">
        <v>0</v>
      </c>
    </row>
    <row r="7" spans="1:33" ht="15.75" customHeight="1" x14ac:dyDescent="0.2">
      <c r="A7" s="26" t="s">
        <v>41</v>
      </c>
      <c r="B7" s="26" t="s">
        <v>46</v>
      </c>
      <c r="C7" s="14">
        <f t="shared" si="4"/>
        <v>31.833666666666669</v>
      </c>
      <c r="D7" s="27">
        <v>30</v>
      </c>
      <c r="E7" s="27">
        <v>0</v>
      </c>
      <c r="F7" s="28">
        <v>955.0100000000001</v>
      </c>
      <c r="G7" s="28">
        <v>0</v>
      </c>
      <c r="H7" s="29">
        <f t="shared" si="1"/>
        <v>0</v>
      </c>
      <c r="I7" s="29">
        <f t="shared" si="2"/>
        <v>0.33762401442012507</v>
      </c>
      <c r="J7" s="30">
        <f t="shared" si="5"/>
        <v>322.43431001136366</v>
      </c>
      <c r="K7" s="30">
        <f t="shared" si="3"/>
        <v>10.747810333712122</v>
      </c>
      <c r="L7" s="27">
        <v>135</v>
      </c>
      <c r="M7" s="31">
        <f t="shared" si="6"/>
        <v>0.22222222222222221</v>
      </c>
      <c r="N7" s="27">
        <v>151</v>
      </c>
      <c r="O7" s="32">
        <f t="shared" ref="O7:P7" si="15">D7/7</f>
        <v>4.2857142857142856</v>
      </c>
      <c r="P7" s="32">
        <f t="shared" si="15"/>
        <v>0</v>
      </c>
      <c r="Q7" s="27">
        <f t="shared" si="8"/>
        <v>35</v>
      </c>
      <c r="R7" s="27"/>
      <c r="S7" s="33">
        <v>3.0729833546734899</v>
      </c>
      <c r="T7" s="26">
        <v>706</v>
      </c>
      <c r="U7" s="34">
        <v>34</v>
      </c>
      <c r="V7" s="49" t="s">
        <v>181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0.54020298611111106</v>
      </c>
      <c r="AD7" s="37">
        <f t="shared" si="12"/>
        <v>-22.364403624999998</v>
      </c>
      <c r="AE7" s="37">
        <v>-7.7</v>
      </c>
      <c r="AF7" s="37">
        <v>-7.8653262121212126</v>
      </c>
      <c r="AG7" s="37">
        <v>0</v>
      </c>
    </row>
    <row r="8" spans="1:33" ht="15.75" customHeight="1" x14ac:dyDescent="0.2">
      <c r="A8" s="26" t="s">
        <v>43</v>
      </c>
      <c r="B8" s="26" t="s">
        <v>182</v>
      </c>
      <c r="C8" s="14">
        <f t="shared" si="4"/>
        <v>31.990000000000002</v>
      </c>
      <c r="D8" s="27">
        <v>20</v>
      </c>
      <c r="E8" s="27">
        <v>0</v>
      </c>
      <c r="F8" s="28">
        <v>639.80000000000007</v>
      </c>
      <c r="G8" s="28">
        <v>0</v>
      </c>
      <c r="H8" s="29">
        <f t="shared" si="1"/>
        <v>0</v>
      </c>
      <c r="I8" s="29">
        <f t="shared" si="2"/>
        <v>0.33998186555694493</v>
      </c>
      <c r="J8" s="30">
        <f t="shared" si="5"/>
        <v>217.52039758333339</v>
      </c>
      <c r="K8" s="30">
        <f t="shared" si="3"/>
        <v>10.87601987916667</v>
      </c>
      <c r="L8" s="27">
        <v>106</v>
      </c>
      <c r="M8" s="31">
        <f t="shared" si="6"/>
        <v>0.18867924528301888</v>
      </c>
      <c r="N8" s="27">
        <v>135</v>
      </c>
      <c r="O8" s="32">
        <f t="shared" ref="O8:P8" si="16">D8/7</f>
        <v>2.8571428571428572</v>
      </c>
      <c r="P8" s="32">
        <f t="shared" si="16"/>
        <v>0</v>
      </c>
      <c r="Q8" s="27">
        <f t="shared" si="8"/>
        <v>47</v>
      </c>
      <c r="R8" s="27"/>
      <c r="S8" s="33">
        <v>5.3362068965517198</v>
      </c>
      <c r="T8" s="26">
        <v>672</v>
      </c>
      <c r="U8" s="34">
        <v>672</v>
      </c>
      <c r="V8" s="35" t="s">
        <v>183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0.54020298611111106</v>
      </c>
      <c r="AD8" s="37">
        <f t="shared" si="12"/>
        <v>-14.909602416666665</v>
      </c>
      <c r="AE8" s="37">
        <v>-7.7</v>
      </c>
      <c r="AF8" s="37">
        <v>-7.87</v>
      </c>
      <c r="AG8" s="37">
        <v>0</v>
      </c>
    </row>
    <row r="9" spans="1:33" ht="15.75" customHeight="1" x14ac:dyDescent="0.2">
      <c r="A9" s="26" t="s">
        <v>45</v>
      </c>
      <c r="B9" s="26" t="s">
        <v>184</v>
      </c>
      <c r="C9" s="14">
        <f t="shared" si="4"/>
        <v>32.452727272727273</v>
      </c>
      <c r="D9" s="27">
        <v>11</v>
      </c>
      <c r="E9" s="27">
        <v>1</v>
      </c>
      <c r="F9" s="28">
        <v>356.98</v>
      </c>
      <c r="G9" s="28">
        <v>0</v>
      </c>
      <c r="H9" s="29">
        <f t="shared" si="1"/>
        <v>0</v>
      </c>
      <c r="I9" s="29">
        <f t="shared" si="2"/>
        <v>0.33492309654369062</v>
      </c>
      <c r="J9" s="30">
        <f t="shared" si="5"/>
        <v>119.56084700416669</v>
      </c>
      <c r="K9" s="30">
        <f t="shared" si="3"/>
        <v>10.869167909469699</v>
      </c>
      <c r="L9" s="27">
        <v>172</v>
      </c>
      <c r="M9" s="31">
        <f t="shared" si="6"/>
        <v>6.3953488372093026E-2</v>
      </c>
      <c r="N9" s="27">
        <v>120</v>
      </c>
      <c r="O9" s="32">
        <f t="shared" ref="O9:P9" si="17">D9/7</f>
        <v>1.5714285714285714</v>
      </c>
      <c r="P9" s="32">
        <f t="shared" si="17"/>
        <v>0.14285714285714285</v>
      </c>
      <c r="Q9" s="27">
        <f t="shared" si="8"/>
        <v>70</v>
      </c>
      <c r="R9" s="27"/>
      <c r="S9" s="33">
        <v>6.11084337349397</v>
      </c>
      <c r="T9" s="26">
        <v>2034</v>
      </c>
      <c r="U9" s="34">
        <v>34</v>
      </c>
      <c r="V9" s="35" t="s">
        <v>185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0.54020298611111106</v>
      </c>
      <c r="AD9" s="37">
        <f t="shared" si="12"/>
        <v>-8.2002813291666659</v>
      </c>
      <c r="AE9" s="37">
        <v>-7.7</v>
      </c>
      <c r="AF9" s="37">
        <v>-8.2701701515151491</v>
      </c>
      <c r="AG9" s="37">
        <v>0</v>
      </c>
    </row>
    <row r="10" spans="1:33" ht="15.75" customHeight="1" x14ac:dyDescent="0.2">
      <c r="A10" s="26" t="s">
        <v>48</v>
      </c>
      <c r="B10" s="26" t="s">
        <v>186</v>
      </c>
      <c r="C10" s="14">
        <f t="shared" si="4"/>
        <v>29.826363636363634</v>
      </c>
      <c r="D10" s="27">
        <v>11</v>
      </c>
      <c r="E10" s="27">
        <v>0</v>
      </c>
      <c r="F10" s="28">
        <v>328.09</v>
      </c>
      <c r="G10" s="28">
        <v>-0.45000000000000007</v>
      </c>
      <c r="H10" s="29">
        <f t="shared" si="1"/>
        <v>1.3715748727483315E-3</v>
      </c>
      <c r="I10" s="29">
        <f t="shared" si="2"/>
        <v>0.28819636991120329</v>
      </c>
      <c r="J10" s="30">
        <f t="shared" si="5"/>
        <v>94.554347004166672</v>
      </c>
      <c r="K10" s="30">
        <f t="shared" si="3"/>
        <v>8.5958497276515153</v>
      </c>
      <c r="L10" s="27">
        <v>92</v>
      </c>
      <c r="M10" s="31">
        <f t="shared" si="6"/>
        <v>0.11956521739130435</v>
      </c>
      <c r="N10" s="27">
        <v>167</v>
      </c>
      <c r="O10" s="32">
        <f t="shared" ref="O10:P10" si="18">D10/7</f>
        <v>1.5714285714285714</v>
      </c>
      <c r="P10" s="32">
        <f t="shared" si="18"/>
        <v>0</v>
      </c>
      <c r="Q10" s="27">
        <f t="shared" si="8"/>
        <v>106</v>
      </c>
      <c r="R10" s="27"/>
      <c r="S10" s="33">
        <v>6.8496042216358797</v>
      </c>
      <c r="T10" s="26">
        <v>2034</v>
      </c>
      <c r="U10" s="34">
        <v>34</v>
      </c>
      <c r="V10" s="35" t="s">
        <v>187</v>
      </c>
      <c r="W10" s="26">
        <v>1</v>
      </c>
      <c r="X10" s="36">
        <f t="shared" si="9"/>
        <v>9.0909090909090912E-2</v>
      </c>
      <c r="Y10" s="37">
        <f t="shared" si="10"/>
        <v>0.45000000000000007</v>
      </c>
      <c r="Z10" s="26">
        <v>0</v>
      </c>
      <c r="AA10" s="26" t="s">
        <v>37</v>
      </c>
      <c r="AB10" s="38">
        <f t="shared" si="11"/>
        <v>-0.69</v>
      </c>
      <c r="AC10" s="39">
        <v>0.54020298611111106</v>
      </c>
      <c r="AD10" s="37">
        <f t="shared" si="12"/>
        <v>-8.2002813291666659</v>
      </c>
      <c r="AE10" s="37">
        <v>-7.7</v>
      </c>
      <c r="AF10" s="37">
        <v>-8.2701701515151491</v>
      </c>
      <c r="AG10" s="37">
        <v>0</v>
      </c>
    </row>
    <row r="11" spans="1:33" ht="15.75" customHeight="1" x14ac:dyDescent="0.2">
      <c r="A11" s="26" t="s">
        <v>50</v>
      </c>
      <c r="B11" s="26" t="s">
        <v>188</v>
      </c>
      <c r="C11" s="14">
        <f t="shared" si="4"/>
        <v>26.088709677419356</v>
      </c>
      <c r="D11" s="27">
        <v>31</v>
      </c>
      <c r="E11" s="27">
        <v>0</v>
      </c>
      <c r="F11" s="28">
        <v>808.75</v>
      </c>
      <c r="G11" s="28">
        <v>-38.949999999999996</v>
      </c>
      <c r="H11" s="29">
        <f t="shared" si="1"/>
        <v>4.8160741885625961E-2</v>
      </c>
      <c r="I11" s="29">
        <f t="shared" si="2"/>
        <v>0.16111572371832705</v>
      </c>
      <c r="J11" s="30">
        <f t="shared" si="5"/>
        <v>130.302341557197</v>
      </c>
      <c r="K11" s="30">
        <f t="shared" si="3"/>
        <v>4.2033013405547415</v>
      </c>
      <c r="L11" s="27">
        <v>138</v>
      </c>
      <c r="M11" s="31">
        <f t="shared" si="6"/>
        <v>0.22463768115942029</v>
      </c>
      <c r="N11" s="27">
        <v>125</v>
      </c>
      <c r="O11" s="32">
        <f t="shared" ref="O11:P11" si="19">D11/7</f>
        <v>4.4285714285714288</v>
      </c>
      <c r="P11" s="32">
        <f t="shared" si="19"/>
        <v>0</v>
      </c>
      <c r="Q11" s="27">
        <f t="shared" si="8"/>
        <v>28</v>
      </c>
      <c r="R11" s="27"/>
      <c r="S11" s="33">
        <v>2.8748663101604199</v>
      </c>
      <c r="T11" s="26">
        <v>2034</v>
      </c>
      <c r="U11" s="34">
        <v>34</v>
      </c>
      <c r="V11" s="35" t="s">
        <v>187</v>
      </c>
      <c r="W11" s="26">
        <v>1</v>
      </c>
      <c r="X11" s="36">
        <f t="shared" si="9"/>
        <v>3.2258064516129031E-2</v>
      </c>
      <c r="Y11" s="37">
        <f t="shared" si="10"/>
        <v>19.474999999999998</v>
      </c>
      <c r="Z11" s="26">
        <v>1</v>
      </c>
      <c r="AA11" s="26" t="s">
        <v>37</v>
      </c>
      <c r="AB11" s="38">
        <f t="shared" si="11"/>
        <v>-0.69</v>
      </c>
      <c r="AC11" s="39">
        <v>0.54020298611111106</v>
      </c>
      <c r="AD11" s="37">
        <f t="shared" si="12"/>
        <v>-23.109883745833329</v>
      </c>
      <c r="AE11" s="37">
        <v>-7.7</v>
      </c>
      <c r="AF11" s="37">
        <v>-8.2701701515151491</v>
      </c>
      <c r="AG11" s="37">
        <v>0</v>
      </c>
    </row>
    <row r="12" spans="1:33" ht="15.75" customHeight="1" x14ac:dyDescent="0.2">
      <c r="A12" s="26" t="s">
        <v>52</v>
      </c>
      <c r="B12" s="26" t="s">
        <v>189</v>
      </c>
      <c r="C12" s="14">
        <f t="shared" si="4"/>
        <v>24.888510638297873</v>
      </c>
      <c r="D12" s="27">
        <v>47</v>
      </c>
      <c r="E12" s="27">
        <v>0</v>
      </c>
      <c r="F12" s="28">
        <v>1169.76</v>
      </c>
      <c r="G12" s="28">
        <v>-15.670000000000002</v>
      </c>
      <c r="H12" s="29">
        <f t="shared" si="1"/>
        <v>1.3395910272192588E-2</v>
      </c>
      <c r="I12" s="29">
        <f t="shared" si="2"/>
        <v>0.15571267268823347</v>
      </c>
      <c r="J12" s="30">
        <f t="shared" si="5"/>
        <v>182.14645600378799</v>
      </c>
      <c r="K12" s="30">
        <f t="shared" si="3"/>
        <v>3.8754565107188932</v>
      </c>
      <c r="L12" s="27">
        <v>106</v>
      </c>
      <c r="M12" s="31">
        <f t="shared" si="6"/>
        <v>0.44339622641509435</v>
      </c>
      <c r="N12" s="27">
        <v>71</v>
      </c>
      <c r="O12" s="32">
        <f t="shared" ref="O12:P12" si="20">D12/7</f>
        <v>6.7142857142857144</v>
      </c>
      <c r="P12" s="32">
        <f t="shared" si="20"/>
        <v>0</v>
      </c>
      <c r="Q12" s="27">
        <f t="shared" si="8"/>
        <v>10</v>
      </c>
      <c r="R12" s="27"/>
      <c r="S12" s="33">
        <v>4.3669724770642198</v>
      </c>
      <c r="T12" s="26">
        <v>2000</v>
      </c>
      <c r="U12" s="34">
        <v>672</v>
      </c>
      <c r="V12" s="35" t="s">
        <v>190</v>
      </c>
      <c r="W12" s="26">
        <v>5</v>
      </c>
      <c r="X12" s="36">
        <f t="shared" si="9"/>
        <v>0.10638297872340426</v>
      </c>
      <c r="Y12" s="37">
        <f t="shared" si="10"/>
        <v>3.1340000000000003</v>
      </c>
      <c r="Z12" s="26">
        <v>0</v>
      </c>
      <c r="AA12" s="26" t="s">
        <v>37</v>
      </c>
      <c r="AB12" s="38">
        <f t="shared" si="11"/>
        <v>-0.69</v>
      </c>
      <c r="AC12" s="39">
        <v>0.43203125000000003</v>
      </c>
      <c r="AD12" s="37">
        <f t="shared" si="12"/>
        <v>-28.021546874999999</v>
      </c>
      <c r="AE12" s="37">
        <v>-8.08</v>
      </c>
      <c r="AF12" s="37">
        <v>-8.2701701515151491</v>
      </c>
      <c r="AG12" s="37">
        <v>0</v>
      </c>
    </row>
    <row r="13" spans="1:33" ht="15.75" customHeight="1" x14ac:dyDescent="0.2">
      <c r="A13" s="26" t="s">
        <v>54</v>
      </c>
      <c r="B13" s="26" t="s">
        <v>191</v>
      </c>
      <c r="C13" s="14">
        <f t="shared" si="4"/>
        <v>27.609047619047622</v>
      </c>
      <c r="D13" s="27">
        <v>21</v>
      </c>
      <c r="E13" s="27">
        <v>1</v>
      </c>
      <c r="F13" s="30">
        <v>579.79000000000008</v>
      </c>
      <c r="G13" s="28">
        <v>-0.96</v>
      </c>
      <c r="H13" s="29">
        <f t="shared" si="1"/>
        <v>1.6557719174183753E-3</v>
      </c>
      <c r="I13" s="29">
        <f t="shared" si="2"/>
        <v>0.22682880057277807</v>
      </c>
      <c r="J13" s="30">
        <f t="shared" si="5"/>
        <v>131.51307028409101</v>
      </c>
      <c r="K13" s="30">
        <f t="shared" si="3"/>
        <v>6.2625271563852865</v>
      </c>
      <c r="L13" s="27">
        <v>59</v>
      </c>
      <c r="M13" s="31">
        <f t="shared" si="6"/>
        <v>0.3559322033898305</v>
      </c>
      <c r="N13" s="27">
        <v>47</v>
      </c>
      <c r="O13" s="32">
        <f t="shared" ref="O13:P13" si="21">D13/7</f>
        <v>3</v>
      </c>
      <c r="P13" s="32">
        <f t="shared" si="21"/>
        <v>0.14285714285714285</v>
      </c>
      <c r="Q13" s="27">
        <f t="shared" si="8"/>
        <v>14</v>
      </c>
      <c r="R13" s="27"/>
      <c r="S13" s="33">
        <v>5.5227272727272698</v>
      </c>
      <c r="T13" s="26">
        <v>2000</v>
      </c>
      <c r="U13" s="34">
        <v>672</v>
      </c>
      <c r="V13" s="35" t="s">
        <v>190</v>
      </c>
      <c r="W13" s="26">
        <v>2</v>
      </c>
      <c r="X13" s="36">
        <f t="shared" si="9"/>
        <v>9.5238095238095233E-2</v>
      </c>
      <c r="Y13" s="37">
        <f t="shared" si="10"/>
        <v>0.48</v>
      </c>
      <c r="Z13" s="26">
        <v>0</v>
      </c>
      <c r="AA13" s="26" t="s">
        <v>37</v>
      </c>
      <c r="AB13" s="38">
        <f t="shared" si="11"/>
        <v>-0.69</v>
      </c>
      <c r="AC13" s="39">
        <v>0.43203125000000003</v>
      </c>
      <c r="AD13" s="37">
        <f t="shared" si="12"/>
        <v>-12.520265624999999</v>
      </c>
      <c r="AE13" s="37">
        <v>-8.08</v>
      </c>
      <c r="AF13" s="37">
        <v>-8.4832459090909094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28.918571428571433</v>
      </c>
      <c r="D14" s="27">
        <v>14</v>
      </c>
      <c r="E14" s="27">
        <v>2</v>
      </c>
      <c r="F14" s="30">
        <v>404.86000000000007</v>
      </c>
      <c r="G14" s="28">
        <v>-1.9300000000000002</v>
      </c>
      <c r="H14" s="29">
        <f t="shared" si="1"/>
        <v>4.7670799782640908E-3</v>
      </c>
      <c r="I14" s="29">
        <f t="shared" si="2"/>
        <v>0.2518616645821451</v>
      </c>
      <c r="J14" s="30">
        <f t="shared" si="5"/>
        <v>101.96871352272728</v>
      </c>
      <c r="K14" s="30">
        <f t="shared" si="3"/>
        <v>7.2834795373376631</v>
      </c>
      <c r="L14" s="27">
        <v>100</v>
      </c>
      <c r="M14" s="31">
        <f t="shared" si="6"/>
        <v>0.14000000000000001</v>
      </c>
      <c r="N14" s="27">
        <v>32</v>
      </c>
      <c r="O14" s="32">
        <f t="shared" ref="O14:P14" si="22">D14/7</f>
        <v>2</v>
      </c>
      <c r="P14" s="32">
        <f t="shared" si="22"/>
        <v>0.2857142857142857</v>
      </c>
      <c r="Q14" s="27">
        <f t="shared" si="8"/>
        <v>14</v>
      </c>
      <c r="R14" s="27"/>
      <c r="S14" s="33">
        <v>6.7139689578713897</v>
      </c>
      <c r="T14" s="26">
        <v>1328</v>
      </c>
      <c r="U14" s="34">
        <v>700</v>
      </c>
      <c r="V14" s="35" t="s">
        <v>192</v>
      </c>
      <c r="W14" s="26">
        <v>1</v>
      </c>
      <c r="X14" s="36">
        <f t="shared" si="9"/>
        <v>7.1428571428571425E-2</v>
      </c>
      <c r="Y14" s="37">
        <f t="shared" si="10"/>
        <v>1.9300000000000002</v>
      </c>
      <c r="Z14" s="26">
        <v>0</v>
      </c>
      <c r="AA14" s="26" t="s">
        <v>37</v>
      </c>
      <c r="AB14" s="38">
        <f t="shared" si="11"/>
        <v>-0.69</v>
      </c>
      <c r="AC14" s="39">
        <v>0.43203125000000003</v>
      </c>
      <c r="AD14" s="37">
        <f t="shared" si="12"/>
        <v>-8.3468437499999997</v>
      </c>
      <c r="AE14" s="37">
        <v>-8.08</v>
      </c>
      <c r="AF14" s="37">
        <v>-8.4832459090909094</v>
      </c>
      <c r="AG14" s="37">
        <v>0</v>
      </c>
    </row>
    <row r="15" spans="1:33" ht="15.75" customHeight="1" x14ac:dyDescent="0.2">
      <c r="A15" s="26" t="s">
        <v>58</v>
      </c>
      <c r="B15" s="26" t="s">
        <v>193</v>
      </c>
      <c r="C15" s="14">
        <f t="shared" si="4"/>
        <v>24.412631578947369</v>
      </c>
      <c r="D15" s="27">
        <v>19</v>
      </c>
      <c r="E15" s="27">
        <v>0</v>
      </c>
      <c r="F15" s="30">
        <v>463.84000000000003</v>
      </c>
      <c r="G15" s="28">
        <v>-0.92</v>
      </c>
      <c r="H15" s="29">
        <f t="shared" si="1"/>
        <v>1.9834425664022074E-3</v>
      </c>
      <c r="I15" s="29">
        <f t="shared" si="2"/>
        <v>0.14512432811373041</v>
      </c>
      <c r="J15" s="30">
        <f t="shared" si="5"/>
        <v>67.314468352272712</v>
      </c>
      <c r="K15" s="30">
        <f t="shared" si="3"/>
        <v>3.5428667553827742</v>
      </c>
      <c r="L15" s="27">
        <v>65</v>
      </c>
      <c r="M15" s="31">
        <f t="shared" si="6"/>
        <v>0.29230769230769232</v>
      </c>
      <c r="N15" s="27">
        <v>12</v>
      </c>
      <c r="O15" s="32">
        <f t="shared" ref="O15:P15" si="23">D15/7</f>
        <v>2.7142857142857144</v>
      </c>
      <c r="P15" s="32">
        <f t="shared" si="23"/>
        <v>0</v>
      </c>
      <c r="Q15" s="27">
        <f t="shared" si="8"/>
        <v>4</v>
      </c>
      <c r="R15" s="27"/>
      <c r="S15" s="33">
        <v>2.70311027332705</v>
      </c>
      <c r="T15" s="26">
        <v>2056</v>
      </c>
      <c r="U15" s="34" t="s">
        <v>34</v>
      </c>
      <c r="V15" s="35" t="s">
        <v>194</v>
      </c>
      <c r="W15" s="26">
        <v>1</v>
      </c>
      <c r="X15" s="36">
        <f t="shared" si="9"/>
        <v>5.2631578947368418E-2</v>
      </c>
      <c r="Y15" s="37">
        <f t="shared" si="10"/>
        <v>0.92</v>
      </c>
      <c r="Z15" s="26">
        <v>0</v>
      </c>
      <c r="AA15" s="26" t="s">
        <v>37</v>
      </c>
      <c r="AB15" s="38">
        <f t="shared" si="11"/>
        <v>-0.69</v>
      </c>
      <c r="AC15" s="39">
        <v>0.43203125000000003</v>
      </c>
      <c r="AD15" s="37">
        <f t="shared" si="12"/>
        <v>-11.327859374999999</v>
      </c>
      <c r="AE15" s="37">
        <v>-8.08</v>
      </c>
      <c r="AF15" s="37">
        <v>-8.4832459090909094</v>
      </c>
      <c r="AG15" s="37">
        <v>0</v>
      </c>
    </row>
    <row r="16" spans="1:33" ht="15.75" customHeight="1" x14ac:dyDescent="0.2">
      <c r="A16" s="26" t="s">
        <v>60</v>
      </c>
      <c r="B16" s="26" t="s">
        <v>76</v>
      </c>
      <c r="C16" s="14">
        <f t="shared" si="4"/>
        <v>30.101111111111113</v>
      </c>
      <c r="D16" s="27">
        <v>9</v>
      </c>
      <c r="E16" s="27">
        <v>1</v>
      </c>
      <c r="F16" s="30">
        <v>270.91000000000003</v>
      </c>
      <c r="G16" s="28">
        <v>-0.64000000000000012</v>
      </c>
      <c r="H16" s="29">
        <f t="shared" si="1"/>
        <v>2.3624081798383229E-3</v>
      </c>
      <c r="I16" s="29">
        <f t="shared" si="2"/>
        <v>0.27757727176251096</v>
      </c>
      <c r="J16" s="30">
        <f t="shared" si="5"/>
        <v>75.198458693181848</v>
      </c>
      <c r="K16" s="30">
        <f t="shared" si="3"/>
        <v>8.3553842992424272</v>
      </c>
      <c r="L16" s="27">
        <v>46</v>
      </c>
      <c r="M16" s="31">
        <f t="shared" si="6"/>
        <v>0.19565217391304349</v>
      </c>
      <c r="N16" s="27">
        <v>1</v>
      </c>
      <c r="O16" s="32">
        <f t="shared" ref="O16:P16" si="24">D16/7</f>
        <v>1.2857142857142858</v>
      </c>
      <c r="P16" s="32">
        <f t="shared" si="24"/>
        <v>0.14285714285714285</v>
      </c>
      <c r="Q16" s="27">
        <f t="shared" si="8"/>
        <v>0</v>
      </c>
      <c r="R16" s="27"/>
      <c r="S16" s="33" t="e">
        <v>#N/A</v>
      </c>
      <c r="T16" s="26">
        <v>2056</v>
      </c>
      <c r="U16" s="34" t="s">
        <v>34</v>
      </c>
      <c r="V16" s="35" t="s">
        <v>194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0.43203125000000003</v>
      </c>
      <c r="AD16" s="37">
        <f t="shared" si="12"/>
        <v>-5.3658281249999993</v>
      </c>
      <c r="AE16" s="37">
        <v>-8.08</v>
      </c>
      <c r="AF16" s="37">
        <v>-8.4832459090909094</v>
      </c>
      <c r="AG16" s="37">
        <v>0</v>
      </c>
    </row>
    <row r="17" spans="1:33" ht="15.75" customHeight="1" x14ac:dyDescent="0.2">
      <c r="A17" s="26" t="s">
        <v>61</v>
      </c>
      <c r="B17" s="26" t="s">
        <v>195</v>
      </c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-0.08</v>
      </c>
      <c r="H17" s="29" t="e">
        <f t="shared" si="1"/>
        <v>#DIV/0!</v>
      </c>
      <c r="I17" s="29" t="e">
        <f t="shared" si="2"/>
        <v>#DIV/0!</v>
      </c>
      <c r="J17" s="30">
        <f t="shared" si="5"/>
        <v>-0.08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690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2056</v>
      </c>
      <c r="U17" s="34" t="s">
        <v>34</v>
      </c>
      <c r="V17" s="35" t="s">
        <v>194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0.43203125000000003</v>
      </c>
      <c r="AD17" s="37">
        <f t="shared" si="12"/>
        <v>0</v>
      </c>
      <c r="AE17" s="37">
        <v>-8.08</v>
      </c>
      <c r="AF17" s="37">
        <v>-8.4832459090909094</v>
      </c>
      <c r="AG17" s="37">
        <v>0</v>
      </c>
    </row>
    <row r="18" spans="1:33" ht="15.75" customHeight="1" x14ac:dyDescent="0.2">
      <c r="A18" s="26" t="s">
        <v>62</v>
      </c>
      <c r="B18" s="26" t="s">
        <v>105</v>
      </c>
      <c r="C18" s="14">
        <f t="shared" si="4"/>
        <v>28.177777777777777</v>
      </c>
      <c r="D18" s="27">
        <v>9</v>
      </c>
      <c r="E18" s="27">
        <v>0</v>
      </c>
      <c r="F18" s="30">
        <v>253.6</v>
      </c>
      <c r="G18" s="28">
        <v>-28.92</v>
      </c>
      <c r="H18" s="29">
        <f t="shared" si="1"/>
        <v>0.11403785488958991</v>
      </c>
      <c r="I18" s="29">
        <f t="shared" si="2"/>
        <v>0.14107767508894639</v>
      </c>
      <c r="J18" s="30">
        <f t="shared" si="5"/>
        <v>35.777298402556802</v>
      </c>
      <c r="K18" s="30">
        <f t="shared" si="3"/>
        <v>3.9752553780618669</v>
      </c>
      <c r="L18" s="27">
        <v>62</v>
      </c>
      <c r="M18" s="31">
        <f t="shared" si="6"/>
        <v>0.14516129032258066</v>
      </c>
      <c r="N18" s="27">
        <v>780</v>
      </c>
      <c r="O18" s="32">
        <f t="shared" ref="O18:P18" si="26">D18/7</f>
        <v>1.2857142857142858</v>
      </c>
      <c r="P18" s="32">
        <f t="shared" si="26"/>
        <v>0</v>
      </c>
      <c r="Q18" s="27">
        <f t="shared" si="8"/>
        <v>606</v>
      </c>
      <c r="R18" s="27"/>
      <c r="S18" s="33">
        <v>1.0419268510258599</v>
      </c>
      <c r="T18" s="26" t="s">
        <v>34</v>
      </c>
      <c r="U18" s="34" t="s">
        <v>34</v>
      </c>
      <c r="V18" s="35" t="s">
        <v>34</v>
      </c>
      <c r="W18" s="26">
        <v>1</v>
      </c>
      <c r="X18" s="36">
        <f t="shared" si="9"/>
        <v>0.1111111111111111</v>
      </c>
      <c r="Y18" s="37">
        <f t="shared" si="10"/>
        <v>14.46</v>
      </c>
      <c r="Z18" s="26">
        <v>1</v>
      </c>
      <c r="AA18" s="26" t="s">
        <v>37</v>
      </c>
      <c r="AB18" s="38">
        <f t="shared" si="11"/>
        <v>-0.69</v>
      </c>
      <c r="AC18" s="39">
        <v>0.41976557291666661</v>
      </c>
      <c r="AD18" s="37">
        <f t="shared" si="12"/>
        <v>-5.2134884156249992</v>
      </c>
      <c r="AE18" s="37">
        <v>-7.7</v>
      </c>
      <c r="AF18" s="37">
        <v>-8.4832459090909094</v>
      </c>
      <c r="AG18" s="37">
        <v>0</v>
      </c>
    </row>
    <row r="19" spans="1:33" ht="15.75" customHeight="1" x14ac:dyDescent="0.2">
      <c r="A19" s="26" t="s">
        <v>64</v>
      </c>
      <c r="B19" s="26" t="s">
        <v>196</v>
      </c>
      <c r="C19" s="14">
        <f t="shared" si="4"/>
        <v>25.346933333333347</v>
      </c>
      <c r="D19" s="27">
        <v>75</v>
      </c>
      <c r="E19" s="27">
        <v>0</v>
      </c>
      <c r="F19" s="30">
        <v>1901.0200000000009</v>
      </c>
      <c r="G19" s="28">
        <v>-40.759999999999991</v>
      </c>
      <c r="H19" s="29">
        <f t="shared" si="1"/>
        <v>2.1441121082366295E-2</v>
      </c>
      <c r="I19" s="29">
        <f t="shared" si="2"/>
        <v>0.1672353894337289</v>
      </c>
      <c r="J19" s="30">
        <f t="shared" si="5"/>
        <v>317.91782002130748</v>
      </c>
      <c r="K19" s="30">
        <f t="shared" si="3"/>
        <v>4.2389042669507662</v>
      </c>
      <c r="L19" s="27">
        <v>162</v>
      </c>
      <c r="M19" s="31">
        <f t="shared" si="6"/>
        <v>0.46296296296296297</v>
      </c>
      <c r="N19" s="27">
        <v>686</v>
      </c>
      <c r="O19" s="32">
        <f t="shared" ref="O19:P19" si="27">D19/7</f>
        <v>10.714285714285714</v>
      </c>
      <c r="P19" s="32">
        <f t="shared" si="27"/>
        <v>0</v>
      </c>
      <c r="Q19" s="27">
        <f t="shared" si="8"/>
        <v>64</v>
      </c>
      <c r="R19" s="27"/>
      <c r="S19" s="33">
        <v>0.87896995708154502</v>
      </c>
      <c r="T19" s="26">
        <v>610</v>
      </c>
      <c r="U19" s="34">
        <v>100</v>
      </c>
      <c r="V19" s="35" t="s">
        <v>197</v>
      </c>
      <c r="W19" s="26">
        <v>6</v>
      </c>
      <c r="X19" s="36">
        <f t="shared" si="9"/>
        <v>0.08</v>
      </c>
      <c r="Y19" s="37">
        <f t="shared" si="10"/>
        <v>6.7933333333333321</v>
      </c>
      <c r="Z19" s="26">
        <v>0</v>
      </c>
      <c r="AA19" s="26" t="s">
        <v>37</v>
      </c>
      <c r="AB19" s="38">
        <f t="shared" si="11"/>
        <v>-0.69</v>
      </c>
      <c r="AC19" s="39">
        <v>0.41976557291666661</v>
      </c>
      <c r="AD19" s="37">
        <f t="shared" si="12"/>
        <v>-43.445736796874989</v>
      </c>
      <c r="AE19" s="37">
        <v>-7.7</v>
      </c>
      <c r="AF19" s="37">
        <v>-8.4832459090909094</v>
      </c>
      <c r="AG19" s="37">
        <v>0</v>
      </c>
    </row>
    <row r="20" spans="1:33" ht="15.75" customHeight="1" x14ac:dyDescent="0.2">
      <c r="A20" s="26" t="s">
        <v>65</v>
      </c>
      <c r="B20" s="26" t="s">
        <v>198</v>
      </c>
      <c r="C20" s="14">
        <f t="shared" si="4"/>
        <v>26.01238805970149</v>
      </c>
      <c r="D20" s="27">
        <v>134</v>
      </c>
      <c r="E20" s="27">
        <v>1</v>
      </c>
      <c r="F20" s="30">
        <v>3485.6599999999994</v>
      </c>
      <c r="G20" s="28">
        <v>-40.249999999999993</v>
      </c>
      <c r="H20" s="29">
        <f t="shared" si="1"/>
        <v>1.1547310982712026E-2</v>
      </c>
      <c r="I20" s="29">
        <f t="shared" si="2"/>
        <v>0.19404732487909537</v>
      </c>
      <c r="J20" s="30">
        <f t="shared" si="5"/>
        <v>676.38299843806749</v>
      </c>
      <c r="K20" s="30">
        <f t="shared" si="3"/>
        <v>5.0476343167019966</v>
      </c>
      <c r="L20" s="27">
        <v>203</v>
      </c>
      <c r="M20" s="31">
        <f t="shared" si="6"/>
        <v>0.66009852216748766</v>
      </c>
      <c r="N20" s="27">
        <v>586</v>
      </c>
      <c r="O20" s="32">
        <f t="shared" ref="O20:P20" si="28">D20/7</f>
        <v>19.142857142857142</v>
      </c>
      <c r="P20" s="32">
        <f t="shared" si="28"/>
        <v>0.14285714285714285</v>
      </c>
      <c r="Q20" s="27">
        <f t="shared" si="8"/>
        <v>30</v>
      </c>
      <c r="R20" s="27"/>
      <c r="S20" s="33">
        <v>1.4824281150159699</v>
      </c>
      <c r="T20" s="26">
        <v>610</v>
      </c>
      <c r="U20" s="34">
        <v>100</v>
      </c>
      <c r="V20" s="35" t="s">
        <v>197</v>
      </c>
      <c r="W20" s="26">
        <v>14</v>
      </c>
      <c r="X20" s="36">
        <f t="shared" si="9"/>
        <v>0.1044776119402985</v>
      </c>
      <c r="Y20" s="37">
        <f t="shared" si="10"/>
        <v>2.8749999999999996</v>
      </c>
      <c r="Z20" s="26">
        <v>0</v>
      </c>
      <c r="AA20" s="26" t="s">
        <v>37</v>
      </c>
      <c r="AB20" s="38">
        <f t="shared" si="11"/>
        <v>-0.69</v>
      </c>
      <c r="AC20" s="39">
        <v>0.41976557291666661</v>
      </c>
      <c r="AD20" s="37">
        <f t="shared" si="12"/>
        <v>-77.623049743749988</v>
      </c>
      <c r="AE20" s="37">
        <v>-7.7</v>
      </c>
      <c r="AF20" s="37">
        <v>-8.4832459090909094</v>
      </c>
      <c r="AG20" s="37">
        <v>0</v>
      </c>
    </row>
    <row r="21" spans="1:33" ht="15.75" customHeight="1" x14ac:dyDescent="0.2">
      <c r="A21" s="26" t="s">
        <v>66</v>
      </c>
      <c r="B21" s="26" t="s">
        <v>199</v>
      </c>
      <c r="C21" s="14">
        <f t="shared" si="4"/>
        <v>27.119444444444447</v>
      </c>
      <c r="D21" s="27">
        <v>72</v>
      </c>
      <c r="E21" s="27">
        <v>0</v>
      </c>
      <c r="F21" s="30">
        <v>1952.6000000000001</v>
      </c>
      <c r="G21" s="28">
        <v>-5.0600000000000005</v>
      </c>
      <c r="H21" s="29">
        <f t="shared" si="1"/>
        <v>2.5914165727747621E-3</v>
      </c>
      <c r="I21" s="29">
        <f t="shared" si="2"/>
        <v>0.22930881246566351</v>
      </c>
      <c r="J21" s="30">
        <f t="shared" si="5"/>
        <v>447.74838722045462</v>
      </c>
      <c r="K21" s="30">
        <f t="shared" si="3"/>
        <v>6.2187276002840921</v>
      </c>
      <c r="L21" s="27">
        <v>75</v>
      </c>
      <c r="M21" s="31">
        <f t="shared" si="6"/>
        <v>0.96</v>
      </c>
      <c r="N21" s="27">
        <v>500</v>
      </c>
      <c r="O21" s="32">
        <f t="shared" ref="O21:P21" si="29">D21/7</f>
        <v>10.285714285714286</v>
      </c>
      <c r="P21" s="32">
        <f t="shared" si="29"/>
        <v>0</v>
      </c>
      <c r="Q21" s="27">
        <f t="shared" si="8"/>
        <v>48</v>
      </c>
      <c r="R21" s="27"/>
      <c r="S21" s="33">
        <v>2.4544217687074799</v>
      </c>
      <c r="T21" s="26" t="s">
        <v>34</v>
      </c>
      <c r="U21" s="34" t="s">
        <v>34</v>
      </c>
      <c r="V21" s="35" t="s">
        <v>34</v>
      </c>
      <c r="W21" s="26">
        <v>5</v>
      </c>
      <c r="X21" s="36">
        <f t="shared" si="9"/>
        <v>6.9444444444444448E-2</v>
      </c>
      <c r="Y21" s="37">
        <f t="shared" si="10"/>
        <v>1.012</v>
      </c>
      <c r="Z21" s="26">
        <v>0</v>
      </c>
      <c r="AA21" s="26" t="s">
        <v>37</v>
      </c>
      <c r="AB21" s="38">
        <f t="shared" si="11"/>
        <v>-0.69</v>
      </c>
      <c r="AC21" s="39">
        <v>0.41976557291666661</v>
      </c>
      <c r="AD21" s="37">
        <f t="shared" si="12"/>
        <v>-41.707907324999994</v>
      </c>
      <c r="AE21" s="37">
        <v>-7.7</v>
      </c>
      <c r="AF21" s="37">
        <v>-8.4832459090909094</v>
      </c>
      <c r="AG21" s="37">
        <v>0</v>
      </c>
    </row>
    <row r="22" spans="1:33" ht="15.75" customHeight="1" x14ac:dyDescent="0.2">
      <c r="A22" s="26" t="s">
        <v>67</v>
      </c>
      <c r="B22" s="26" t="s">
        <v>200</v>
      </c>
      <c r="C22" s="14">
        <f t="shared" si="4"/>
        <v>28.865000000000002</v>
      </c>
      <c r="D22" s="27">
        <v>40</v>
      </c>
      <c r="E22" s="27">
        <v>0</v>
      </c>
      <c r="F22" s="28">
        <v>1154.6000000000001</v>
      </c>
      <c r="G22" s="28">
        <v>-0.08</v>
      </c>
      <c r="H22" s="29">
        <f t="shared" si="1"/>
        <v>6.9288065130781212E-5</v>
      </c>
      <c r="I22" s="29">
        <f t="shared" si="2"/>
        <v>0.26920934004102159</v>
      </c>
      <c r="J22" s="30">
        <f t="shared" si="5"/>
        <v>310.8291040113636</v>
      </c>
      <c r="K22" s="30">
        <f t="shared" si="3"/>
        <v>7.7707276002840899</v>
      </c>
      <c r="L22" s="27">
        <v>115</v>
      </c>
      <c r="M22" s="31">
        <f t="shared" si="6"/>
        <v>0.34782608695652173</v>
      </c>
      <c r="N22" s="27">
        <v>465</v>
      </c>
      <c r="O22" s="32">
        <f t="shared" ref="O22:P22" si="30">D22/7</f>
        <v>5.7142857142857144</v>
      </c>
      <c r="P22" s="32">
        <f t="shared" si="30"/>
        <v>0</v>
      </c>
      <c r="Q22" s="27">
        <f t="shared" si="8"/>
        <v>81</v>
      </c>
      <c r="R22" s="27"/>
      <c r="S22" s="33">
        <v>1.3900293255131899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0.41976557291666661</v>
      </c>
      <c r="AD22" s="37">
        <f t="shared" si="12"/>
        <v>-23.171059624999994</v>
      </c>
      <c r="AE22" s="37">
        <v>-7.7</v>
      </c>
      <c r="AF22" s="37">
        <v>-8.4832459090909094</v>
      </c>
      <c r="AG22" s="37">
        <v>0</v>
      </c>
    </row>
    <row r="23" spans="1:33" ht="15.75" customHeight="1" x14ac:dyDescent="0.2">
      <c r="A23" s="26" t="s">
        <v>68</v>
      </c>
      <c r="B23" s="26" t="s">
        <v>201</v>
      </c>
      <c r="C23" s="14">
        <f t="shared" si="4"/>
        <v>26.734761904761907</v>
      </c>
      <c r="D23" s="27">
        <v>21</v>
      </c>
      <c r="E23" s="27">
        <v>0</v>
      </c>
      <c r="F23" s="30">
        <v>561.43000000000006</v>
      </c>
      <c r="G23" s="28">
        <v>-17.810000000000002</v>
      </c>
      <c r="H23" s="29">
        <f t="shared" si="1"/>
        <v>3.1722565591436151E-2</v>
      </c>
      <c r="I23" s="29">
        <f t="shared" si="2"/>
        <v>0.19128391715078613</v>
      </c>
      <c r="J23" s="30">
        <f t="shared" si="5"/>
        <v>107.39252960596588</v>
      </c>
      <c r="K23" s="30">
        <f t="shared" si="3"/>
        <v>5.1139299812364705</v>
      </c>
      <c r="L23" s="27">
        <v>99</v>
      </c>
      <c r="M23" s="31">
        <f t="shared" si="6"/>
        <v>0.21212121212121213</v>
      </c>
      <c r="N23" s="27">
        <v>443</v>
      </c>
      <c r="O23" s="32">
        <f t="shared" ref="O23:P23" si="31">D23/7</f>
        <v>3</v>
      </c>
      <c r="P23" s="32">
        <f t="shared" si="31"/>
        <v>0</v>
      </c>
      <c r="Q23" s="27">
        <f t="shared" si="8"/>
        <v>147</v>
      </c>
      <c r="R23" s="27"/>
      <c r="S23" s="33">
        <v>1.31690622861054</v>
      </c>
      <c r="T23" s="26">
        <v>100</v>
      </c>
      <c r="U23" s="34">
        <v>100</v>
      </c>
      <c r="V23" s="35" t="s">
        <v>202</v>
      </c>
      <c r="W23" s="26">
        <v>2</v>
      </c>
      <c r="X23" s="36">
        <f t="shared" si="9"/>
        <v>9.5238095238095233E-2</v>
      </c>
      <c r="Y23" s="37">
        <f t="shared" si="10"/>
        <v>8.9050000000000011</v>
      </c>
      <c r="Z23" s="26">
        <v>0</v>
      </c>
      <c r="AA23" s="26" t="s">
        <v>37</v>
      </c>
      <c r="AB23" s="38">
        <f t="shared" si="11"/>
        <v>-0.69</v>
      </c>
      <c r="AC23" s="39">
        <v>0.41976557291666661</v>
      </c>
      <c r="AD23" s="37">
        <f t="shared" si="12"/>
        <v>-12.164806303124998</v>
      </c>
      <c r="AE23" s="37">
        <v>-7.7</v>
      </c>
      <c r="AF23" s="37">
        <v>-8.4832459090909094</v>
      </c>
      <c r="AG23" s="37">
        <v>0</v>
      </c>
    </row>
    <row r="24" spans="1:33" ht="15.75" customHeight="1" x14ac:dyDescent="0.2">
      <c r="A24" s="26" t="s">
        <v>71</v>
      </c>
      <c r="B24" s="26" t="s">
        <v>203</v>
      </c>
      <c r="C24" s="14">
        <f t="shared" si="4"/>
        <v>25.162413793103454</v>
      </c>
      <c r="D24" s="27">
        <v>58</v>
      </c>
      <c r="E24" s="27">
        <v>2</v>
      </c>
      <c r="F24" s="30">
        <v>1459.4200000000003</v>
      </c>
      <c r="G24" s="30">
        <v>-42.050000000000004</v>
      </c>
      <c r="H24" s="29">
        <f t="shared" si="1"/>
        <v>2.8812816050211725E-2</v>
      </c>
      <c r="I24" s="29">
        <f t="shared" si="2"/>
        <v>0.15501411575590138</v>
      </c>
      <c r="J24" s="30">
        <f t="shared" si="5"/>
        <v>226.23070081647762</v>
      </c>
      <c r="K24" s="30">
        <f t="shared" si="3"/>
        <v>3.900529324422028</v>
      </c>
      <c r="L24" s="27">
        <v>109</v>
      </c>
      <c r="M24" s="31">
        <f t="shared" si="6"/>
        <v>0.5321100917431193</v>
      </c>
      <c r="N24" s="27">
        <v>387</v>
      </c>
      <c r="O24" s="32">
        <f t="shared" ref="O24:P24" si="32">D24/7</f>
        <v>8.2857142857142865</v>
      </c>
      <c r="P24" s="32">
        <f t="shared" si="32"/>
        <v>0.2857142857142857</v>
      </c>
      <c r="Q24" s="27">
        <f t="shared" si="8"/>
        <v>45</v>
      </c>
      <c r="R24" s="27"/>
      <c r="S24" s="33">
        <v>1.6461038961038901</v>
      </c>
      <c r="T24" s="26">
        <v>1400</v>
      </c>
      <c r="U24" s="34">
        <v>100</v>
      </c>
      <c r="V24" s="35" t="s">
        <v>202</v>
      </c>
      <c r="W24" s="26">
        <v>4</v>
      </c>
      <c r="X24" s="36">
        <f t="shared" si="9"/>
        <v>6.8965517241379309E-2</v>
      </c>
      <c r="Y24" s="37">
        <f t="shared" si="10"/>
        <v>10.512500000000001</v>
      </c>
      <c r="Z24" s="26">
        <v>0</v>
      </c>
      <c r="AA24" s="26" t="s">
        <v>37</v>
      </c>
      <c r="AB24" s="38">
        <f t="shared" si="11"/>
        <v>-0.69</v>
      </c>
      <c r="AC24" s="39">
        <v>0.41976557291666661</v>
      </c>
      <c r="AD24" s="37">
        <f t="shared" si="12"/>
        <v>-33.598036456249993</v>
      </c>
      <c r="AE24" s="37">
        <v>-7.7</v>
      </c>
      <c r="AF24" s="37">
        <v>-8.4832459090909094</v>
      </c>
      <c r="AG24" s="37">
        <v>0</v>
      </c>
    </row>
    <row r="25" spans="1:33" ht="15.75" customHeight="1" x14ac:dyDescent="0.2">
      <c r="A25" s="40" t="s">
        <v>73</v>
      </c>
      <c r="B25" s="40" t="s">
        <v>204</v>
      </c>
      <c r="C25" s="14">
        <f t="shared" si="4"/>
        <v>24.99</v>
      </c>
      <c r="D25" s="15">
        <v>42</v>
      </c>
      <c r="E25" s="15">
        <v>0</v>
      </c>
      <c r="F25" s="16">
        <v>1049.58</v>
      </c>
      <c r="G25" s="16">
        <v>-41.15</v>
      </c>
      <c r="H25" s="29">
        <f t="shared" si="1"/>
        <v>3.920615865393777E-2</v>
      </c>
      <c r="I25" s="29">
        <f t="shared" si="2"/>
        <v>0.14015452599492167</v>
      </c>
      <c r="J25" s="30">
        <f t="shared" si="5"/>
        <v>147.10338739374987</v>
      </c>
      <c r="K25" s="30">
        <f t="shared" si="3"/>
        <v>3.5024616046130923</v>
      </c>
      <c r="L25" s="15">
        <v>141</v>
      </c>
      <c r="M25" s="31">
        <f t="shared" si="6"/>
        <v>0.2978723404255319</v>
      </c>
      <c r="N25" s="15">
        <v>335</v>
      </c>
      <c r="O25" s="32">
        <f t="shared" ref="O25:P25" si="33">D25/7</f>
        <v>6</v>
      </c>
      <c r="P25" s="32">
        <f t="shared" si="33"/>
        <v>0</v>
      </c>
      <c r="Q25" s="27">
        <f t="shared" si="8"/>
        <v>55</v>
      </c>
      <c r="R25" s="27"/>
      <c r="S25" s="41">
        <v>2.1050463439752831</v>
      </c>
      <c r="T25" s="26">
        <v>1300</v>
      </c>
      <c r="U25" s="34" t="s">
        <v>34</v>
      </c>
      <c r="V25" s="35" t="s">
        <v>34</v>
      </c>
      <c r="W25" s="40">
        <v>7</v>
      </c>
      <c r="X25" s="36">
        <f t="shared" si="9"/>
        <v>0.16666666666666666</v>
      </c>
      <c r="Y25" s="37">
        <f t="shared" si="10"/>
        <v>5.8785714285714281</v>
      </c>
      <c r="Z25" s="40">
        <v>0</v>
      </c>
      <c r="AA25" s="26" t="s">
        <v>37</v>
      </c>
      <c r="AB25" s="38">
        <f t="shared" si="11"/>
        <v>-0.69</v>
      </c>
      <c r="AC25" s="39">
        <v>0.41976557291666661</v>
      </c>
      <c r="AD25" s="37">
        <f t="shared" si="12"/>
        <v>-24.329612606249995</v>
      </c>
      <c r="AE25" s="42">
        <v>-7.7</v>
      </c>
      <c r="AF25" s="42">
        <v>-8.48</v>
      </c>
      <c r="AG25" s="42">
        <v>0</v>
      </c>
    </row>
    <row r="26" spans="1:33" ht="15.75" customHeight="1" x14ac:dyDescent="0.2">
      <c r="A26" s="40" t="s">
        <v>75</v>
      </c>
      <c r="B26" s="40" t="s">
        <v>205</v>
      </c>
      <c r="C26" s="14">
        <f t="shared" si="4"/>
        <v>24.99</v>
      </c>
      <c r="D26" s="15">
        <v>67</v>
      </c>
      <c r="E26" s="15">
        <v>1</v>
      </c>
      <c r="F26" s="16">
        <v>1674.33</v>
      </c>
      <c r="G26" s="16">
        <v>-51.109999999999992</v>
      </c>
      <c r="H26" s="29">
        <f t="shared" si="1"/>
        <v>3.0525643093058115E-2</v>
      </c>
      <c r="I26" s="29">
        <f t="shared" si="2"/>
        <v>0.16951347656616925</v>
      </c>
      <c r="J26" s="30">
        <f t="shared" si="5"/>
        <v>283.82149921903414</v>
      </c>
      <c r="K26" s="30">
        <f t="shared" si="3"/>
        <v>4.2361417793885696</v>
      </c>
      <c r="L26" s="15">
        <v>117</v>
      </c>
      <c r="M26" s="31">
        <f t="shared" si="6"/>
        <v>0.57264957264957261</v>
      </c>
      <c r="N26" s="15">
        <v>284</v>
      </c>
      <c r="O26" s="32">
        <f t="shared" ref="O26:P26" si="34">D26/7</f>
        <v>9.5714285714285712</v>
      </c>
      <c r="P26" s="32">
        <f t="shared" si="34"/>
        <v>0.14285714285714285</v>
      </c>
      <c r="Q26" s="27">
        <f t="shared" si="8"/>
        <v>29</v>
      </c>
      <c r="R26" s="27"/>
      <c r="S26" s="41">
        <v>1.298799747315224</v>
      </c>
      <c r="T26" s="26">
        <v>1300</v>
      </c>
      <c r="U26" s="34" t="s">
        <v>34</v>
      </c>
      <c r="V26" s="35" t="s">
        <v>34</v>
      </c>
      <c r="W26" s="40">
        <v>13</v>
      </c>
      <c r="X26" s="36">
        <f t="shared" si="9"/>
        <v>0.19402985074626866</v>
      </c>
      <c r="Y26" s="37">
        <f t="shared" si="10"/>
        <v>3.931538461538461</v>
      </c>
      <c r="Z26" s="40">
        <v>0</v>
      </c>
      <c r="AA26" s="26" t="s">
        <v>37</v>
      </c>
      <c r="AB26" s="38">
        <f t="shared" si="11"/>
        <v>-0.69</v>
      </c>
      <c r="AC26" s="40">
        <v>0.41976557291666661</v>
      </c>
      <c r="AD26" s="37">
        <f t="shared" si="12"/>
        <v>-38.811524871874994</v>
      </c>
      <c r="AE26" s="42">
        <v>-7.18</v>
      </c>
      <c r="AF26" s="42">
        <v>-8.4832459090909094</v>
      </c>
      <c r="AG26" s="42">
        <v>0</v>
      </c>
    </row>
    <row r="27" spans="1:33" ht="15.75" customHeight="1" x14ac:dyDescent="0.2">
      <c r="A27" s="40" t="s">
        <v>77</v>
      </c>
      <c r="B27" s="40" t="s">
        <v>53</v>
      </c>
      <c r="C27" s="14">
        <f t="shared" si="4"/>
        <v>24.156999999999996</v>
      </c>
      <c r="D27" s="15">
        <v>30</v>
      </c>
      <c r="E27" s="15">
        <v>0</v>
      </c>
      <c r="F27" s="16">
        <v>724.70999999999992</v>
      </c>
      <c r="G27" s="16">
        <v>-41.96</v>
      </c>
      <c r="H27" s="29">
        <f t="shared" si="1"/>
        <v>5.7899021677636581E-2</v>
      </c>
      <c r="I27" s="29">
        <f t="shared" si="2"/>
        <v>0.11972765383190885</v>
      </c>
      <c r="J27" s="30">
        <f t="shared" si="5"/>
        <v>86.767828008522656</v>
      </c>
      <c r="K27" s="30">
        <f t="shared" si="3"/>
        <v>2.8922609336174219</v>
      </c>
      <c r="L27" s="15">
        <v>108</v>
      </c>
      <c r="M27" s="31">
        <f t="shared" si="6"/>
        <v>0.27777777777777779</v>
      </c>
      <c r="N27" s="15">
        <v>347</v>
      </c>
      <c r="O27" s="32">
        <f t="shared" ref="O27:P27" si="35">D27/7</f>
        <v>4.2857142857142856</v>
      </c>
      <c r="P27" s="32">
        <f t="shared" si="35"/>
        <v>0</v>
      </c>
      <c r="Q27" s="27">
        <f t="shared" si="8"/>
        <v>80</v>
      </c>
      <c r="R27" s="27"/>
      <c r="S27" s="41">
        <v>1.391727493917275</v>
      </c>
      <c r="T27" s="26">
        <v>1300</v>
      </c>
      <c r="U27" s="34" t="s">
        <v>34</v>
      </c>
      <c r="V27" s="35" t="s">
        <v>34</v>
      </c>
      <c r="W27" s="40">
        <v>10</v>
      </c>
      <c r="X27" s="36">
        <f t="shared" si="9"/>
        <v>0.33333333333333331</v>
      </c>
      <c r="Y27" s="37">
        <f t="shared" si="10"/>
        <v>4.1959999999999997</v>
      </c>
      <c r="Z27" s="40">
        <v>0</v>
      </c>
      <c r="AA27" s="26" t="s">
        <v>37</v>
      </c>
      <c r="AB27" s="38">
        <f t="shared" si="11"/>
        <v>-0.69</v>
      </c>
      <c r="AC27" s="39">
        <v>0.41976557291666661</v>
      </c>
      <c r="AD27" s="37">
        <f t="shared" si="12"/>
        <v>-17.378294718749995</v>
      </c>
      <c r="AE27" s="42">
        <v>-7.18</v>
      </c>
      <c r="AF27" s="42">
        <v>-8.4832459090909094</v>
      </c>
      <c r="AG27" s="42">
        <v>0</v>
      </c>
    </row>
    <row r="28" spans="1:33" ht="15.75" customHeight="1" x14ac:dyDescent="0.2">
      <c r="A28" s="40" t="s">
        <v>79</v>
      </c>
      <c r="B28" s="40" t="s">
        <v>206</v>
      </c>
      <c r="C28" s="14">
        <f t="shared" si="4"/>
        <v>24.99</v>
      </c>
      <c r="D28" s="15">
        <v>31</v>
      </c>
      <c r="E28" s="15">
        <v>1</v>
      </c>
      <c r="F28" s="16">
        <v>774.68999999999994</v>
      </c>
      <c r="G28" s="16">
        <v>-41.390000000000008</v>
      </c>
      <c r="H28" s="29">
        <f t="shared" si="1"/>
        <v>5.3427822742000038E-2</v>
      </c>
      <c r="I28" s="29">
        <f t="shared" si="2"/>
        <v>0.1466112969172273</v>
      </c>
      <c r="J28" s="30">
        <f t="shared" si="5"/>
        <v>113.5783056088068</v>
      </c>
      <c r="K28" s="30">
        <f t="shared" si="3"/>
        <v>3.6638163099615095</v>
      </c>
      <c r="L28" s="15">
        <v>101</v>
      </c>
      <c r="M28" s="31">
        <f t="shared" si="6"/>
        <v>0.30693069306930693</v>
      </c>
      <c r="N28" s="15">
        <v>313</v>
      </c>
      <c r="O28" s="32">
        <f t="shared" ref="O28:P28" si="36">D28/7</f>
        <v>4.4285714285714288</v>
      </c>
      <c r="P28" s="32">
        <f t="shared" si="36"/>
        <v>0.14285714285714285</v>
      </c>
      <c r="Q28" s="27">
        <f t="shared" si="8"/>
        <v>68</v>
      </c>
      <c r="R28" s="27"/>
      <c r="S28" s="41">
        <v>1.6450704225352111</v>
      </c>
      <c r="T28" s="40">
        <v>500</v>
      </c>
      <c r="U28" s="22">
        <v>800</v>
      </c>
      <c r="V28" s="1" t="s">
        <v>207</v>
      </c>
      <c r="W28" s="40">
        <v>5</v>
      </c>
      <c r="X28" s="36">
        <f t="shared" si="9"/>
        <v>0.16129032258064516</v>
      </c>
      <c r="Y28" s="37">
        <f t="shared" si="10"/>
        <v>6.8983333333333343</v>
      </c>
      <c r="Z28" s="40">
        <v>1</v>
      </c>
      <c r="AA28" s="26" t="s">
        <v>37</v>
      </c>
      <c r="AB28" s="38">
        <f t="shared" si="11"/>
        <v>-0.69</v>
      </c>
      <c r="AC28" s="39">
        <v>0.41976557291666661</v>
      </c>
      <c r="AD28" s="37">
        <f t="shared" si="12"/>
        <v>-17.957571209374997</v>
      </c>
      <c r="AE28" s="42">
        <v>-7.18</v>
      </c>
      <c r="AF28" s="42">
        <v>-8.4832459090909094</v>
      </c>
      <c r="AG28" s="42">
        <v>0</v>
      </c>
    </row>
    <row r="29" spans="1:33" ht="15.75" customHeight="1" x14ac:dyDescent="0.2">
      <c r="A29" s="26" t="s">
        <v>82</v>
      </c>
      <c r="B29" s="26" t="s">
        <v>123</v>
      </c>
      <c r="C29" s="14">
        <f t="shared" si="4"/>
        <v>24.99</v>
      </c>
      <c r="D29" s="27">
        <v>49</v>
      </c>
      <c r="E29" s="27">
        <v>0</v>
      </c>
      <c r="F29" s="30">
        <v>1224.51</v>
      </c>
      <c r="G29" s="30">
        <v>-64.53</v>
      </c>
      <c r="H29" s="29">
        <f t="shared" si="1"/>
        <v>5.2698630472597201E-2</v>
      </c>
      <c r="I29" s="29">
        <f t="shared" si="2"/>
        <v>0.14734048918663015</v>
      </c>
      <c r="J29" s="30">
        <f t="shared" si="5"/>
        <v>180.41990241392048</v>
      </c>
      <c r="K29" s="30">
        <f t="shared" si="3"/>
        <v>3.6820388247738873</v>
      </c>
      <c r="L29" s="27">
        <v>120</v>
      </c>
      <c r="M29" s="31">
        <f t="shared" si="6"/>
        <v>0.40833333333333333</v>
      </c>
      <c r="N29" s="15">
        <v>259</v>
      </c>
      <c r="O29" s="32">
        <f t="shared" ref="O29:P29" si="37">D29/7</f>
        <v>7</v>
      </c>
      <c r="P29" s="32">
        <f t="shared" si="37"/>
        <v>0</v>
      </c>
      <c r="Q29" s="27">
        <f t="shared" si="8"/>
        <v>37</v>
      </c>
      <c r="R29" s="27"/>
      <c r="S29" s="41">
        <v>2.0414937759336098</v>
      </c>
      <c r="T29" s="40" t="s">
        <v>34</v>
      </c>
      <c r="U29" s="22" t="s">
        <v>34</v>
      </c>
      <c r="V29" s="1" t="s">
        <v>34</v>
      </c>
      <c r="W29" s="40">
        <v>11</v>
      </c>
      <c r="X29" s="36">
        <f t="shared" si="9"/>
        <v>0.22448979591836735</v>
      </c>
      <c r="Y29" s="37">
        <f t="shared" si="10"/>
        <v>5.8663636363636362</v>
      </c>
      <c r="Z29" s="40">
        <v>0</v>
      </c>
      <c r="AA29" s="26" t="s">
        <v>37</v>
      </c>
      <c r="AB29" s="38">
        <f t="shared" si="11"/>
        <v>-0.69</v>
      </c>
      <c r="AC29" s="39">
        <v>0.41976557291666661</v>
      </c>
      <c r="AD29" s="37">
        <f t="shared" si="12"/>
        <v>-28.384548040624992</v>
      </c>
      <c r="AE29" s="37">
        <v>-7.18</v>
      </c>
      <c r="AF29" s="42">
        <v>-8.4832459090909094</v>
      </c>
      <c r="AG29" s="37">
        <v>0</v>
      </c>
    </row>
    <row r="30" spans="1:33" ht="15.75" customHeight="1" x14ac:dyDescent="0.2">
      <c r="A30" s="40" t="s">
        <v>84</v>
      </c>
      <c r="B30" s="40" t="s">
        <v>124</v>
      </c>
      <c r="C30" s="14">
        <f t="shared" si="4"/>
        <v>24.990000000000006</v>
      </c>
      <c r="D30" s="15">
        <v>40</v>
      </c>
      <c r="E30" s="15">
        <v>0</v>
      </c>
      <c r="F30" s="16">
        <v>999.60000000000025</v>
      </c>
      <c r="G30" s="16">
        <v>-56.56</v>
      </c>
      <c r="H30" s="29">
        <f t="shared" si="1"/>
        <v>5.6582633053221275E-2</v>
      </c>
      <c r="I30" s="29">
        <f t="shared" si="2"/>
        <v>0.13079574507302927</v>
      </c>
      <c r="J30" s="30">
        <f t="shared" si="5"/>
        <v>130.7434267750001</v>
      </c>
      <c r="K30" s="30">
        <f t="shared" si="3"/>
        <v>3.2685856693750024</v>
      </c>
      <c r="L30" s="15">
        <v>102</v>
      </c>
      <c r="M30" s="31">
        <f t="shared" si="6"/>
        <v>0.39215686274509803</v>
      </c>
      <c r="N30" s="15">
        <v>220</v>
      </c>
      <c r="O30" s="32">
        <f t="shared" ref="O30:P30" si="38">D30/7</f>
        <v>5.7142857142857144</v>
      </c>
      <c r="P30" s="32">
        <f t="shared" si="38"/>
        <v>0</v>
      </c>
      <c r="Q30" s="27">
        <f t="shared" si="8"/>
        <v>38</v>
      </c>
      <c r="R30" s="27"/>
      <c r="S30" s="41">
        <v>2.273049645390071</v>
      </c>
      <c r="T30" s="26">
        <v>2100</v>
      </c>
      <c r="U30" s="34" t="s">
        <v>34</v>
      </c>
      <c r="V30" s="35" t="s">
        <v>208</v>
      </c>
      <c r="W30" s="40">
        <v>13</v>
      </c>
      <c r="X30" s="36">
        <f t="shared" si="9"/>
        <v>0.32500000000000001</v>
      </c>
      <c r="Y30" s="37">
        <f t="shared" si="10"/>
        <v>4.04</v>
      </c>
      <c r="Z30" s="40">
        <v>1</v>
      </c>
      <c r="AA30" s="26" t="s">
        <v>37</v>
      </c>
      <c r="AB30" s="38">
        <f t="shared" si="11"/>
        <v>-0.69</v>
      </c>
      <c r="AC30" s="39">
        <v>0.41976557291666661</v>
      </c>
      <c r="AD30" s="37">
        <f t="shared" si="12"/>
        <v>-23.171059624999994</v>
      </c>
      <c r="AE30" s="42">
        <v>-7.18</v>
      </c>
      <c r="AF30" s="42">
        <v>-8.7996378400000008</v>
      </c>
      <c r="AG30" s="42">
        <v>0</v>
      </c>
    </row>
    <row r="31" spans="1:33" ht="15.75" customHeight="1" x14ac:dyDescent="0.2">
      <c r="A31" s="40" t="s">
        <v>87</v>
      </c>
      <c r="B31" s="40" t="s">
        <v>209</v>
      </c>
      <c r="C31" s="14">
        <f t="shared" si="4"/>
        <v>24.990000000000006</v>
      </c>
      <c r="D31" s="15">
        <v>55</v>
      </c>
      <c r="E31" s="15">
        <v>1</v>
      </c>
      <c r="F31" s="16">
        <v>1374.4500000000003</v>
      </c>
      <c r="G31" s="43">
        <v>-73.429999999999993</v>
      </c>
      <c r="H31" s="29">
        <f t="shared" si="1"/>
        <v>5.3425006366182824E-2</v>
      </c>
      <c r="I31" s="29">
        <f t="shared" si="2"/>
        <v>0.13395337176006772</v>
      </c>
      <c r="J31" s="30">
        <f t="shared" si="5"/>
        <v>184.11221181562513</v>
      </c>
      <c r="K31" s="30">
        <f t="shared" si="3"/>
        <v>3.3474947602840932</v>
      </c>
      <c r="L31" s="15">
        <v>137</v>
      </c>
      <c r="M31" s="31">
        <f t="shared" si="6"/>
        <v>0.40145985401459855</v>
      </c>
      <c r="N31" s="15">
        <v>169</v>
      </c>
      <c r="O31" s="32">
        <f t="shared" ref="O31:P31" si="39">D31/7</f>
        <v>7.8571428571428568</v>
      </c>
      <c r="P31" s="32">
        <f t="shared" si="39"/>
        <v>0.14285714285714285</v>
      </c>
      <c r="Q31" s="27">
        <f t="shared" si="8"/>
        <v>21</v>
      </c>
      <c r="R31" s="27"/>
      <c r="S31" s="41">
        <v>1.5546742209631701</v>
      </c>
      <c r="T31" s="40">
        <v>678</v>
      </c>
      <c r="U31" s="22">
        <v>1150</v>
      </c>
      <c r="V31" s="1" t="s">
        <v>210</v>
      </c>
      <c r="W31" s="40">
        <v>24</v>
      </c>
      <c r="X31" s="36">
        <f t="shared" si="9"/>
        <v>0.43636363636363634</v>
      </c>
      <c r="Y31" s="37">
        <f t="shared" si="10"/>
        <v>3.0595833333333329</v>
      </c>
      <c r="Z31" s="40">
        <v>0</v>
      </c>
      <c r="AA31" s="40" t="s">
        <v>37</v>
      </c>
      <c r="AB31" s="38">
        <f t="shared" si="11"/>
        <v>-0.69</v>
      </c>
      <c r="AC31" s="44">
        <v>0.41976557291666661</v>
      </c>
      <c r="AD31" s="37">
        <f t="shared" si="12"/>
        <v>-31.860206984374994</v>
      </c>
      <c r="AE31" s="45">
        <v>-7.18</v>
      </c>
      <c r="AF31" s="45">
        <v>-8.7996378400000008</v>
      </c>
      <c r="AG31" s="42">
        <v>0</v>
      </c>
    </row>
    <row r="32" spans="1:33" ht="15.75" customHeight="1" x14ac:dyDescent="0.2">
      <c r="A32" s="40" t="s">
        <v>90</v>
      </c>
      <c r="B32" s="50" t="s">
        <v>211</v>
      </c>
      <c r="C32" s="14">
        <f t="shared" si="4"/>
        <v>27.372352941176469</v>
      </c>
      <c r="D32" s="15">
        <v>34</v>
      </c>
      <c r="E32" s="15">
        <v>1</v>
      </c>
      <c r="F32" s="16">
        <v>930.66</v>
      </c>
      <c r="G32" s="16">
        <v>-38.4</v>
      </c>
      <c r="H32" s="29">
        <f t="shared" si="1"/>
        <v>4.1261040551866419E-2</v>
      </c>
      <c r="I32" s="29">
        <f t="shared" si="2"/>
        <v>0.20378861534690426</v>
      </c>
      <c r="J32" s="30">
        <f t="shared" si="5"/>
        <v>189.65791275874992</v>
      </c>
      <c r="K32" s="30">
        <f t="shared" si="3"/>
        <v>5.5781739046691152</v>
      </c>
      <c r="L32" s="15">
        <v>126</v>
      </c>
      <c r="M32" s="31">
        <f t="shared" si="6"/>
        <v>0.26984126984126983</v>
      </c>
      <c r="N32" s="15">
        <v>142</v>
      </c>
      <c r="O32" s="32">
        <f t="shared" ref="O32:P32" si="40">D32/7</f>
        <v>4.8571428571428568</v>
      </c>
      <c r="P32" s="32">
        <f t="shared" si="40"/>
        <v>0.14285714285714285</v>
      </c>
      <c r="Q32" s="27">
        <f t="shared" si="8"/>
        <v>28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1.6674876847290641</v>
      </c>
      <c r="T32" s="40">
        <f ca="1">IFERROR(__xludf.DUMMYFUNCTION("IFERROR(VLOOKUP($B$2,IMPORTRANGE(""https://docs.google.com/spreadsheets/d/1KiWZV1ko8G7lnRucBRBd29jj3Be6ltMfljMDqzOkQmI/edit#gid=1381463014"",""Lookup!A:D""),4,FALSE),"""")"),678)</f>
        <v>678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S210703  - 450 units 09/17| AGL253  - 700 units 11/01")</f>
        <v>| S210703  - 450 units 09/17| AGL253  - 700 units 11/01</v>
      </c>
      <c r="W32" s="40">
        <v>8</v>
      </c>
      <c r="X32" s="36">
        <f t="shared" si="9"/>
        <v>0.23529411764705882</v>
      </c>
      <c r="Y32" s="37">
        <f t="shared" si="10"/>
        <v>4.8</v>
      </c>
      <c r="Z32" s="40">
        <v>0</v>
      </c>
      <c r="AA32" s="40" t="s">
        <v>37</v>
      </c>
      <c r="AB32" s="38">
        <f t="shared" si="11"/>
        <v>-0.69</v>
      </c>
      <c r="AC32" s="44">
        <v>0.41976557291666661</v>
      </c>
      <c r="AD32" s="37">
        <f t="shared" si="12"/>
        <v>-19.695400681249996</v>
      </c>
      <c r="AE32" s="42">
        <v>-7.18</v>
      </c>
      <c r="AF32" s="42">
        <v>-8.7996378400000008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53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53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53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53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53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53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53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53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53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53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53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53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53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53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53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53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53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53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53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53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53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53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53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53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53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53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53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53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53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53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53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53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53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53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53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53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53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53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53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53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53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53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53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53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53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53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53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53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53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53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53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53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53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53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53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53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53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53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53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53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53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53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53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53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53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53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54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54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54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54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54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54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54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54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54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54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54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54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54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54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54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54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54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54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54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54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54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54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54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54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54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54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54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54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54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54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54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54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54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54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54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54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54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54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54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54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54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54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54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54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54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54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54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54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54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54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54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54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54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54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54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54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54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54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54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54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54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54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54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54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54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54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54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54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54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54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54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54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54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54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54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54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54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54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54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54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54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54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54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54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54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54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54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54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54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54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54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54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V191" s="55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V192" s="55"/>
    </row>
    <row r="193" spans="3:22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V193" s="55"/>
    </row>
    <row r="194" spans="3:22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V194" s="55"/>
    </row>
    <row r="195" spans="3:22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V195" s="55"/>
    </row>
    <row r="196" spans="3:22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V196" s="55"/>
    </row>
    <row r="197" spans="3:22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V197" s="55"/>
    </row>
    <row r="198" spans="3:22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V198" s="55"/>
    </row>
    <row r="199" spans="3:22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V199" s="55"/>
    </row>
    <row r="200" spans="3:22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V200" s="55"/>
    </row>
    <row r="201" spans="3:22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V201" s="55"/>
    </row>
    <row r="202" spans="3:22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V202" s="55"/>
    </row>
    <row r="203" spans="3:22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V203" s="55"/>
    </row>
    <row r="204" spans="3:22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V204" s="55"/>
    </row>
    <row r="205" spans="3:22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  <c r="V205" s="55"/>
    </row>
    <row r="206" spans="3:22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  <c r="V206" s="55"/>
    </row>
    <row r="207" spans="3:22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  <c r="V207" s="55"/>
    </row>
    <row r="208" spans="3:22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  <c r="V208" s="55"/>
    </row>
    <row r="209" spans="3:22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  <c r="V209" s="55"/>
    </row>
    <row r="210" spans="3:22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  <c r="V210" s="55"/>
    </row>
    <row r="211" spans="3:22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  <c r="V211" s="55"/>
    </row>
    <row r="212" spans="3:22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  <c r="V212" s="55"/>
    </row>
    <row r="213" spans="3:22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  <c r="V213" s="55"/>
    </row>
    <row r="214" spans="3:22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  <c r="V214" s="55"/>
    </row>
    <row r="215" spans="3:22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  <c r="V215" s="55"/>
    </row>
    <row r="216" spans="3:22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  <c r="V216" s="55"/>
    </row>
    <row r="217" spans="3:22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  <c r="V217" s="55"/>
    </row>
    <row r="218" spans="3:22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  <c r="V218" s="55"/>
    </row>
    <row r="219" spans="3:22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  <c r="V219" s="55"/>
    </row>
    <row r="220" spans="3:22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  <c r="V220" s="55"/>
    </row>
    <row r="221" spans="3:22" ht="15.75" customHeight="1" x14ac:dyDescent="0.2">
      <c r="R221" s="40"/>
      <c r="S221" s="41"/>
    </row>
    <row r="222" spans="3:22" ht="15.75" customHeight="1" x14ac:dyDescent="0.2">
      <c r="R222" s="40"/>
      <c r="S222" s="41"/>
    </row>
    <row r="223" spans="3:22" ht="15.75" customHeight="1" x14ac:dyDescent="0.2">
      <c r="R223" s="40"/>
      <c r="S223" s="41"/>
    </row>
    <row r="224" spans="3:22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Info!B1:BJ5000""),3,FALSE),"""")"),"Glass Growlers for Beer, 2 Pack - 64 oz Growler with Lids - Great for Home Brewing, Kombucha &amp; More")</f>
        <v>Glass Growlers for Beer, 2 Pack - 64 oz Growler with Lids - Great for Home Brewing, Kombucha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Info!B1:BJ5000""),2,FALSE),"""")"),"B07WDLSGVC")</f>
        <v>B07WDLSGVC</v>
      </c>
      <c r="B2" s="3" t="s">
        <v>212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50" customHeight="1" x14ac:dyDescent="0.2">
      <c r="A3" s="68" t="s">
        <v>31</v>
      </c>
      <c r="B3" s="69"/>
      <c r="C3" s="48">
        <f>((AE32+AF32)/0.85)*-1</f>
        <v>20.460680690196</v>
      </c>
      <c r="D3" s="5">
        <f>SUM(D4:D99767)</f>
        <v>357</v>
      </c>
      <c r="E3" s="5"/>
      <c r="F3" s="6">
        <f t="shared" ref="F3:G3" si="0">SUM(F4:F99767)</f>
        <v>9520.4299999999985</v>
      </c>
      <c r="G3" s="6">
        <f t="shared" si="0"/>
        <v>-8</v>
      </c>
      <c r="H3" s="7">
        <f t="shared" ref="H3:H32" si="1">G3/F3*-1</f>
        <v>8.4029817980910539E-4</v>
      </c>
      <c r="I3" s="8">
        <f t="shared" ref="I3:I32" si="2">J3/F3</f>
        <v>0.3035722492384626</v>
      </c>
      <c r="J3" s="6">
        <f>SUM(J4:J99767)</f>
        <v>2890.138348817336</v>
      </c>
      <c r="K3" s="6">
        <f t="shared" ref="K3:K32" si="3">J3/D3</f>
        <v>8.0956256269393165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Sheet!a1:g5000""),2,FALSE),"""")"),"5.0 - March
5.0 - April
5.0 - May
5.0 - June
5.0 - July
5.0 - Aug
5.0 - Sept
5.0 - Oct
5.0 - Nov
5.0 - Dec
5.0 - Jan
5.0 - Feb")</f>
        <v>5.0 - March
5.0 - April
5.0 - May
5.0 - June
5.0 - July
5.0 - Aug
5.0 - Sept
5.0 - Oct
5.0 - Nov
5.0 - Dec
5.0 - Jan
5.0 -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</v>
      </c>
      <c r="X3" s="7">
        <f>W3/D3</f>
        <v>2.2408963585434174E-2</v>
      </c>
      <c r="Y3" s="6"/>
      <c r="Z3" s="5"/>
      <c r="AA3" s="5"/>
      <c r="AB3" s="5"/>
      <c r="AC3" s="5"/>
      <c r="AD3" s="6">
        <f>SUM(AD4:AD99767)</f>
        <v>-280.38875118266492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Info!B2:BZ3000""),37,FALSE)),"""")*-1"),-10.0715785866666)</f>
        <v>-10.0715785866666</v>
      </c>
      <c r="AG3" s="6">
        <f>SUM(AG4:AG99767)</f>
        <v>0</v>
      </c>
    </row>
    <row r="4" spans="1:33" ht="16" x14ac:dyDescent="0.2">
      <c r="A4" s="1" t="s">
        <v>32</v>
      </c>
      <c r="B4" s="2" t="s">
        <v>213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1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351</v>
      </c>
      <c r="U4" s="2">
        <v>351</v>
      </c>
      <c r="V4" s="21" t="s">
        <v>214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-6.1244888888888891</v>
      </c>
      <c r="AG4" s="24">
        <v>0</v>
      </c>
    </row>
    <row r="5" spans="1:33" ht="15.75" customHeight="1" x14ac:dyDescent="0.2">
      <c r="A5" s="26" t="s">
        <v>35</v>
      </c>
      <c r="B5" s="26"/>
      <c r="C5" s="14">
        <f t="shared" si="4"/>
        <v>26.99</v>
      </c>
      <c r="D5" s="27">
        <v>2</v>
      </c>
      <c r="E5" s="27">
        <v>0</v>
      </c>
      <c r="F5" s="28">
        <v>53.98</v>
      </c>
      <c r="G5" s="28">
        <v>0</v>
      </c>
      <c r="H5" s="29">
        <f t="shared" si="1"/>
        <v>0</v>
      </c>
      <c r="I5" s="29">
        <f t="shared" si="2"/>
        <v>0.33976690602497234</v>
      </c>
      <c r="J5" s="30">
        <f t="shared" si="5"/>
        <v>18.340617587228007</v>
      </c>
      <c r="K5" s="30">
        <f t="shared" si="3"/>
        <v>9.1703087936140033</v>
      </c>
      <c r="L5" s="27">
        <v>34</v>
      </c>
      <c r="M5" s="31">
        <f t="shared" si="6"/>
        <v>5.8823529411764705E-2</v>
      </c>
      <c r="N5" s="27">
        <v>2</v>
      </c>
      <c r="O5" s="32">
        <f t="shared" ref="O5:P5" si="13">D5/7</f>
        <v>0.2857142857142857</v>
      </c>
      <c r="P5" s="32">
        <f t="shared" si="13"/>
        <v>0</v>
      </c>
      <c r="Q5" s="27">
        <f t="shared" si="8"/>
        <v>7</v>
      </c>
      <c r="R5" s="27"/>
      <c r="S5" s="33" t="e">
        <v>#N/A</v>
      </c>
      <c r="T5" s="26">
        <v>351</v>
      </c>
      <c r="U5" s="34">
        <v>351</v>
      </c>
      <c r="V5" s="35" t="s">
        <v>215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0.5121031286210892</v>
      </c>
      <c r="AD5" s="37">
        <f t="shared" si="12"/>
        <v>-1.413404634994206</v>
      </c>
      <c r="AE5" s="37">
        <v>-6.94</v>
      </c>
      <c r="AF5" s="37">
        <v>-6.1244888888888891</v>
      </c>
      <c r="AG5" s="37">
        <v>0</v>
      </c>
    </row>
    <row r="6" spans="1:33" ht="15.75" customHeight="1" x14ac:dyDescent="0.2">
      <c r="A6" s="26" t="s">
        <v>38</v>
      </c>
      <c r="B6" s="26" t="s">
        <v>46</v>
      </c>
      <c r="C6" s="14">
        <f t="shared" si="4"/>
        <v>26.99</v>
      </c>
      <c r="D6" s="27">
        <v>1</v>
      </c>
      <c r="E6" s="27">
        <v>0</v>
      </c>
      <c r="F6" s="28">
        <v>26.99</v>
      </c>
      <c r="G6" s="28">
        <v>-0.08</v>
      </c>
      <c r="H6" s="29">
        <f t="shared" si="1"/>
        <v>2.9640607632456469E-3</v>
      </c>
      <c r="I6" s="29">
        <f t="shared" si="2"/>
        <v>0.33680284526172677</v>
      </c>
      <c r="J6" s="30">
        <f t="shared" si="5"/>
        <v>9.090308793614005</v>
      </c>
      <c r="K6" s="30">
        <f t="shared" si="3"/>
        <v>9.090308793614005</v>
      </c>
      <c r="L6" s="27">
        <v>11</v>
      </c>
      <c r="M6" s="31">
        <f t="shared" si="6"/>
        <v>9.0909090909090912E-2</v>
      </c>
      <c r="N6" s="27">
        <v>2</v>
      </c>
      <c r="O6" s="32">
        <f t="shared" ref="O6:P6" si="14">D6/7</f>
        <v>0.14285714285714285</v>
      </c>
      <c r="P6" s="32">
        <f t="shared" si="14"/>
        <v>0</v>
      </c>
      <c r="Q6" s="27">
        <f t="shared" si="8"/>
        <v>14</v>
      </c>
      <c r="R6" s="27"/>
      <c r="S6" s="33">
        <v>2.61788617886178</v>
      </c>
      <c r="T6" s="26">
        <v>351</v>
      </c>
      <c r="U6" s="34">
        <v>351</v>
      </c>
      <c r="V6" s="35" t="s">
        <v>215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0.5121031286210892</v>
      </c>
      <c r="AD6" s="37">
        <f t="shared" si="12"/>
        <v>-0.70670231749710299</v>
      </c>
      <c r="AE6" s="37">
        <v>-6.94</v>
      </c>
      <c r="AF6" s="37">
        <v>-6.1244888888888891</v>
      </c>
      <c r="AG6" s="37">
        <v>0</v>
      </c>
    </row>
    <row r="7" spans="1:33" ht="15.75" customHeight="1" x14ac:dyDescent="0.2">
      <c r="A7" s="26" t="s">
        <v>41</v>
      </c>
      <c r="B7" s="26" t="s">
        <v>216</v>
      </c>
      <c r="C7" s="14">
        <f t="shared" si="4"/>
        <v>26.99</v>
      </c>
      <c r="D7" s="27">
        <v>4</v>
      </c>
      <c r="E7" s="27">
        <v>0</v>
      </c>
      <c r="F7" s="28">
        <v>107.96</v>
      </c>
      <c r="G7" s="28">
        <v>-0.26</v>
      </c>
      <c r="H7" s="29">
        <f t="shared" si="1"/>
        <v>2.4082993701370881E-3</v>
      </c>
      <c r="I7" s="29">
        <f t="shared" si="2"/>
        <v>0.3373889120456135</v>
      </c>
      <c r="J7" s="30">
        <f t="shared" si="5"/>
        <v>36.424506944444431</v>
      </c>
      <c r="K7" s="30">
        <f t="shared" si="3"/>
        <v>9.1061267361111078</v>
      </c>
      <c r="L7" s="27">
        <v>76</v>
      </c>
      <c r="M7" s="31">
        <f t="shared" si="6"/>
        <v>5.2631578947368418E-2</v>
      </c>
      <c r="N7" s="27">
        <v>349</v>
      </c>
      <c r="O7" s="32">
        <f t="shared" ref="O7:P7" si="15">D7/7</f>
        <v>0.5714285714285714</v>
      </c>
      <c r="P7" s="32">
        <f t="shared" si="15"/>
        <v>0</v>
      </c>
      <c r="Q7" s="27">
        <f t="shared" si="8"/>
        <v>610</v>
      </c>
      <c r="R7" s="27"/>
      <c r="S7" s="33">
        <v>1.06517690875232</v>
      </c>
      <c r="T7" s="26">
        <v>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0.51151041666666663</v>
      </c>
      <c r="AD7" s="37">
        <f t="shared" si="12"/>
        <v>-2.8235374999999996</v>
      </c>
      <c r="AE7" s="37">
        <v>-6.94</v>
      </c>
      <c r="AF7" s="37">
        <v>-6.1244888888888891</v>
      </c>
      <c r="AG7" s="37">
        <v>0</v>
      </c>
    </row>
    <row r="8" spans="1:33" ht="15.75" customHeight="1" x14ac:dyDescent="0.2">
      <c r="A8" s="26" t="s">
        <v>43</v>
      </c>
      <c r="B8" s="26" t="s">
        <v>46</v>
      </c>
      <c r="C8" s="14">
        <f t="shared" si="4"/>
        <v>26.990000000000006</v>
      </c>
      <c r="D8" s="27">
        <v>33</v>
      </c>
      <c r="E8" s="27">
        <v>0</v>
      </c>
      <c r="F8" s="28">
        <v>890.67000000000019</v>
      </c>
      <c r="G8" s="28">
        <v>-0.18</v>
      </c>
      <c r="H8" s="29">
        <f t="shared" si="1"/>
        <v>2.0209505203947585E-4</v>
      </c>
      <c r="I8" s="29">
        <f t="shared" si="2"/>
        <v>0.32009901925855927</v>
      </c>
      <c r="J8" s="30">
        <f t="shared" si="5"/>
        <v>285.10259348302105</v>
      </c>
      <c r="K8" s="30">
        <f t="shared" si="3"/>
        <v>8.6394725297885167</v>
      </c>
      <c r="L8" s="27">
        <v>64</v>
      </c>
      <c r="M8" s="31">
        <f t="shared" si="6"/>
        <v>0.515625</v>
      </c>
      <c r="N8" s="27">
        <v>320</v>
      </c>
      <c r="O8" s="32">
        <f t="shared" ref="O8:P8" si="16">D8/7</f>
        <v>4.7142857142857144</v>
      </c>
      <c r="P8" s="32">
        <f t="shared" si="16"/>
        <v>0</v>
      </c>
      <c r="Q8" s="27">
        <f t="shared" si="8"/>
        <v>67</v>
      </c>
      <c r="R8" s="27"/>
      <c r="S8" s="33">
        <v>1.23529411764705</v>
      </c>
      <c r="T8" s="26">
        <v>0</v>
      </c>
      <c r="U8" s="34" t="s">
        <v>34</v>
      </c>
      <c r="V8" s="35" t="s">
        <v>34</v>
      </c>
      <c r="W8" s="26">
        <v>1</v>
      </c>
      <c r="X8" s="36">
        <f t="shared" si="9"/>
        <v>3.0303030303030304E-2</v>
      </c>
      <c r="Y8" s="37">
        <f t="shared" si="10"/>
        <v>0.18</v>
      </c>
      <c r="Z8" s="26">
        <v>0</v>
      </c>
      <c r="AA8" s="26" t="s">
        <v>37</v>
      </c>
      <c r="AB8" s="38">
        <f t="shared" si="11"/>
        <v>-0.69</v>
      </c>
      <c r="AC8" s="39">
        <v>0.6207050179398147</v>
      </c>
      <c r="AD8" s="37">
        <f t="shared" si="12"/>
        <v>-28.266906516979159</v>
      </c>
      <c r="AE8" s="37">
        <v>-7.32</v>
      </c>
      <c r="AF8" s="37">
        <v>-6.12</v>
      </c>
      <c r="AG8" s="37">
        <v>0</v>
      </c>
    </row>
    <row r="9" spans="1:33" ht="15.75" customHeight="1" x14ac:dyDescent="0.2">
      <c r="A9" s="26" t="s">
        <v>45</v>
      </c>
      <c r="B9" s="26" t="s">
        <v>46</v>
      </c>
      <c r="C9" s="14">
        <f t="shared" si="4"/>
        <v>26.990000000000006</v>
      </c>
      <c r="D9" s="27">
        <v>24</v>
      </c>
      <c r="E9" s="27">
        <v>0</v>
      </c>
      <c r="F9" s="28">
        <v>647.7600000000001</v>
      </c>
      <c r="G9" s="28">
        <v>-0.61</v>
      </c>
      <c r="H9" s="29">
        <f t="shared" si="1"/>
        <v>9.4170680498950209E-4</v>
      </c>
      <c r="I9" s="29">
        <f t="shared" si="2"/>
        <v>0.30467577982457511</v>
      </c>
      <c r="J9" s="30">
        <f t="shared" si="5"/>
        <v>197.35678313916679</v>
      </c>
      <c r="K9" s="30">
        <f t="shared" si="3"/>
        <v>8.2231992974652837</v>
      </c>
      <c r="L9" s="27">
        <v>95</v>
      </c>
      <c r="M9" s="31">
        <f t="shared" si="6"/>
        <v>0.25263157894736843</v>
      </c>
      <c r="N9" s="27">
        <v>292</v>
      </c>
      <c r="O9" s="32">
        <f t="shared" ref="O9:P9" si="17">D9/7</f>
        <v>3.4285714285714284</v>
      </c>
      <c r="P9" s="32">
        <f t="shared" si="17"/>
        <v>0</v>
      </c>
      <c r="Q9" s="27">
        <f t="shared" si="8"/>
        <v>85</v>
      </c>
      <c r="R9" s="27"/>
      <c r="S9" s="33">
        <v>1.40350877192982</v>
      </c>
      <c r="T9" s="26">
        <v>0</v>
      </c>
      <c r="U9" s="34" t="s">
        <v>34</v>
      </c>
      <c r="V9" s="35" t="s">
        <v>34</v>
      </c>
      <c r="W9" s="26">
        <v>2</v>
      </c>
      <c r="X9" s="36">
        <f t="shared" si="9"/>
        <v>8.3333333333333329E-2</v>
      </c>
      <c r="Y9" s="37">
        <f t="shared" si="10"/>
        <v>0.20333333333333334</v>
      </c>
      <c r="Z9" s="26">
        <v>1</v>
      </c>
      <c r="AA9" s="26" t="s">
        <v>37</v>
      </c>
      <c r="AB9" s="38">
        <f t="shared" si="11"/>
        <v>-0.69</v>
      </c>
      <c r="AC9" s="39">
        <v>0.6207050179398147</v>
      </c>
      <c r="AD9" s="37">
        <f t="shared" si="12"/>
        <v>-20.557750194166662</v>
      </c>
      <c r="AE9" s="37">
        <v>-7.32</v>
      </c>
      <c r="AF9" s="37">
        <v>-6.5163111111111096</v>
      </c>
      <c r="AG9" s="37">
        <v>0</v>
      </c>
    </row>
    <row r="10" spans="1:33" ht="15.75" customHeight="1" x14ac:dyDescent="0.2">
      <c r="A10" s="26" t="s">
        <v>48</v>
      </c>
      <c r="B10" s="26" t="s">
        <v>217</v>
      </c>
      <c r="C10" s="14">
        <f t="shared" si="4"/>
        <v>26.990000000000006</v>
      </c>
      <c r="D10" s="27">
        <v>15</v>
      </c>
      <c r="E10" s="27">
        <v>1</v>
      </c>
      <c r="F10" s="28">
        <v>404.85000000000008</v>
      </c>
      <c r="G10" s="28">
        <v>-0.47000000000000008</v>
      </c>
      <c r="H10" s="29">
        <f t="shared" si="1"/>
        <v>1.1609237989378782E-3</v>
      </c>
      <c r="I10" s="29">
        <f t="shared" si="2"/>
        <v>0.30445656283062655</v>
      </c>
      <c r="J10" s="30">
        <f t="shared" si="5"/>
        <v>123.25923946197919</v>
      </c>
      <c r="K10" s="30">
        <f t="shared" si="3"/>
        <v>8.2172826307986124</v>
      </c>
      <c r="L10" s="27">
        <v>84</v>
      </c>
      <c r="M10" s="31">
        <f t="shared" si="6"/>
        <v>0.17857142857142858</v>
      </c>
      <c r="N10" s="27">
        <v>278</v>
      </c>
      <c r="O10" s="32">
        <f t="shared" ref="O10:P10" si="18">D10/7</f>
        <v>2.1428571428571428</v>
      </c>
      <c r="P10" s="32">
        <f t="shared" si="18"/>
        <v>0.14285714285714285</v>
      </c>
      <c r="Q10" s="27">
        <f t="shared" si="8"/>
        <v>121</v>
      </c>
      <c r="R10" s="27"/>
      <c r="S10" s="33">
        <v>1.4347826086956501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0.6207050179398147</v>
      </c>
      <c r="AD10" s="37">
        <f t="shared" si="12"/>
        <v>-12.848593871354163</v>
      </c>
      <c r="AE10" s="37">
        <v>-7.32</v>
      </c>
      <c r="AF10" s="37">
        <v>-6.5163111111111096</v>
      </c>
      <c r="AG10" s="37">
        <v>0</v>
      </c>
    </row>
    <row r="11" spans="1:33" ht="15.75" customHeight="1" x14ac:dyDescent="0.2">
      <c r="A11" s="26" t="s">
        <v>50</v>
      </c>
      <c r="B11" s="26" t="s">
        <v>217</v>
      </c>
      <c r="C11" s="14">
        <f t="shared" si="4"/>
        <v>26.990000000000006</v>
      </c>
      <c r="D11" s="27">
        <v>15</v>
      </c>
      <c r="E11" s="27">
        <v>0</v>
      </c>
      <c r="F11" s="28">
        <v>404.85000000000008</v>
      </c>
      <c r="G11" s="28">
        <v>-0.55000000000000004</v>
      </c>
      <c r="H11" s="29">
        <f t="shared" si="1"/>
        <v>1.3585278498209211E-3</v>
      </c>
      <c r="I11" s="29">
        <f t="shared" si="2"/>
        <v>0.30425895877974357</v>
      </c>
      <c r="J11" s="30">
        <f t="shared" si="5"/>
        <v>123.17923946197921</v>
      </c>
      <c r="K11" s="30">
        <f t="shared" si="3"/>
        <v>8.2119492974652797</v>
      </c>
      <c r="L11" s="27">
        <v>66</v>
      </c>
      <c r="M11" s="31">
        <f t="shared" si="6"/>
        <v>0.22727272727272727</v>
      </c>
      <c r="N11" s="27">
        <v>266</v>
      </c>
      <c r="O11" s="32">
        <f t="shared" ref="O11:P11" si="19">D11/7</f>
        <v>2.1428571428571428</v>
      </c>
      <c r="P11" s="32">
        <f t="shared" si="19"/>
        <v>0</v>
      </c>
      <c r="Q11" s="27">
        <f t="shared" si="8"/>
        <v>124</v>
      </c>
      <c r="R11" s="27"/>
      <c r="S11" s="33">
        <v>0.71084337349397497</v>
      </c>
      <c r="T11" s="26">
        <v>0</v>
      </c>
      <c r="U11" s="34" t="s">
        <v>34</v>
      </c>
      <c r="V11" s="35" t="s">
        <v>34</v>
      </c>
      <c r="W11" s="26">
        <v>1</v>
      </c>
      <c r="X11" s="36">
        <f t="shared" si="9"/>
        <v>6.6666666666666666E-2</v>
      </c>
      <c r="Y11" s="37">
        <f t="shared" si="10"/>
        <v>0.55000000000000004</v>
      </c>
      <c r="Z11" s="26">
        <v>0</v>
      </c>
      <c r="AA11" s="26" t="s">
        <v>37</v>
      </c>
      <c r="AB11" s="38">
        <f t="shared" si="11"/>
        <v>-0.69</v>
      </c>
      <c r="AC11" s="39">
        <v>0.6207050179398147</v>
      </c>
      <c r="AD11" s="37">
        <f t="shared" si="12"/>
        <v>-12.848593871354163</v>
      </c>
      <c r="AE11" s="37">
        <v>-7.32</v>
      </c>
      <c r="AF11" s="37">
        <v>-6.5163111111111096</v>
      </c>
      <c r="AG11" s="37">
        <v>0</v>
      </c>
    </row>
    <row r="12" spans="1:33" ht="15.75" customHeight="1" x14ac:dyDescent="0.2">
      <c r="A12" s="26" t="s">
        <v>52</v>
      </c>
      <c r="B12" s="26" t="s">
        <v>217</v>
      </c>
      <c r="C12" s="14">
        <f t="shared" si="4"/>
        <v>26.990000000000006</v>
      </c>
      <c r="D12" s="27">
        <v>16</v>
      </c>
      <c r="E12" s="27">
        <v>0</v>
      </c>
      <c r="F12" s="28">
        <v>431.84000000000009</v>
      </c>
      <c r="G12" s="28">
        <v>-0.61</v>
      </c>
      <c r="H12" s="29">
        <f t="shared" si="1"/>
        <v>1.4125602074842531E-3</v>
      </c>
      <c r="I12" s="29">
        <f t="shared" si="2"/>
        <v>0.30420492642208036</v>
      </c>
      <c r="J12" s="30">
        <f t="shared" si="5"/>
        <v>131.36785542611122</v>
      </c>
      <c r="K12" s="30">
        <f t="shared" si="3"/>
        <v>8.2104909641319512</v>
      </c>
      <c r="L12" s="27">
        <v>64</v>
      </c>
      <c r="M12" s="31">
        <f t="shared" si="6"/>
        <v>0.25</v>
      </c>
      <c r="N12" s="27">
        <v>250</v>
      </c>
      <c r="O12" s="32">
        <f t="shared" ref="O12:P12" si="20">D12/7</f>
        <v>2.2857142857142856</v>
      </c>
      <c r="P12" s="32">
        <f t="shared" si="20"/>
        <v>0</v>
      </c>
      <c r="Q12" s="27">
        <f t="shared" si="8"/>
        <v>109</v>
      </c>
      <c r="R12" s="27"/>
      <c r="S12" s="33">
        <v>0.76567656765676495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0.6207050179398147</v>
      </c>
      <c r="AD12" s="37">
        <f t="shared" si="12"/>
        <v>-13.705166796111108</v>
      </c>
      <c r="AE12" s="37">
        <v>-7.32</v>
      </c>
      <c r="AF12" s="37">
        <v>-6.5163111111111096</v>
      </c>
      <c r="AG12" s="37">
        <v>0</v>
      </c>
    </row>
    <row r="13" spans="1:33" ht="15.75" customHeight="1" x14ac:dyDescent="0.2">
      <c r="A13" s="26" t="s">
        <v>54</v>
      </c>
      <c r="B13" s="26" t="s">
        <v>217</v>
      </c>
      <c r="C13" s="14">
        <f t="shared" si="4"/>
        <v>26.990000000000002</v>
      </c>
      <c r="D13" s="27">
        <v>21</v>
      </c>
      <c r="E13" s="27">
        <v>0</v>
      </c>
      <c r="F13" s="30">
        <v>566.79000000000008</v>
      </c>
      <c r="G13" s="28">
        <v>-0.2</v>
      </c>
      <c r="H13" s="29">
        <f t="shared" si="1"/>
        <v>3.5286437657686267E-4</v>
      </c>
      <c r="I13" s="29">
        <f t="shared" si="2"/>
        <v>0.29762393228551021</v>
      </c>
      <c r="J13" s="30">
        <f t="shared" si="5"/>
        <v>168.69026858010434</v>
      </c>
      <c r="K13" s="30">
        <f t="shared" si="3"/>
        <v>8.0328699323859212</v>
      </c>
      <c r="L13" s="27">
        <v>49</v>
      </c>
      <c r="M13" s="31">
        <f t="shared" si="6"/>
        <v>0.42857142857142855</v>
      </c>
      <c r="N13" s="27">
        <v>229</v>
      </c>
      <c r="O13" s="32">
        <f t="shared" ref="O13:P13" si="21">D13/7</f>
        <v>3</v>
      </c>
      <c r="P13" s="32">
        <f t="shared" si="21"/>
        <v>0</v>
      </c>
      <c r="Q13" s="27">
        <f t="shared" si="8"/>
        <v>76</v>
      </c>
      <c r="R13" s="27"/>
      <c r="S13" s="33">
        <v>0.81081081081080997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0.6207050179398147</v>
      </c>
      <c r="AD13" s="37">
        <f t="shared" si="12"/>
        <v>-17.98803141989583</v>
      </c>
      <c r="AE13" s="37">
        <v>-7.32</v>
      </c>
      <c r="AF13" s="37">
        <v>-6.7225333333333301</v>
      </c>
      <c r="AG13" s="37">
        <v>0</v>
      </c>
    </row>
    <row r="14" spans="1:33" ht="15.75" customHeight="1" x14ac:dyDescent="0.2">
      <c r="A14" s="26" t="s">
        <v>56</v>
      </c>
      <c r="B14" s="26" t="s">
        <v>217</v>
      </c>
      <c r="C14" s="14">
        <f t="shared" si="4"/>
        <v>26.990000000000006</v>
      </c>
      <c r="D14" s="27">
        <v>35</v>
      </c>
      <c r="E14" s="27">
        <v>0</v>
      </c>
      <c r="F14" s="30">
        <v>944.6500000000002</v>
      </c>
      <c r="G14" s="28">
        <v>-0.59000000000000008</v>
      </c>
      <c r="H14" s="29">
        <f t="shared" si="1"/>
        <v>6.2456994654104688E-4</v>
      </c>
      <c r="I14" s="29">
        <f t="shared" si="2"/>
        <v>0.31701464056352452</v>
      </c>
      <c r="J14" s="30">
        <f t="shared" si="5"/>
        <v>299.4678802083335</v>
      </c>
      <c r="K14" s="30">
        <f t="shared" si="3"/>
        <v>8.5562251488095278</v>
      </c>
      <c r="L14" s="27">
        <v>101</v>
      </c>
      <c r="M14" s="31">
        <f t="shared" si="6"/>
        <v>0.34653465346534651</v>
      </c>
      <c r="N14" s="27">
        <v>196</v>
      </c>
      <c r="O14" s="32">
        <f t="shared" ref="O14:P14" si="22">D14/7</f>
        <v>5</v>
      </c>
      <c r="P14" s="32">
        <f t="shared" si="22"/>
        <v>0</v>
      </c>
      <c r="Q14" s="27">
        <f t="shared" si="8"/>
        <v>39</v>
      </c>
      <c r="R14" s="27"/>
      <c r="S14" s="33">
        <v>1.2163742690058399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0.29500000000000004</v>
      </c>
      <c r="Z14" s="26">
        <v>2</v>
      </c>
      <c r="AA14" s="26" t="s">
        <v>37</v>
      </c>
      <c r="AB14" s="38">
        <f t="shared" si="11"/>
        <v>-0.69</v>
      </c>
      <c r="AC14" s="39">
        <v>0.51151041666666663</v>
      </c>
      <c r="AD14" s="37">
        <f t="shared" si="12"/>
        <v>-24.705953124999997</v>
      </c>
      <c r="AE14" s="37">
        <v>-6.94</v>
      </c>
      <c r="AF14" s="37">
        <v>-6.7225333333333301</v>
      </c>
      <c r="AG14" s="37">
        <v>0</v>
      </c>
    </row>
    <row r="15" spans="1:33" ht="15.75" customHeight="1" x14ac:dyDescent="0.2">
      <c r="A15" s="26" t="s">
        <v>58</v>
      </c>
      <c r="B15" s="26" t="s">
        <v>217</v>
      </c>
      <c r="C15" s="14">
        <f t="shared" si="4"/>
        <v>26.990000000000002</v>
      </c>
      <c r="D15" s="27">
        <v>20</v>
      </c>
      <c r="E15" s="27">
        <v>1</v>
      </c>
      <c r="F15" s="30">
        <v>539.80000000000007</v>
      </c>
      <c r="G15" s="28">
        <v>-0.48</v>
      </c>
      <c r="H15" s="29">
        <f t="shared" si="1"/>
        <v>8.8921822897369384E-4</v>
      </c>
      <c r="I15" s="29">
        <f t="shared" si="2"/>
        <v>0.31674999228109185</v>
      </c>
      <c r="J15" s="30">
        <f t="shared" si="5"/>
        <v>170.9816458333334</v>
      </c>
      <c r="K15" s="30">
        <f t="shared" si="3"/>
        <v>8.5490822916666698</v>
      </c>
      <c r="L15" s="27">
        <v>71</v>
      </c>
      <c r="M15" s="31">
        <f t="shared" si="6"/>
        <v>0.28169014084507044</v>
      </c>
      <c r="N15" s="27">
        <v>178</v>
      </c>
      <c r="O15" s="32">
        <f t="shared" ref="O15:P15" si="23">D15/7</f>
        <v>2.8571428571428572</v>
      </c>
      <c r="P15" s="32">
        <f t="shared" si="23"/>
        <v>0.14285714285714285</v>
      </c>
      <c r="Q15" s="27">
        <f t="shared" si="8"/>
        <v>59</v>
      </c>
      <c r="R15" s="27"/>
      <c r="S15" s="33">
        <v>0.87317073170731696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0.51151041666666663</v>
      </c>
      <c r="AD15" s="37">
        <f t="shared" si="12"/>
        <v>-14.117687499999999</v>
      </c>
      <c r="AE15" s="37">
        <v>-6.94</v>
      </c>
      <c r="AF15" s="37">
        <v>-6.7225333333333301</v>
      </c>
      <c r="AG15" s="37">
        <v>0</v>
      </c>
    </row>
    <row r="16" spans="1:33" ht="15.75" customHeight="1" x14ac:dyDescent="0.2">
      <c r="A16" s="26" t="s">
        <v>60</v>
      </c>
      <c r="B16" s="26" t="s">
        <v>217</v>
      </c>
      <c r="C16" s="14">
        <f t="shared" si="4"/>
        <v>26.990000000000002</v>
      </c>
      <c r="D16" s="27">
        <v>17</v>
      </c>
      <c r="E16" s="27">
        <v>0</v>
      </c>
      <c r="F16" s="30">
        <v>458.83000000000004</v>
      </c>
      <c r="G16" s="28">
        <v>-0.47</v>
      </c>
      <c r="H16" s="29">
        <f t="shared" si="1"/>
        <v>1.0243445284745982E-3</v>
      </c>
      <c r="I16" s="29">
        <f t="shared" si="2"/>
        <v>0.31661486598159094</v>
      </c>
      <c r="J16" s="30">
        <f t="shared" si="5"/>
        <v>145.27239895833338</v>
      </c>
      <c r="K16" s="30">
        <f t="shared" si="3"/>
        <v>8.5454352328431398</v>
      </c>
      <c r="L16" s="27">
        <v>62</v>
      </c>
      <c r="M16" s="31">
        <f t="shared" si="6"/>
        <v>0.27419354838709675</v>
      </c>
      <c r="N16" s="27">
        <v>156</v>
      </c>
      <c r="O16" s="32">
        <f t="shared" ref="O16:P16" si="24">D16/7</f>
        <v>2.4285714285714284</v>
      </c>
      <c r="P16" s="32">
        <f t="shared" si="24"/>
        <v>0</v>
      </c>
      <c r="Q16" s="27">
        <f t="shared" si="8"/>
        <v>64</v>
      </c>
      <c r="R16" s="27"/>
      <c r="S16" s="33">
        <v>1.03242542153048</v>
      </c>
      <c r="T16" s="26">
        <v>600</v>
      </c>
      <c r="U16" s="34" t="s">
        <v>34</v>
      </c>
      <c r="V16" s="35" t="s">
        <v>34</v>
      </c>
      <c r="W16" s="26">
        <v>1</v>
      </c>
      <c r="X16" s="36">
        <f t="shared" si="9"/>
        <v>5.8823529411764705E-2</v>
      </c>
      <c r="Y16" s="37">
        <f t="shared" si="10"/>
        <v>0.47</v>
      </c>
      <c r="Z16" s="26">
        <v>0</v>
      </c>
      <c r="AA16" s="26" t="s">
        <v>37</v>
      </c>
      <c r="AB16" s="38">
        <f t="shared" si="11"/>
        <v>-0.69</v>
      </c>
      <c r="AC16" s="39">
        <v>0.51151041666666663</v>
      </c>
      <c r="AD16" s="37">
        <f t="shared" si="12"/>
        <v>-12.000034374999998</v>
      </c>
      <c r="AE16" s="37">
        <v>-6.94</v>
      </c>
      <c r="AF16" s="37">
        <v>-6.7225333333333301</v>
      </c>
      <c r="AG16" s="37">
        <v>0</v>
      </c>
    </row>
    <row r="17" spans="1:33" ht="15.75" customHeight="1" x14ac:dyDescent="0.2">
      <c r="A17" s="26" t="s">
        <v>61</v>
      </c>
      <c r="B17" s="26" t="s">
        <v>217</v>
      </c>
      <c r="C17" s="14">
        <f t="shared" si="4"/>
        <v>26.990000000000006</v>
      </c>
      <c r="D17" s="27">
        <v>17</v>
      </c>
      <c r="E17" s="27">
        <v>0</v>
      </c>
      <c r="F17" s="30">
        <v>458.8300000000001</v>
      </c>
      <c r="G17" s="28">
        <v>-0.24</v>
      </c>
      <c r="H17" s="29">
        <f t="shared" si="1"/>
        <v>5.2306954645511394E-4</v>
      </c>
      <c r="I17" s="29">
        <f t="shared" si="2"/>
        <v>0.31711614096361057</v>
      </c>
      <c r="J17" s="30">
        <f t="shared" si="5"/>
        <v>145.50239895833346</v>
      </c>
      <c r="K17" s="30">
        <f t="shared" si="3"/>
        <v>8.5589646446078511</v>
      </c>
      <c r="L17" s="27">
        <v>82</v>
      </c>
      <c r="M17" s="31">
        <f t="shared" si="6"/>
        <v>0.2073170731707317</v>
      </c>
      <c r="N17" s="27">
        <v>138</v>
      </c>
      <c r="O17" s="32">
        <f t="shared" ref="O17:P17" si="25">D17/7</f>
        <v>2.4285714285714284</v>
      </c>
      <c r="P17" s="32">
        <f t="shared" si="25"/>
        <v>0</v>
      </c>
      <c r="Q17" s="27">
        <f t="shared" si="8"/>
        <v>56</v>
      </c>
      <c r="R17" s="27"/>
      <c r="S17" s="33">
        <v>1.19444444444444</v>
      </c>
      <c r="T17" s="26">
        <v>600</v>
      </c>
      <c r="U17" s="34" t="s">
        <v>34</v>
      </c>
      <c r="V17" s="35" t="s">
        <v>34</v>
      </c>
      <c r="W17" s="26">
        <v>1</v>
      </c>
      <c r="X17" s="36">
        <f t="shared" si="9"/>
        <v>5.8823529411764705E-2</v>
      </c>
      <c r="Y17" s="37">
        <f t="shared" si="10"/>
        <v>0.24</v>
      </c>
      <c r="Z17" s="26">
        <v>0</v>
      </c>
      <c r="AA17" s="26" t="s">
        <v>37</v>
      </c>
      <c r="AB17" s="38">
        <f t="shared" si="11"/>
        <v>-0.69</v>
      </c>
      <c r="AC17" s="39">
        <v>0.51151041666666663</v>
      </c>
      <c r="AD17" s="37">
        <f t="shared" si="12"/>
        <v>-12.000034374999998</v>
      </c>
      <c r="AE17" s="37">
        <v>-6.94</v>
      </c>
      <c r="AF17" s="37">
        <v>-6.7225333333333301</v>
      </c>
      <c r="AG17" s="37">
        <v>0</v>
      </c>
    </row>
    <row r="18" spans="1:33" ht="15.75" customHeight="1" x14ac:dyDescent="0.2">
      <c r="A18" s="26" t="s">
        <v>62</v>
      </c>
      <c r="B18" s="26" t="s">
        <v>217</v>
      </c>
      <c r="C18" s="14">
        <f t="shared" si="4"/>
        <v>26.990000000000006</v>
      </c>
      <c r="D18" s="27">
        <v>18</v>
      </c>
      <c r="E18" s="27">
        <v>0</v>
      </c>
      <c r="F18" s="30">
        <v>485.82000000000011</v>
      </c>
      <c r="G18" s="28">
        <v>-0.35</v>
      </c>
      <c r="H18" s="29">
        <f t="shared" si="1"/>
        <v>7.2043143551109442E-4</v>
      </c>
      <c r="I18" s="29">
        <f t="shared" si="2"/>
        <v>0.31691877907455446</v>
      </c>
      <c r="J18" s="30">
        <f t="shared" si="5"/>
        <v>153.96548125000007</v>
      </c>
      <c r="K18" s="30">
        <f t="shared" si="3"/>
        <v>8.5536378472222268</v>
      </c>
      <c r="L18" s="27">
        <v>103</v>
      </c>
      <c r="M18" s="31">
        <f t="shared" si="6"/>
        <v>0.17475728155339806</v>
      </c>
      <c r="N18" s="27">
        <v>119</v>
      </c>
      <c r="O18" s="32">
        <f t="shared" ref="O18:P18" si="26">D18/7</f>
        <v>2.5714285714285716</v>
      </c>
      <c r="P18" s="32">
        <f t="shared" si="26"/>
        <v>0</v>
      </c>
      <c r="Q18" s="27">
        <f t="shared" si="8"/>
        <v>46</v>
      </c>
      <c r="R18" s="27"/>
      <c r="S18" s="33">
        <v>1.4641744548286599</v>
      </c>
      <c r="T18" s="26">
        <v>600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0.51151041666666663</v>
      </c>
      <c r="AD18" s="37">
        <f t="shared" si="12"/>
        <v>-12.705918749999999</v>
      </c>
      <c r="AE18" s="37">
        <v>-6.94</v>
      </c>
      <c r="AF18" s="37">
        <v>-6.7225333333333301</v>
      </c>
      <c r="AG18" s="37">
        <v>0</v>
      </c>
    </row>
    <row r="19" spans="1:33" ht="15.75" customHeight="1" x14ac:dyDescent="0.2">
      <c r="A19" s="26" t="s">
        <v>64</v>
      </c>
      <c r="B19" s="26" t="s">
        <v>217</v>
      </c>
      <c r="C19" s="14">
        <f t="shared" si="4"/>
        <v>26.990000000000006</v>
      </c>
      <c r="D19" s="27">
        <v>12</v>
      </c>
      <c r="E19" s="27">
        <v>0</v>
      </c>
      <c r="F19" s="30">
        <v>323.88000000000005</v>
      </c>
      <c r="G19" s="28">
        <v>-0.12</v>
      </c>
      <c r="H19" s="29">
        <f t="shared" si="1"/>
        <v>3.7050759540570576E-4</v>
      </c>
      <c r="I19" s="29">
        <f t="shared" si="2"/>
        <v>0.31726870291465986</v>
      </c>
      <c r="J19" s="30">
        <f t="shared" si="5"/>
        <v>102.75698750000005</v>
      </c>
      <c r="K19" s="30">
        <f t="shared" si="3"/>
        <v>8.5630822916666709</v>
      </c>
      <c r="L19" s="27">
        <v>65</v>
      </c>
      <c r="M19" s="31">
        <f t="shared" si="6"/>
        <v>0.18461538461538463</v>
      </c>
      <c r="N19" s="27">
        <v>110</v>
      </c>
      <c r="O19" s="32">
        <f t="shared" ref="O19:P19" si="27">D19/7</f>
        <v>1.7142857142857142</v>
      </c>
      <c r="P19" s="32">
        <f t="shared" si="27"/>
        <v>0</v>
      </c>
      <c r="Q19" s="27">
        <f t="shared" si="8"/>
        <v>64</v>
      </c>
      <c r="R19" s="27"/>
      <c r="S19" s="33">
        <v>1.6146179401993299</v>
      </c>
      <c r="T19" s="26">
        <v>600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0.51151041666666663</v>
      </c>
      <c r="AD19" s="37">
        <f t="shared" si="12"/>
        <v>-8.4706124999999979</v>
      </c>
      <c r="AE19" s="37">
        <v>-6.94</v>
      </c>
      <c r="AF19" s="37">
        <v>-6.7225333333333328</v>
      </c>
      <c r="AG19" s="37">
        <v>0</v>
      </c>
    </row>
    <row r="20" spans="1:33" ht="15.75" customHeight="1" x14ac:dyDescent="0.2">
      <c r="A20" s="26" t="s">
        <v>65</v>
      </c>
      <c r="B20" s="26" t="s">
        <v>217</v>
      </c>
      <c r="C20" s="14">
        <f t="shared" si="4"/>
        <v>26.990000000000002</v>
      </c>
      <c r="D20" s="27">
        <v>16</v>
      </c>
      <c r="E20" s="27">
        <v>0</v>
      </c>
      <c r="F20" s="30">
        <v>431.84000000000003</v>
      </c>
      <c r="G20" s="28">
        <v>-0.33999999999999997</v>
      </c>
      <c r="H20" s="29">
        <f t="shared" si="1"/>
        <v>7.8732864023712472E-4</v>
      </c>
      <c r="I20" s="29">
        <f t="shared" si="2"/>
        <v>0.31685188186982843</v>
      </c>
      <c r="J20" s="30">
        <f t="shared" si="5"/>
        <v>136.82931666666673</v>
      </c>
      <c r="K20" s="30">
        <f t="shared" si="3"/>
        <v>8.5518322916666705</v>
      </c>
      <c r="L20" s="27">
        <v>40</v>
      </c>
      <c r="M20" s="31">
        <f t="shared" si="6"/>
        <v>0.4</v>
      </c>
      <c r="N20" s="27">
        <v>93</v>
      </c>
      <c r="O20" s="32">
        <f t="shared" ref="O20:P20" si="28">D20/7</f>
        <v>2.2857142857142856</v>
      </c>
      <c r="P20" s="32">
        <f t="shared" si="28"/>
        <v>0</v>
      </c>
      <c r="Q20" s="27">
        <f t="shared" si="8"/>
        <v>40</v>
      </c>
      <c r="R20" s="27"/>
      <c r="S20" s="33">
        <v>1.1390134529147899</v>
      </c>
      <c r="T20" s="26">
        <v>600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0.33999999999999997</v>
      </c>
      <c r="Z20" s="26">
        <v>1</v>
      </c>
      <c r="AA20" s="26" t="s">
        <v>37</v>
      </c>
      <c r="AB20" s="38">
        <f t="shared" si="11"/>
        <v>-0.69</v>
      </c>
      <c r="AC20" s="39">
        <v>0.51151041666666663</v>
      </c>
      <c r="AD20" s="37">
        <f t="shared" si="12"/>
        <v>-11.294149999999998</v>
      </c>
      <c r="AE20" s="37">
        <v>-6.94</v>
      </c>
      <c r="AF20" s="37">
        <v>-6.7225333333333328</v>
      </c>
      <c r="AG20" s="37">
        <v>0</v>
      </c>
    </row>
    <row r="21" spans="1:33" ht="15.75" customHeight="1" x14ac:dyDescent="0.2">
      <c r="A21" s="26" t="s">
        <v>66</v>
      </c>
      <c r="B21" s="26" t="s">
        <v>218</v>
      </c>
      <c r="C21" s="14">
        <f t="shared" si="4"/>
        <v>26.990000000000002</v>
      </c>
      <c r="D21" s="27">
        <v>18</v>
      </c>
      <c r="E21" s="27">
        <v>0</v>
      </c>
      <c r="F21" s="30">
        <v>485.82000000000005</v>
      </c>
      <c r="G21" s="28">
        <v>-0.72</v>
      </c>
      <c r="H21" s="29">
        <f t="shared" si="1"/>
        <v>1.482030381622823E-3</v>
      </c>
      <c r="I21" s="29">
        <f t="shared" si="2"/>
        <v>0.31615718012844263</v>
      </c>
      <c r="J21" s="30">
        <f t="shared" si="5"/>
        <v>153.59548125000001</v>
      </c>
      <c r="K21" s="30">
        <f t="shared" si="3"/>
        <v>8.5330822916666662</v>
      </c>
      <c r="L21" s="27">
        <v>38</v>
      </c>
      <c r="M21" s="31">
        <f t="shared" si="6"/>
        <v>0.47368421052631576</v>
      </c>
      <c r="N21" s="27">
        <v>73</v>
      </c>
      <c r="O21" s="32">
        <f t="shared" ref="O21:P21" si="29">D21/7</f>
        <v>2.5714285714285716</v>
      </c>
      <c r="P21" s="32">
        <f t="shared" si="29"/>
        <v>0</v>
      </c>
      <c r="Q21" s="27">
        <f t="shared" si="8"/>
        <v>28</v>
      </c>
      <c r="R21" s="27"/>
      <c r="S21" s="33">
        <v>1.2584269662921299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0.51151041666666663</v>
      </c>
      <c r="AD21" s="37">
        <f t="shared" si="12"/>
        <v>-12.705918749999999</v>
      </c>
      <c r="AE21" s="37">
        <v>-6.94</v>
      </c>
      <c r="AF21" s="37">
        <v>-6.7225333333333328</v>
      </c>
      <c r="AG21" s="37">
        <v>0</v>
      </c>
    </row>
    <row r="22" spans="1:33" ht="15.75" customHeight="1" x14ac:dyDescent="0.2">
      <c r="A22" s="26" t="s">
        <v>67</v>
      </c>
      <c r="B22" s="26" t="s">
        <v>219</v>
      </c>
      <c r="C22" s="14">
        <f t="shared" si="4"/>
        <v>27.990000000000002</v>
      </c>
      <c r="D22" s="27">
        <v>14</v>
      </c>
      <c r="E22" s="27">
        <v>0</v>
      </c>
      <c r="F22" s="28">
        <v>391.86</v>
      </c>
      <c r="G22" s="28">
        <v>-0.48000000000000009</v>
      </c>
      <c r="H22" s="29">
        <f t="shared" si="1"/>
        <v>1.2249272699433474E-3</v>
      </c>
      <c r="I22" s="29">
        <f t="shared" si="2"/>
        <v>0.31711029616178826</v>
      </c>
      <c r="J22" s="30">
        <f t="shared" si="5"/>
        <v>124.26284065395835</v>
      </c>
      <c r="K22" s="30">
        <f t="shared" si="3"/>
        <v>8.8759171895684528</v>
      </c>
      <c r="L22" s="27">
        <v>52</v>
      </c>
      <c r="M22" s="31">
        <f t="shared" si="6"/>
        <v>0.26923076923076922</v>
      </c>
      <c r="N22" s="27">
        <v>60</v>
      </c>
      <c r="O22" s="32">
        <f t="shared" ref="O22:P22" si="30">D22/7</f>
        <v>2</v>
      </c>
      <c r="P22" s="32">
        <f t="shared" si="30"/>
        <v>0</v>
      </c>
      <c r="Q22" s="27">
        <f t="shared" si="8"/>
        <v>30</v>
      </c>
      <c r="R22" s="27"/>
      <c r="S22" s="33">
        <v>1.32398316970546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7.1428571428571425E-2</v>
      </c>
      <c r="Y22" s="37">
        <f t="shared" si="10"/>
        <v>0.48000000000000009</v>
      </c>
      <c r="Z22" s="26">
        <v>0</v>
      </c>
      <c r="AA22" s="26" t="s">
        <v>37</v>
      </c>
      <c r="AB22" s="38">
        <f t="shared" si="11"/>
        <v>-0.69</v>
      </c>
      <c r="AC22" s="39">
        <v>0.60779982812500011</v>
      </c>
      <c r="AD22" s="37">
        <f t="shared" si="12"/>
        <v>-11.742692679375001</v>
      </c>
      <c r="AE22" s="37">
        <v>-7.32</v>
      </c>
      <c r="AF22" s="37">
        <v>-6.7225333333333328</v>
      </c>
      <c r="AG22" s="37">
        <v>0</v>
      </c>
    </row>
    <row r="23" spans="1:33" ht="15.75" customHeight="1" x14ac:dyDescent="0.2">
      <c r="A23" s="26" t="s">
        <v>68</v>
      </c>
      <c r="B23" s="26" t="s">
        <v>220</v>
      </c>
      <c r="C23" s="14">
        <f t="shared" si="4"/>
        <v>27.190000000000005</v>
      </c>
      <c r="D23" s="27">
        <v>15</v>
      </c>
      <c r="E23" s="27">
        <v>0</v>
      </c>
      <c r="F23" s="30">
        <v>407.85000000000008</v>
      </c>
      <c r="G23" s="28">
        <v>-0.35</v>
      </c>
      <c r="H23" s="29">
        <f t="shared" si="1"/>
        <v>8.5815863675370828E-4</v>
      </c>
      <c r="I23" s="29">
        <f t="shared" si="2"/>
        <v>0.30183411439944224</v>
      </c>
      <c r="J23" s="30">
        <f t="shared" si="5"/>
        <v>123.10304355781254</v>
      </c>
      <c r="K23" s="30">
        <f t="shared" si="3"/>
        <v>8.2068695705208352</v>
      </c>
      <c r="L23" s="27">
        <v>52</v>
      </c>
      <c r="M23" s="31">
        <f t="shared" si="6"/>
        <v>0.28846153846153844</v>
      </c>
      <c r="N23" s="27">
        <v>46</v>
      </c>
      <c r="O23" s="32">
        <f t="shared" ref="O23:P23" si="31">D23/7</f>
        <v>2.1428571428571428</v>
      </c>
      <c r="P23" s="32">
        <f t="shared" si="31"/>
        <v>0</v>
      </c>
      <c r="Q23" s="27">
        <f t="shared" si="8"/>
        <v>21</v>
      </c>
      <c r="R23" s="27"/>
      <c r="S23" s="33">
        <v>1.3949329359165401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0.60779982812500011</v>
      </c>
      <c r="AD23" s="37">
        <f t="shared" si="12"/>
        <v>-12.581456442187502</v>
      </c>
      <c r="AE23" s="37">
        <v>-7.32</v>
      </c>
      <c r="AF23" s="37">
        <v>-6.7225333333333328</v>
      </c>
      <c r="AG23" s="37">
        <v>0</v>
      </c>
    </row>
    <row r="24" spans="1:33" ht="15.75" customHeight="1" x14ac:dyDescent="0.2">
      <c r="A24" s="26" t="s">
        <v>71</v>
      </c>
      <c r="B24" s="26" t="s">
        <v>221</v>
      </c>
      <c r="C24" s="14">
        <f t="shared" si="4"/>
        <v>23.990000000000006</v>
      </c>
      <c r="D24" s="27">
        <v>27</v>
      </c>
      <c r="E24" s="27">
        <v>0</v>
      </c>
      <c r="F24" s="30">
        <v>647.73000000000013</v>
      </c>
      <c r="G24" s="30">
        <v>-0.6100000000000001</v>
      </c>
      <c r="H24" s="29">
        <f t="shared" si="1"/>
        <v>9.4175042069998298E-4</v>
      </c>
      <c r="I24" s="29">
        <f t="shared" si="2"/>
        <v>0.22874574036104953</v>
      </c>
      <c r="J24" s="30">
        <f t="shared" si="5"/>
        <v>148.16547840406264</v>
      </c>
      <c r="K24" s="30">
        <f t="shared" si="3"/>
        <v>5.4876103112615793</v>
      </c>
      <c r="L24" s="27">
        <v>68</v>
      </c>
      <c r="M24" s="31">
        <f t="shared" si="6"/>
        <v>0.39705882352941174</v>
      </c>
      <c r="N24" s="27">
        <v>24</v>
      </c>
      <c r="O24" s="32">
        <f t="shared" ref="O24:P24" si="32">D24/7</f>
        <v>3.8571428571428572</v>
      </c>
      <c r="P24" s="32">
        <f t="shared" si="32"/>
        <v>0</v>
      </c>
      <c r="Q24" s="27">
        <f t="shared" si="8"/>
        <v>6</v>
      </c>
      <c r="R24" s="27"/>
      <c r="S24" s="33">
        <v>1.58931552587646</v>
      </c>
      <c r="T24" s="26">
        <v>0</v>
      </c>
      <c r="U24" s="34" t="s">
        <v>34</v>
      </c>
      <c r="V24" s="35" t="s">
        <v>34</v>
      </c>
      <c r="W24" s="26">
        <v>1</v>
      </c>
      <c r="X24" s="36">
        <f t="shared" si="9"/>
        <v>3.7037037037037035E-2</v>
      </c>
      <c r="Y24" s="37">
        <f t="shared" si="10"/>
        <v>0.6100000000000001</v>
      </c>
      <c r="Z24" s="26">
        <v>0</v>
      </c>
      <c r="AA24" s="26" t="s">
        <v>37</v>
      </c>
      <c r="AB24" s="38">
        <f t="shared" si="11"/>
        <v>-0.69</v>
      </c>
      <c r="AC24" s="39">
        <v>0.60779982812500011</v>
      </c>
      <c r="AD24" s="37">
        <f t="shared" si="12"/>
        <v>-22.646621595937503</v>
      </c>
      <c r="AE24" s="37">
        <v>-7.32</v>
      </c>
      <c r="AF24" s="37">
        <v>-6.7225333333333328</v>
      </c>
      <c r="AG24" s="37">
        <v>0</v>
      </c>
    </row>
    <row r="25" spans="1:33" ht="15.75" customHeight="1" x14ac:dyDescent="0.2">
      <c r="A25" s="40" t="s">
        <v>73</v>
      </c>
      <c r="B25" s="40" t="s">
        <v>76</v>
      </c>
      <c r="C25" s="14">
        <f t="shared" si="4"/>
        <v>23.99</v>
      </c>
      <c r="D25" s="15">
        <v>16</v>
      </c>
      <c r="E25" s="15">
        <v>0</v>
      </c>
      <c r="F25" s="16">
        <v>383.84</v>
      </c>
      <c r="G25" s="16">
        <v>-0.28999999999999998</v>
      </c>
      <c r="H25" s="29">
        <f t="shared" si="1"/>
        <v>7.5552313463943309E-4</v>
      </c>
      <c r="I25" s="29">
        <f t="shared" si="2"/>
        <v>0.22903756720248006</v>
      </c>
      <c r="J25" s="30">
        <f t="shared" si="5"/>
        <v>87.91377979499994</v>
      </c>
      <c r="K25" s="30">
        <f t="shared" si="3"/>
        <v>5.4946112371874962</v>
      </c>
      <c r="L25" s="15">
        <v>56</v>
      </c>
      <c r="M25" s="31">
        <f t="shared" si="6"/>
        <v>0.2857142857142857</v>
      </c>
      <c r="N25" s="15">
        <v>3</v>
      </c>
      <c r="O25" s="32">
        <f t="shared" ref="O25:P25" si="33">D25/7</f>
        <v>2.2857142857142856</v>
      </c>
      <c r="P25" s="32">
        <f t="shared" si="33"/>
        <v>0</v>
      </c>
      <c r="Q25" s="27">
        <f t="shared" si="8"/>
        <v>1</v>
      </c>
      <c r="R25" s="27"/>
      <c r="S25" s="41">
        <v>1.959839357429719</v>
      </c>
      <c r="T25" s="26">
        <v>300</v>
      </c>
      <c r="U25" s="34">
        <v>300</v>
      </c>
      <c r="V25" s="35" t="s">
        <v>222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0.60779982812500011</v>
      </c>
      <c r="AD25" s="37">
        <f t="shared" si="12"/>
        <v>-13.420220205000001</v>
      </c>
      <c r="AE25" s="42">
        <v>-7.32</v>
      </c>
      <c r="AF25" s="42">
        <v>-6.72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23.99</v>
      </c>
      <c r="D26" s="15">
        <v>1</v>
      </c>
      <c r="E26" s="15">
        <v>0</v>
      </c>
      <c r="F26" s="16">
        <v>23.99</v>
      </c>
      <c r="G26" s="16">
        <v>0</v>
      </c>
      <c r="H26" s="29">
        <f t="shared" si="1"/>
        <v>0</v>
      </c>
      <c r="I26" s="29">
        <f t="shared" si="2"/>
        <v>0.2296874907817493</v>
      </c>
      <c r="J26" s="30">
        <f t="shared" si="5"/>
        <v>5.5102029038541653</v>
      </c>
      <c r="K26" s="30">
        <f t="shared" si="3"/>
        <v>5.5102029038541653</v>
      </c>
      <c r="L26" s="15">
        <v>9</v>
      </c>
      <c r="M26" s="31">
        <f t="shared" si="6"/>
        <v>0.1111111111111111</v>
      </c>
      <c r="N26" s="15">
        <v>1</v>
      </c>
      <c r="O26" s="32">
        <f t="shared" ref="O26:P26" si="34">D26/7</f>
        <v>0.14285714285714285</v>
      </c>
      <c r="P26" s="32">
        <f t="shared" si="34"/>
        <v>0</v>
      </c>
      <c r="Q26" s="27">
        <f t="shared" si="8"/>
        <v>7</v>
      </c>
      <c r="R26" s="27"/>
      <c r="S26" s="41">
        <v>0</v>
      </c>
      <c r="T26" s="26">
        <v>300</v>
      </c>
      <c r="U26" s="34">
        <v>300</v>
      </c>
      <c r="V26" s="35" t="s">
        <v>223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0.60779982812500011</v>
      </c>
      <c r="AD26" s="37">
        <f t="shared" si="12"/>
        <v>-0.83876376281250009</v>
      </c>
      <c r="AE26" s="42">
        <v>-7.32</v>
      </c>
      <c r="AF26" s="42">
        <v>-6.7225333333333301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1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300</v>
      </c>
      <c r="U27" s="34">
        <v>300</v>
      </c>
      <c r="V27" s="35" t="s">
        <v>224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0.60779982812500011</v>
      </c>
      <c r="AD27" s="37">
        <f t="shared" si="12"/>
        <v>0</v>
      </c>
      <c r="AE27" s="42">
        <v>-7.32</v>
      </c>
      <c r="AF27" s="42">
        <v>-6.7225333333333301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1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300</v>
      </c>
      <c r="V28" s="1" t="s">
        <v>225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0.60779982812500011</v>
      </c>
      <c r="AD28" s="37">
        <f t="shared" si="12"/>
        <v>0</v>
      </c>
      <c r="AE28" s="42">
        <v>-7.32</v>
      </c>
      <c r="AF28" s="42">
        <v>-6.7225333333333301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1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0.60779982812500011</v>
      </c>
      <c r="AD29" s="37">
        <f t="shared" si="12"/>
        <v>0</v>
      </c>
      <c r="AE29" s="37">
        <v>-7.32</v>
      </c>
      <c r="AF29" s="42">
        <v>-6.7225333333333301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1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300</v>
      </c>
      <c r="U30" s="34">
        <v>300</v>
      </c>
      <c r="V30" s="35" t="s">
        <v>224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0.60779982812500011</v>
      </c>
      <c r="AD30" s="37">
        <f t="shared" si="12"/>
        <v>0</v>
      </c>
      <c r="AE30" s="42">
        <v>-7.32</v>
      </c>
      <c r="AF30" s="42">
        <v>-10.0715785866666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1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>
        <v>300</v>
      </c>
      <c r="V31" s="1" t="s">
        <v>226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0.60779982812500011</v>
      </c>
      <c r="AD31" s="37">
        <f t="shared" si="12"/>
        <v>0</v>
      </c>
      <c r="AE31" s="45">
        <v>-7.32</v>
      </c>
      <c r="AF31" s="45">
        <v>-10.071578586666661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1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IFERROR(__xludf.DUMMYFUNCTION("IFERROR(VLOOKUP($B$2,IMPORTRANGE(""https://docs.google.com/spreadsheets/d/1KiWZV1ko8G7lnRucBRBd29jj3Be6ltMfljMDqzOkQmI/edit#gid=1381463014"",""Lookup!A:D""),3,FALSE),"""")"),300)</f>
        <v>300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AGL211  - 300 units 07/23")</f>
        <v>| AGL211  - 300 units 07/23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0.60779982812500011</v>
      </c>
      <c r="AD32" s="37">
        <f t="shared" si="12"/>
        <v>0</v>
      </c>
      <c r="AE32" s="42">
        <v>-7.32</v>
      </c>
      <c r="AF32" s="42">
        <v>-10.0715785866666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39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Info!B1:BJ5000""),3,FALSE),"""")"),"Glass Growlers for Beer, 3 Pack - 64 oz Growler Set with Lids - Great for Home Brewing, Kombucha &amp; More")</f>
        <v>Glass Growlers for Beer, 3 Pack - 64 oz Growler Set with Lids - Great for Home Brewing, Kombucha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Info!B1:BJ5000""),2,FALSE),"""")"),"B085KCT48B")</f>
        <v>B085KCT48B</v>
      </c>
      <c r="B2" s="3" t="s">
        <v>227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4.25" customHeight="1" x14ac:dyDescent="0.2">
      <c r="A3" s="68" t="s">
        <v>31</v>
      </c>
      <c r="B3" s="69"/>
      <c r="C3" s="48">
        <f>((AE32+AF32)/0.85)*-1</f>
        <v>25.135080752941175</v>
      </c>
      <c r="D3" s="5">
        <f>SUM(D4:D99767)</f>
        <v>154</v>
      </c>
      <c r="E3" s="5"/>
      <c r="F3" s="6">
        <f t="shared" ref="F3:G3" si="0">SUM(F4:F99767)</f>
        <v>5146.630000000001</v>
      </c>
      <c r="G3" s="6">
        <f t="shared" si="0"/>
        <v>-4.1599999999999993</v>
      </c>
      <c r="H3" s="7">
        <f t="shared" ref="H3:H32" si="1">G3/F3*-1</f>
        <v>8.0829591402529393E-4</v>
      </c>
      <c r="I3" s="8">
        <f t="shared" ref="I3:I32" si="2">J3/F3</f>
        <v>0.2612370281701733</v>
      </c>
      <c r="J3" s="6">
        <f>SUM(J4:J99767)</f>
        <v>1344.4903262914593</v>
      </c>
      <c r="K3" s="6">
        <f t="shared" ref="K3:K32" si="3">J3/D3</f>
        <v>8.730456664230255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Sheet!a1:g5000""),2,FALSE),"""")"),"2.0 - March
2.0 - April
2.0 - May
2.0 - June
2.0 - July
2.0 - Aug
2.0 - Sept
2.0 - Oct
2.0 - Nov
2.0 - Dec
2.0 - Jan
2.0 - Feb")</f>
        <v>2.0 - March
2.0 - April
2.0 - May
2.0 - June
2.0 - July
2.0 - Aug
2.0 - Sept
2.0 - Oct
2.0 - Nov
2.0 - Dec
2.0 - Jan
2.0 -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4</v>
      </c>
      <c r="X3" s="7">
        <f>W3/D3</f>
        <v>2.5974025974025976E-2</v>
      </c>
      <c r="Y3" s="6"/>
      <c r="Z3" s="5"/>
      <c r="AA3" s="5"/>
      <c r="AB3" s="5"/>
      <c r="AC3" s="5"/>
      <c r="AD3" s="6">
        <f>SUM(AD4:AD99767)</f>
        <v>-168.31978204187499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Info!B2:BZ3000""),37,FALSE)),"""")*-1"),-12.52481864)</f>
        <v>-12.524818639999999</v>
      </c>
      <c r="AG3" s="6">
        <f>SUM(AG4:AG99767)</f>
        <v>0</v>
      </c>
    </row>
    <row r="4" spans="1:33" x14ac:dyDescent="0.2">
      <c r="A4" s="1" t="s">
        <v>32</v>
      </c>
      <c r="B4" s="2" t="s">
        <v>213</v>
      </c>
      <c r="C4" s="14">
        <f t="shared" ref="C4:C32" si="4">IFERROR(F4/D4," - ")</f>
        <v>46.484999999999999</v>
      </c>
      <c r="D4" s="15">
        <v>2</v>
      </c>
      <c r="E4" s="15">
        <v>0</v>
      </c>
      <c r="F4" s="16">
        <v>92.97</v>
      </c>
      <c r="G4" s="16">
        <v>-0.13</v>
      </c>
      <c r="H4" s="17">
        <f t="shared" si="1"/>
        <v>1.3983005270517372E-3</v>
      </c>
      <c r="I4" s="17">
        <f t="shared" si="2"/>
        <v>0.45984041577778978</v>
      </c>
      <c r="J4" s="16">
        <f t="shared" ref="J4:J32" si="5">F4*0.85+G4+AF4*D4+D4*AE4+AG4+AD4</f>
        <v>42.751363454861114</v>
      </c>
      <c r="K4" s="16">
        <f t="shared" si="3"/>
        <v>21.375681727430557</v>
      </c>
      <c r="L4" s="15">
        <v>40</v>
      </c>
      <c r="M4" s="18">
        <f t="shared" ref="M4:M32" si="6">IFERROR(D4/L4,"-")</f>
        <v>0.05</v>
      </c>
      <c r="N4" s="15">
        <v>3</v>
      </c>
      <c r="O4" s="19">
        <f t="shared" ref="O4:P4" si="7">D4/7</f>
        <v>0.2857142857142857</v>
      </c>
      <c r="P4" s="19">
        <f t="shared" si="7"/>
        <v>0</v>
      </c>
      <c r="Q4" s="15">
        <f t="shared" ref="Q4:Q32" si="8">ROUNDDOWN(N4/(O4+P4),0)</f>
        <v>10</v>
      </c>
      <c r="R4" s="15"/>
      <c r="S4" s="20">
        <v>2.53061224489795</v>
      </c>
      <c r="T4" s="2">
        <v>156</v>
      </c>
      <c r="U4" s="2">
        <v>156</v>
      </c>
      <c r="V4" s="21" t="s">
        <v>228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0.72433087384259254</v>
      </c>
      <c r="AD4" s="24">
        <f t="shared" ref="AD4:AD32" si="12">IFERROR(AB4*AC4*D4*2,0)</f>
        <v>-1.9991532118055553</v>
      </c>
      <c r="AE4" s="24">
        <v>-8.08</v>
      </c>
      <c r="AF4" s="24">
        <v>-8.9919916666666673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2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 t="e">
        <v>#N/A</v>
      </c>
      <c r="T5" s="26">
        <v>156</v>
      </c>
      <c r="U5" s="34">
        <v>156</v>
      </c>
      <c r="V5" s="35" t="s">
        <v>229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-8.9919916666666673</v>
      </c>
      <c r="AG5" s="37">
        <v>0</v>
      </c>
    </row>
    <row r="6" spans="1:33" ht="15.75" customHeight="1" x14ac:dyDescent="0.2">
      <c r="A6" s="26" t="s">
        <v>38</v>
      </c>
      <c r="B6" s="26" t="s">
        <v>230</v>
      </c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1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156</v>
      </c>
      <c r="U6" s="34">
        <v>156</v>
      </c>
      <c r="V6" s="35" t="s">
        <v>229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-8.9919916666666673</v>
      </c>
      <c r="AG6" s="37">
        <v>0</v>
      </c>
    </row>
    <row r="7" spans="1:33" ht="15.75" customHeight="1" x14ac:dyDescent="0.2">
      <c r="A7" s="26" t="s">
        <v>41</v>
      </c>
      <c r="B7" s="26" t="s">
        <v>231</v>
      </c>
      <c r="C7" s="14">
        <f t="shared" si="4"/>
        <v>43.99</v>
      </c>
      <c r="D7" s="27">
        <v>1</v>
      </c>
      <c r="E7" s="27">
        <v>0</v>
      </c>
      <c r="F7" s="28">
        <v>43.99</v>
      </c>
      <c r="G7" s="28">
        <v>0</v>
      </c>
      <c r="H7" s="29">
        <f t="shared" si="1"/>
        <v>0</v>
      </c>
      <c r="I7" s="29">
        <f t="shared" si="2"/>
        <v>0.43918917316277684</v>
      </c>
      <c r="J7" s="30">
        <f t="shared" si="5"/>
        <v>19.319931727430554</v>
      </c>
      <c r="K7" s="30">
        <f t="shared" si="3"/>
        <v>19.319931727430554</v>
      </c>
      <c r="L7" s="27">
        <v>21</v>
      </c>
      <c r="M7" s="31">
        <f t="shared" si="6"/>
        <v>4.7619047619047616E-2</v>
      </c>
      <c r="N7" s="27">
        <v>157</v>
      </c>
      <c r="O7" s="32">
        <f t="shared" ref="O7:P7" si="15">D7/7</f>
        <v>0.14285714285714285</v>
      </c>
      <c r="P7" s="32">
        <f t="shared" si="15"/>
        <v>0</v>
      </c>
      <c r="Q7" s="27">
        <f t="shared" si="8"/>
        <v>1099</v>
      </c>
      <c r="R7" s="27"/>
      <c r="S7" s="33">
        <v>1.1234042553191399</v>
      </c>
      <c r="T7" s="26" t="s">
        <v>34</v>
      </c>
      <c r="U7" s="34" t="s">
        <v>34</v>
      </c>
      <c r="V7" s="35" t="s">
        <v>34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0.72433087384259254</v>
      </c>
      <c r="AD7" s="37">
        <f t="shared" si="12"/>
        <v>-0.99957660590277764</v>
      </c>
      <c r="AE7" s="37">
        <v>-8.08</v>
      </c>
      <c r="AF7" s="37">
        <v>-8.9919916666666673</v>
      </c>
      <c r="AG7" s="37">
        <v>0</v>
      </c>
    </row>
    <row r="8" spans="1:33" ht="15.75" customHeight="1" x14ac:dyDescent="0.2">
      <c r="A8" s="26" t="s">
        <v>43</v>
      </c>
      <c r="B8" s="26" t="s">
        <v>232</v>
      </c>
      <c r="C8" s="14">
        <f t="shared" si="4"/>
        <v>42.97</v>
      </c>
      <c r="D8" s="27">
        <v>1</v>
      </c>
      <c r="E8" s="27">
        <v>0</v>
      </c>
      <c r="F8" s="28">
        <v>42.97</v>
      </c>
      <c r="G8" s="28">
        <v>-0.13</v>
      </c>
      <c r="H8" s="29">
        <f t="shared" si="1"/>
        <v>3.0253665347917155E-3</v>
      </c>
      <c r="I8" s="29">
        <f t="shared" si="2"/>
        <v>0.42645853837787329</v>
      </c>
      <c r="J8" s="30">
        <f t="shared" si="5"/>
        <v>18.324923394097215</v>
      </c>
      <c r="K8" s="30">
        <f t="shared" si="3"/>
        <v>18.324923394097215</v>
      </c>
      <c r="L8" s="27">
        <v>10</v>
      </c>
      <c r="M8" s="31">
        <f t="shared" si="6"/>
        <v>0.1</v>
      </c>
      <c r="N8" s="27">
        <v>156</v>
      </c>
      <c r="O8" s="32">
        <f t="shared" ref="O8:P8" si="16">D8/7</f>
        <v>0.14285714285714285</v>
      </c>
      <c r="P8" s="32">
        <f t="shared" si="16"/>
        <v>0</v>
      </c>
      <c r="Q8" s="27">
        <f t="shared" si="8"/>
        <v>1092</v>
      </c>
      <c r="R8" s="27"/>
      <c r="S8" s="33">
        <v>0.92307692307692302</v>
      </c>
      <c r="T8" s="26">
        <v>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0.72433087384259254</v>
      </c>
      <c r="AD8" s="37">
        <f t="shared" si="12"/>
        <v>-0.99957660590277764</v>
      </c>
      <c r="AE8" s="37">
        <v>-8.08</v>
      </c>
      <c r="AF8" s="37">
        <v>-8.99</v>
      </c>
      <c r="AG8" s="37">
        <v>0</v>
      </c>
    </row>
    <row r="9" spans="1:33" ht="15.75" customHeight="1" x14ac:dyDescent="0.2">
      <c r="A9" s="26" t="s">
        <v>45</v>
      </c>
      <c r="B9" s="26" t="s">
        <v>46</v>
      </c>
      <c r="C9" s="14">
        <f t="shared" si="4"/>
        <v>38.025000000000006</v>
      </c>
      <c r="D9" s="27">
        <v>6</v>
      </c>
      <c r="E9" s="27">
        <v>0</v>
      </c>
      <c r="F9" s="28">
        <v>228.15000000000003</v>
      </c>
      <c r="G9" s="28">
        <v>-0.32</v>
      </c>
      <c r="H9" s="29">
        <f t="shared" si="1"/>
        <v>1.4025860179706332E-3</v>
      </c>
      <c r="I9" s="29">
        <f t="shared" si="2"/>
        <v>0.35612049250310485</v>
      </c>
      <c r="J9" s="30">
        <f t="shared" si="5"/>
        <v>81.248890364583389</v>
      </c>
      <c r="K9" s="30">
        <f t="shared" si="3"/>
        <v>13.541481727430565</v>
      </c>
      <c r="L9" s="27">
        <v>22</v>
      </c>
      <c r="M9" s="31">
        <f t="shared" si="6"/>
        <v>0.27272727272727271</v>
      </c>
      <c r="N9" s="27">
        <v>150</v>
      </c>
      <c r="O9" s="32">
        <f t="shared" ref="O9:P9" si="17">D9/7</f>
        <v>0.8571428571428571</v>
      </c>
      <c r="P9" s="32">
        <f t="shared" si="17"/>
        <v>0</v>
      </c>
      <c r="Q9" s="27">
        <f t="shared" si="8"/>
        <v>175</v>
      </c>
      <c r="R9" s="27"/>
      <c r="S9" s="33">
        <v>1.0456431535269699</v>
      </c>
      <c r="T9" s="26">
        <v>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0.32</v>
      </c>
      <c r="Z9" s="26">
        <v>1</v>
      </c>
      <c r="AA9" s="26" t="s">
        <v>37</v>
      </c>
      <c r="AB9" s="38">
        <f t="shared" si="11"/>
        <v>-0.69</v>
      </c>
      <c r="AC9" s="39">
        <v>0.72433087384259254</v>
      </c>
      <c r="AD9" s="37">
        <f t="shared" si="12"/>
        <v>-5.997459635416666</v>
      </c>
      <c r="AE9" s="37">
        <v>-8.08</v>
      </c>
      <c r="AF9" s="37">
        <v>-9.6468583333333306</v>
      </c>
      <c r="AG9" s="37">
        <v>0</v>
      </c>
    </row>
    <row r="10" spans="1:33" ht="15.75" customHeight="1" x14ac:dyDescent="0.2">
      <c r="A10" s="26" t="s">
        <v>48</v>
      </c>
      <c r="B10" s="26" t="s">
        <v>233</v>
      </c>
      <c r="C10" s="14">
        <f t="shared" si="4"/>
        <v>36.99</v>
      </c>
      <c r="D10" s="27">
        <v>3</v>
      </c>
      <c r="E10" s="27">
        <v>0</v>
      </c>
      <c r="F10" s="28">
        <v>110.97</v>
      </c>
      <c r="G10" s="28">
        <v>-0.15000000000000002</v>
      </c>
      <c r="H10" s="29">
        <f t="shared" si="1"/>
        <v>1.3517166801838337E-3</v>
      </c>
      <c r="I10" s="29">
        <f t="shared" si="2"/>
        <v>0.34239159396496049</v>
      </c>
      <c r="J10" s="30">
        <f t="shared" si="5"/>
        <v>37.995195182291667</v>
      </c>
      <c r="K10" s="30">
        <f t="shared" si="3"/>
        <v>12.665065060763888</v>
      </c>
      <c r="L10" s="27">
        <v>18</v>
      </c>
      <c r="M10" s="31">
        <f t="shared" si="6"/>
        <v>0.16666666666666666</v>
      </c>
      <c r="N10" s="27">
        <v>147</v>
      </c>
      <c r="O10" s="32">
        <f t="shared" ref="O10:P10" si="18">D10/7</f>
        <v>0.42857142857142855</v>
      </c>
      <c r="P10" s="32">
        <f t="shared" si="18"/>
        <v>0</v>
      </c>
      <c r="Q10" s="27">
        <f t="shared" si="8"/>
        <v>343</v>
      </c>
      <c r="R10" s="27"/>
      <c r="S10" s="33">
        <v>1.0450450450450399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0.72433087384259254</v>
      </c>
      <c r="AD10" s="37">
        <f t="shared" si="12"/>
        <v>-2.998729817708333</v>
      </c>
      <c r="AE10" s="37">
        <v>-8.08</v>
      </c>
      <c r="AF10" s="37">
        <v>-9.6468583333333306</v>
      </c>
      <c r="AG10" s="37">
        <v>0</v>
      </c>
    </row>
    <row r="11" spans="1:33" ht="15.75" customHeight="1" x14ac:dyDescent="0.2">
      <c r="A11" s="26" t="s">
        <v>50</v>
      </c>
      <c r="B11" s="26" t="s">
        <v>234</v>
      </c>
      <c r="C11" s="14">
        <f t="shared" si="4"/>
        <v>34.685000000000009</v>
      </c>
      <c r="D11" s="27">
        <v>6</v>
      </c>
      <c r="E11" s="27">
        <v>0</v>
      </c>
      <c r="F11" s="28">
        <v>208.11000000000004</v>
      </c>
      <c r="G11" s="28">
        <v>-0.14000000000000001</v>
      </c>
      <c r="H11" s="29">
        <f t="shared" si="1"/>
        <v>6.7272115708039008E-4</v>
      </c>
      <c r="I11" s="29">
        <f t="shared" si="2"/>
        <v>0.3094271796866242</v>
      </c>
      <c r="J11" s="30">
        <f t="shared" si="5"/>
        <v>64.394890364583375</v>
      </c>
      <c r="K11" s="30">
        <f t="shared" si="3"/>
        <v>10.732481727430562</v>
      </c>
      <c r="L11" s="27">
        <v>11</v>
      </c>
      <c r="M11" s="31">
        <f t="shared" si="6"/>
        <v>0.54545454545454541</v>
      </c>
      <c r="N11" s="27">
        <v>142</v>
      </c>
      <c r="O11" s="32">
        <f t="shared" ref="O11:P11" si="19">D11/7</f>
        <v>0.8571428571428571</v>
      </c>
      <c r="P11" s="32">
        <f t="shared" si="19"/>
        <v>0</v>
      </c>
      <c r="Q11" s="27">
        <f t="shared" si="8"/>
        <v>165</v>
      </c>
      <c r="R11" s="27"/>
      <c r="S11" s="33">
        <v>0.62809917355371903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0.72433087384259254</v>
      </c>
      <c r="AD11" s="37">
        <f t="shared" si="12"/>
        <v>-5.997459635416666</v>
      </c>
      <c r="AE11" s="37">
        <v>-8.08</v>
      </c>
      <c r="AF11" s="37">
        <v>-9.6468583333333306</v>
      </c>
      <c r="AG11" s="37">
        <v>0</v>
      </c>
    </row>
    <row r="12" spans="1:33" ht="15.75" customHeight="1" x14ac:dyDescent="0.2">
      <c r="A12" s="26" t="s">
        <v>52</v>
      </c>
      <c r="B12" s="26" t="s">
        <v>235</v>
      </c>
      <c r="C12" s="14">
        <f t="shared" si="4"/>
        <v>28.225882352941181</v>
      </c>
      <c r="D12" s="27">
        <v>17</v>
      </c>
      <c r="E12" s="27">
        <v>0</v>
      </c>
      <c r="F12" s="28">
        <v>479.84000000000009</v>
      </c>
      <c r="G12" s="28">
        <v>-0.34</v>
      </c>
      <c r="H12" s="29">
        <f t="shared" si="1"/>
        <v>7.0856952317439144E-4</v>
      </c>
      <c r="I12" s="29">
        <f t="shared" si="2"/>
        <v>0.18584237669428608</v>
      </c>
      <c r="J12" s="30">
        <f t="shared" si="5"/>
        <v>89.174606032986247</v>
      </c>
      <c r="K12" s="30">
        <f t="shared" si="3"/>
        <v>5.2455650607638971</v>
      </c>
      <c r="L12" s="27">
        <v>25</v>
      </c>
      <c r="M12" s="31">
        <f t="shared" si="6"/>
        <v>0.68</v>
      </c>
      <c r="N12" s="27">
        <v>127</v>
      </c>
      <c r="O12" s="32">
        <f t="shared" ref="O12:P12" si="20">D12/7</f>
        <v>2.4285714285714284</v>
      </c>
      <c r="P12" s="32">
        <f t="shared" si="20"/>
        <v>0</v>
      </c>
      <c r="Q12" s="27">
        <f t="shared" si="8"/>
        <v>52</v>
      </c>
      <c r="R12" s="27"/>
      <c r="S12" s="33">
        <v>0.73469387755102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0.72433087384259254</v>
      </c>
      <c r="AD12" s="37">
        <f t="shared" si="12"/>
        <v>-16.992802300347218</v>
      </c>
      <c r="AE12" s="37">
        <v>-8.08</v>
      </c>
      <c r="AF12" s="37">
        <v>-9.6468583333333306</v>
      </c>
      <c r="AG12" s="37">
        <v>0</v>
      </c>
    </row>
    <row r="13" spans="1:33" ht="15.75" customHeight="1" x14ac:dyDescent="0.2">
      <c r="A13" s="26" t="s">
        <v>54</v>
      </c>
      <c r="B13" s="26" t="s">
        <v>236</v>
      </c>
      <c r="C13" s="14">
        <f t="shared" si="4"/>
        <v>30.200000000000003</v>
      </c>
      <c r="D13" s="27">
        <v>16</v>
      </c>
      <c r="E13" s="27">
        <v>0</v>
      </c>
      <c r="F13" s="30">
        <v>483.20000000000005</v>
      </c>
      <c r="G13" s="28">
        <v>-0.39999999999999997</v>
      </c>
      <c r="H13" s="29">
        <f t="shared" si="1"/>
        <v>8.2781456953642373E-4</v>
      </c>
      <c r="I13" s="29">
        <f t="shared" si="2"/>
        <v>0.1839184503863136</v>
      </c>
      <c r="J13" s="30">
        <f t="shared" si="5"/>
        <v>88.86939522666674</v>
      </c>
      <c r="K13" s="30">
        <f t="shared" si="3"/>
        <v>5.5543372016666712</v>
      </c>
      <c r="L13" s="27">
        <v>29</v>
      </c>
      <c r="M13" s="31">
        <f t="shared" si="6"/>
        <v>0.55172413793103448</v>
      </c>
      <c r="N13" s="27">
        <v>110</v>
      </c>
      <c r="O13" s="32">
        <f t="shared" ref="O13:P13" si="21">D13/7</f>
        <v>2.2857142857142856</v>
      </c>
      <c r="P13" s="32">
        <f t="shared" si="21"/>
        <v>0</v>
      </c>
      <c r="Q13" s="27">
        <f t="shared" si="8"/>
        <v>48</v>
      </c>
      <c r="R13" s="27"/>
      <c r="S13" s="33">
        <v>0.88615384615384596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0.91241869444444446</v>
      </c>
      <c r="AD13" s="37">
        <f t="shared" si="12"/>
        <v>-20.146204773333331</v>
      </c>
      <c r="AE13" s="37">
        <v>-8.84</v>
      </c>
      <c r="AF13" s="37">
        <v>-9.9915249999999993</v>
      </c>
      <c r="AG13" s="37">
        <v>0</v>
      </c>
    </row>
    <row r="14" spans="1:33" ht="15.75" customHeight="1" x14ac:dyDescent="0.2">
      <c r="A14" s="26" t="s">
        <v>56</v>
      </c>
      <c r="B14" s="26" t="s">
        <v>237</v>
      </c>
      <c r="C14" s="14">
        <f t="shared" si="4"/>
        <v>31.602631578947371</v>
      </c>
      <c r="D14" s="27">
        <v>19</v>
      </c>
      <c r="E14" s="27">
        <v>0</v>
      </c>
      <c r="F14" s="30">
        <v>600.45000000000005</v>
      </c>
      <c r="G14" s="28">
        <v>-0.08</v>
      </c>
      <c r="H14" s="29">
        <f t="shared" si="1"/>
        <v>1.3323340827712548E-4</v>
      </c>
      <c r="I14" s="29">
        <f t="shared" si="2"/>
        <v>0.21413924028922771</v>
      </c>
      <c r="J14" s="30">
        <f t="shared" si="5"/>
        <v>128.57990683166679</v>
      </c>
      <c r="K14" s="30">
        <f t="shared" si="3"/>
        <v>6.7673635174561468</v>
      </c>
      <c r="L14" s="27">
        <v>45</v>
      </c>
      <c r="M14" s="31">
        <f t="shared" si="6"/>
        <v>0.42222222222222222</v>
      </c>
      <c r="N14" s="27">
        <v>90</v>
      </c>
      <c r="O14" s="32">
        <f t="shared" ref="O14:P14" si="22">D14/7</f>
        <v>2.7142857142857144</v>
      </c>
      <c r="P14" s="32">
        <f t="shared" si="22"/>
        <v>0</v>
      </c>
      <c r="Q14" s="27">
        <f t="shared" si="8"/>
        <v>33</v>
      </c>
      <c r="R14" s="27"/>
      <c r="S14" s="33">
        <v>1.35766423357664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0.91241869444444446</v>
      </c>
      <c r="AD14" s="37">
        <f t="shared" si="12"/>
        <v>-23.923618168333331</v>
      </c>
      <c r="AE14" s="37">
        <v>-8.84</v>
      </c>
      <c r="AF14" s="37">
        <v>-9.9915249999999993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32.99</v>
      </c>
      <c r="D15" s="27">
        <v>9</v>
      </c>
      <c r="E15" s="27">
        <v>0</v>
      </c>
      <c r="F15" s="30">
        <v>296.91000000000003</v>
      </c>
      <c r="G15" s="28">
        <v>-0.16</v>
      </c>
      <c r="H15" s="29">
        <f t="shared" si="1"/>
        <v>5.3888383685291833E-4</v>
      </c>
      <c r="I15" s="29">
        <f t="shared" si="2"/>
        <v>0.24046860939341891</v>
      </c>
      <c r="J15" s="30">
        <f t="shared" si="5"/>
        <v>71.397534815000014</v>
      </c>
      <c r="K15" s="30">
        <f t="shared" si="3"/>
        <v>7.9330594238888903</v>
      </c>
      <c r="L15" s="27">
        <v>18</v>
      </c>
      <c r="M15" s="31">
        <f t="shared" si="6"/>
        <v>0.5</v>
      </c>
      <c r="N15" s="27">
        <v>80</v>
      </c>
      <c r="O15" s="32">
        <f t="shared" ref="O15:P15" si="23">D15/7</f>
        <v>1.2857142857142858</v>
      </c>
      <c r="P15" s="32">
        <f t="shared" si="23"/>
        <v>0</v>
      </c>
      <c r="Q15" s="27">
        <f t="shared" si="8"/>
        <v>62</v>
      </c>
      <c r="R15" s="27"/>
      <c r="S15" s="33">
        <v>0.90099009900990101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0.91241869444444446</v>
      </c>
      <c r="AD15" s="37">
        <f t="shared" si="12"/>
        <v>-11.332240184999998</v>
      </c>
      <c r="AE15" s="37">
        <v>-8.84</v>
      </c>
      <c r="AF15" s="37">
        <v>-9.9915249999999993</v>
      </c>
      <c r="AG15" s="37">
        <v>0</v>
      </c>
    </row>
    <row r="16" spans="1:33" ht="15.75" customHeight="1" x14ac:dyDescent="0.2">
      <c r="A16" s="26" t="s">
        <v>60</v>
      </c>
      <c r="B16" s="26" t="s">
        <v>238</v>
      </c>
      <c r="C16" s="14">
        <f t="shared" si="4"/>
        <v>32.99</v>
      </c>
      <c r="D16" s="27">
        <v>11</v>
      </c>
      <c r="E16" s="27">
        <v>0</v>
      </c>
      <c r="F16" s="30">
        <v>362.89000000000004</v>
      </c>
      <c r="G16" s="28">
        <v>-0.24</v>
      </c>
      <c r="H16" s="29">
        <f t="shared" si="1"/>
        <v>6.6135743613767242E-4</v>
      </c>
      <c r="I16" s="29">
        <f t="shared" si="2"/>
        <v>0.24034613579413416</v>
      </c>
      <c r="J16" s="30">
        <f t="shared" si="5"/>
        <v>87.219209218333361</v>
      </c>
      <c r="K16" s="30">
        <f t="shared" si="3"/>
        <v>7.9290190198484876</v>
      </c>
      <c r="L16" s="27">
        <v>27</v>
      </c>
      <c r="M16" s="31">
        <f t="shared" si="6"/>
        <v>0.40740740740740738</v>
      </c>
      <c r="N16" s="27">
        <v>68</v>
      </c>
      <c r="O16" s="32">
        <f t="shared" ref="O16:P16" si="24">D16/7</f>
        <v>1.5714285714285714</v>
      </c>
      <c r="P16" s="32">
        <f t="shared" si="24"/>
        <v>0</v>
      </c>
      <c r="Q16" s="27">
        <f t="shared" si="8"/>
        <v>43</v>
      </c>
      <c r="R16" s="27"/>
      <c r="S16" s="33">
        <v>0.9375</v>
      </c>
      <c r="T16" s="26">
        <v>360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0.91241869444444446</v>
      </c>
      <c r="AD16" s="37">
        <f t="shared" si="12"/>
        <v>-13.850515781666665</v>
      </c>
      <c r="AE16" s="37">
        <v>-8.84</v>
      </c>
      <c r="AF16" s="37">
        <v>-9.9915249999999993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29.134285714285717</v>
      </c>
      <c r="D17" s="27">
        <v>7</v>
      </c>
      <c r="E17" s="27">
        <v>0</v>
      </c>
      <c r="F17" s="30">
        <v>203.94000000000003</v>
      </c>
      <c r="G17" s="28">
        <v>-0.38</v>
      </c>
      <c r="H17" s="29">
        <f t="shared" si="1"/>
        <v>1.8632931254290476E-3</v>
      </c>
      <c r="I17" s="29">
        <f t="shared" si="2"/>
        <v>0.1585483986057992</v>
      </c>
      <c r="J17" s="30">
        <f t="shared" si="5"/>
        <v>32.334360411666694</v>
      </c>
      <c r="K17" s="30">
        <f t="shared" si="3"/>
        <v>4.6191943445238133</v>
      </c>
      <c r="L17" s="27">
        <v>22</v>
      </c>
      <c r="M17" s="31">
        <f t="shared" si="6"/>
        <v>0.31818181818181818</v>
      </c>
      <c r="N17" s="27">
        <v>60</v>
      </c>
      <c r="O17" s="32">
        <f t="shared" ref="O17:P17" si="25">D17/7</f>
        <v>1</v>
      </c>
      <c r="P17" s="32">
        <f t="shared" si="25"/>
        <v>0</v>
      </c>
      <c r="Q17" s="27">
        <f t="shared" si="8"/>
        <v>60</v>
      </c>
      <c r="R17" s="27"/>
      <c r="S17" s="33">
        <v>1.0198300283286099</v>
      </c>
      <c r="T17" s="26">
        <v>360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0.91241869444444446</v>
      </c>
      <c r="AD17" s="37">
        <f t="shared" si="12"/>
        <v>-8.8139645883333326</v>
      </c>
      <c r="AE17" s="37">
        <v>-8.84</v>
      </c>
      <c r="AF17" s="37">
        <v>-9.9915249999999993</v>
      </c>
      <c r="AG17" s="37">
        <v>0</v>
      </c>
    </row>
    <row r="18" spans="1:33" ht="15.75" customHeight="1" x14ac:dyDescent="0.2">
      <c r="A18" s="26" t="s">
        <v>62</v>
      </c>
      <c r="B18" s="26" t="s">
        <v>239</v>
      </c>
      <c r="C18" s="14">
        <f t="shared" si="4"/>
        <v>33.99</v>
      </c>
      <c r="D18" s="27">
        <v>10</v>
      </c>
      <c r="E18" s="27">
        <v>0</v>
      </c>
      <c r="F18" s="30">
        <v>339.90000000000003</v>
      </c>
      <c r="G18" s="28">
        <v>-0.27999999999999997</v>
      </c>
      <c r="H18" s="29">
        <f t="shared" si="1"/>
        <v>8.2377169755810519E-4</v>
      </c>
      <c r="I18" s="29">
        <f t="shared" si="2"/>
        <v>0.25801463102505656</v>
      </c>
      <c r="J18" s="30">
        <f t="shared" si="5"/>
        <v>87.699173085416732</v>
      </c>
      <c r="K18" s="30">
        <f t="shared" si="3"/>
        <v>8.7699173085416735</v>
      </c>
      <c r="L18" s="27">
        <v>22</v>
      </c>
      <c r="M18" s="31">
        <f t="shared" si="6"/>
        <v>0.45454545454545453</v>
      </c>
      <c r="N18" s="27">
        <v>49</v>
      </c>
      <c r="O18" s="32">
        <f t="shared" ref="O18:P18" si="26">D18/7</f>
        <v>1.4285714285714286</v>
      </c>
      <c r="P18" s="32">
        <f t="shared" si="26"/>
        <v>0</v>
      </c>
      <c r="Q18" s="27">
        <f t="shared" si="8"/>
        <v>34</v>
      </c>
      <c r="R18" s="27"/>
      <c r="S18" s="33">
        <v>1.3552631578947301</v>
      </c>
      <c r="T18" s="26">
        <v>360</v>
      </c>
      <c r="U18" s="34" t="s">
        <v>34</v>
      </c>
      <c r="V18" s="35" t="s">
        <v>34</v>
      </c>
      <c r="W18" s="26">
        <v>1</v>
      </c>
      <c r="X18" s="36">
        <f t="shared" si="9"/>
        <v>0.1</v>
      </c>
      <c r="Y18" s="37">
        <f t="shared" si="10"/>
        <v>0.27999999999999997</v>
      </c>
      <c r="Z18" s="26">
        <v>0</v>
      </c>
      <c r="AA18" s="26" t="s">
        <v>37</v>
      </c>
      <c r="AB18" s="38">
        <f t="shared" si="11"/>
        <v>-0.69</v>
      </c>
      <c r="AC18" s="39">
        <v>0.9145345590277778</v>
      </c>
      <c r="AD18" s="37">
        <f t="shared" si="12"/>
        <v>-12.620576914583332</v>
      </c>
      <c r="AE18" s="37">
        <v>-8.84</v>
      </c>
      <c r="AF18" s="37">
        <v>-9.9915249999999993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34.656666666666666</v>
      </c>
      <c r="D19" s="27">
        <v>3</v>
      </c>
      <c r="E19" s="27">
        <v>0</v>
      </c>
      <c r="F19" s="30">
        <v>103.97</v>
      </c>
      <c r="G19" s="28">
        <v>-0.24</v>
      </c>
      <c r="H19" s="29">
        <f t="shared" si="1"/>
        <v>2.3083581802443012E-3</v>
      </c>
      <c r="I19" s="29">
        <f t="shared" si="2"/>
        <v>0.2679018171167164</v>
      </c>
      <c r="J19" s="30">
        <f t="shared" si="5"/>
        <v>27.853751925625001</v>
      </c>
      <c r="K19" s="30">
        <f t="shared" si="3"/>
        <v>9.2845839752083332</v>
      </c>
      <c r="L19" s="27">
        <v>11</v>
      </c>
      <c r="M19" s="31">
        <f t="shared" si="6"/>
        <v>0.27272727272727271</v>
      </c>
      <c r="N19" s="27">
        <v>46</v>
      </c>
      <c r="O19" s="32">
        <f t="shared" ref="O19:P19" si="27">D19/7</f>
        <v>0.42857142857142855</v>
      </c>
      <c r="P19" s="32">
        <f t="shared" si="27"/>
        <v>0</v>
      </c>
      <c r="Q19" s="27">
        <f t="shared" si="8"/>
        <v>107</v>
      </c>
      <c r="R19" s="27"/>
      <c r="S19" s="33">
        <v>1.4285714285714199</v>
      </c>
      <c r="T19" s="26">
        <v>360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0.9145345590277778</v>
      </c>
      <c r="AD19" s="37">
        <f t="shared" si="12"/>
        <v>-3.7861730743749997</v>
      </c>
      <c r="AE19" s="37">
        <v>-8.84</v>
      </c>
      <c r="AF19" s="37">
        <v>-9.9915249999999993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35.088888888888889</v>
      </c>
      <c r="D20" s="27">
        <v>9</v>
      </c>
      <c r="E20" s="27">
        <v>0</v>
      </c>
      <c r="F20" s="30">
        <v>315.8</v>
      </c>
      <c r="G20" s="28">
        <v>-0.35000000000000003</v>
      </c>
      <c r="H20" s="29">
        <f t="shared" si="1"/>
        <v>1.1082963901203294E-3</v>
      </c>
      <c r="I20" s="29">
        <f t="shared" si="2"/>
        <v>0.27624368517059844</v>
      </c>
      <c r="J20" s="30">
        <f t="shared" si="5"/>
        <v>87.237755776874991</v>
      </c>
      <c r="K20" s="30">
        <f t="shared" si="3"/>
        <v>9.6930839752083315</v>
      </c>
      <c r="L20" s="27">
        <v>12</v>
      </c>
      <c r="M20" s="31">
        <f t="shared" si="6"/>
        <v>0.75</v>
      </c>
      <c r="N20" s="27">
        <v>38</v>
      </c>
      <c r="O20" s="32">
        <f t="shared" ref="O20:P20" si="28">D20/7</f>
        <v>1.2857142857142858</v>
      </c>
      <c r="P20" s="32">
        <f t="shared" si="28"/>
        <v>0</v>
      </c>
      <c r="Q20" s="27">
        <f t="shared" si="8"/>
        <v>29</v>
      </c>
      <c r="R20" s="27"/>
      <c r="S20" s="33">
        <v>0.98148148148148096</v>
      </c>
      <c r="T20" s="26">
        <v>360</v>
      </c>
      <c r="U20" s="34" t="s">
        <v>34</v>
      </c>
      <c r="V20" s="35" t="s">
        <v>34</v>
      </c>
      <c r="W20" s="26">
        <v>3</v>
      </c>
      <c r="X20" s="36">
        <f t="shared" si="9"/>
        <v>0.33333333333333331</v>
      </c>
      <c r="Y20" s="37">
        <f t="shared" si="10"/>
        <v>0.11666666666666668</v>
      </c>
      <c r="Z20" s="26">
        <v>0</v>
      </c>
      <c r="AA20" s="26" t="s">
        <v>37</v>
      </c>
      <c r="AB20" s="38">
        <f t="shared" si="11"/>
        <v>-0.69</v>
      </c>
      <c r="AC20" s="39">
        <v>0.9145345590277778</v>
      </c>
      <c r="AD20" s="37">
        <f t="shared" si="12"/>
        <v>-11.358519223124999</v>
      </c>
      <c r="AE20" s="37">
        <v>-8.84</v>
      </c>
      <c r="AF20" s="37">
        <v>-9.9915249999999993</v>
      </c>
      <c r="AG20" s="37">
        <v>0</v>
      </c>
    </row>
    <row r="21" spans="1:33" ht="15.75" customHeight="1" x14ac:dyDescent="0.2">
      <c r="A21" s="26" t="s">
        <v>66</v>
      </c>
      <c r="B21" s="26" t="s">
        <v>240</v>
      </c>
      <c r="C21" s="14">
        <f t="shared" si="4"/>
        <v>35.03923076923077</v>
      </c>
      <c r="D21" s="27">
        <v>13</v>
      </c>
      <c r="E21" s="27">
        <v>0</v>
      </c>
      <c r="F21" s="30">
        <v>455.51</v>
      </c>
      <c r="G21" s="28">
        <v>-0.11</v>
      </c>
      <c r="H21" s="29">
        <f t="shared" si="1"/>
        <v>2.4148756339048539E-4</v>
      </c>
      <c r="I21" s="29">
        <f t="shared" si="2"/>
        <v>0.27629892869759537</v>
      </c>
      <c r="J21" s="30">
        <f t="shared" si="5"/>
        <v>125.85692501104165</v>
      </c>
      <c r="K21" s="30">
        <f t="shared" si="3"/>
        <v>9.6813019239262808</v>
      </c>
      <c r="L21" s="27">
        <v>12</v>
      </c>
      <c r="M21" s="31">
        <f t="shared" si="6"/>
        <v>1.0833333333333333</v>
      </c>
      <c r="N21" s="27">
        <v>24</v>
      </c>
      <c r="O21" s="32">
        <f t="shared" ref="O21:P21" si="29">D21/7</f>
        <v>1.8571428571428572</v>
      </c>
      <c r="P21" s="32">
        <f t="shared" si="29"/>
        <v>0</v>
      </c>
      <c r="Q21" s="27">
        <f t="shared" si="8"/>
        <v>12</v>
      </c>
      <c r="R21" s="27"/>
      <c r="S21" s="33">
        <v>1.3403693931398399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0.9145345590277778</v>
      </c>
      <c r="AD21" s="37">
        <f t="shared" si="12"/>
        <v>-16.406749988958332</v>
      </c>
      <c r="AE21" s="37">
        <v>-8.84</v>
      </c>
      <c r="AF21" s="37">
        <v>-9.9915249999999993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36.99</v>
      </c>
      <c r="D22" s="27">
        <v>8</v>
      </c>
      <c r="E22" s="27">
        <v>0</v>
      </c>
      <c r="F22" s="28">
        <v>295.92</v>
      </c>
      <c r="G22" s="28">
        <v>-0.08</v>
      </c>
      <c r="H22" s="29">
        <f t="shared" si="1"/>
        <v>2.703433360367667E-4</v>
      </c>
      <c r="I22" s="29">
        <f t="shared" si="2"/>
        <v>0.30651303889001535</v>
      </c>
      <c r="J22" s="30">
        <f t="shared" si="5"/>
        <v>90.703338468333342</v>
      </c>
      <c r="K22" s="30">
        <f t="shared" si="3"/>
        <v>11.337917308541668</v>
      </c>
      <c r="L22" s="27">
        <v>24</v>
      </c>
      <c r="M22" s="31">
        <f t="shared" si="6"/>
        <v>0.33333333333333331</v>
      </c>
      <c r="N22" s="27">
        <v>17</v>
      </c>
      <c r="O22" s="32">
        <f t="shared" ref="O22:P22" si="30">D22/7</f>
        <v>1.1428571428571428</v>
      </c>
      <c r="P22" s="32">
        <f t="shared" si="30"/>
        <v>0</v>
      </c>
      <c r="Q22" s="27">
        <f t="shared" si="8"/>
        <v>14</v>
      </c>
      <c r="R22" s="27"/>
      <c r="S22" s="33">
        <v>1.4227405247813401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0.9145345590277778</v>
      </c>
      <c r="AD22" s="37">
        <f t="shared" si="12"/>
        <v>-10.096461531666666</v>
      </c>
      <c r="AE22" s="37">
        <v>-8.84</v>
      </c>
      <c r="AF22" s="37">
        <v>-9.9915249999999993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>
        <f t="shared" si="4"/>
        <v>36.99</v>
      </c>
      <c r="D23" s="27">
        <v>12</v>
      </c>
      <c r="E23" s="27">
        <v>0</v>
      </c>
      <c r="F23" s="30">
        <v>443.88000000000005</v>
      </c>
      <c r="G23" s="28">
        <v>-7.0000000000000007E-2</v>
      </c>
      <c r="H23" s="29">
        <f t="shared" si="1"/>
        <v>1.5770027935478056E-4</v>
      </c>
      <c r="I23" s="29">
        <f t="shared" si="2"/>
        <v>0.34074457060466806</v>
      </c>
      <c r="J23" s="30">
        <f t="shared" si="5"/>
        <v>151.24970000000008</v>
      </c>
      <c r="K23" s="30">
        <f t="shared" si="3"/>
        <v>12.604141666666672</v>
      </c>
      <c r="L23" s="27">
        <v>15</v>
      </c>
      <c r="M23" s="31">
        <f t="shared" si="6"/>
        <v>0.8</v>
      </c>
      <c r="N23" s="27">
        <v>1</v>
      </c>
      <c r="O23" s="32">
        <f t="shared" ref="O23:P23" si="31">D23/7</f>
        <v>1.7142857142857142</v>
      </c>
      <c r="P23" s="32">
        <f t="shared" si="31"/>
        <v>0</v>
      </c>
      <c r="Q23" s="27">
        <f t="shared" si="8"/>
        <v>0</v>
      </c>
      <c r="R23" s="27"/>
      <c r="S23" s="33">
        <v>1.71612903225806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 t="e">
        <v>#N/A</v>
      </c>
      <c r="AD23" s="37">
        <f t="shared" si="12"/>
        <v>0</v>
      </c>
      <c r="AE23" s="37">
        <v>-8.84</v>
      </c>
      <c r="AF23" s="37">
        <v>-9.9915249999999993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1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 t="e">
        <v>#N/A</v>
      </c>
      <c r="AD24" s="37">
        <f t="shared" si="12"/>
        <v>0</v>
      </c>
      <c r="AE24" s="37">
        <v>-8.84</v>
      </c>
      <c r="AF24" s="37">
        <v>-9.9915249999999993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1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100</v>
      </c>
      <c r="U25" s="34">
        <v>100</v>
      </c>
      <c r="V25" s="35" t="s">
        <v>241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 t="e">
        <v>#N/A</v>
      </c>
      <c r="AD25" s="37">
        <f t="shared" si="12"/>
        <v>0</v>
      </c>
      <c r="AE25" s="42">
        <v>-8.84</v>
      </c>
      <c r="AF25" s="42">
        <v>-9.99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1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100</v>
      </c>
      <c r="U26" s="34">
        <v>100</v>
      </c>
      <c r="V26" s="35" t="s">
        <v>242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 t="e">
        <v>#N/A</v>
      </c>
      <c r="AD26" s="37">
        <f t="shared" si="12"/>
        <v>0</v>
      </c>
      <c r="AE26" s="42">
        <v>-8.84</v>
      </c>
      <c r="AF26" s="42">
        <v>-9.9915249999999993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1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100</v>
      </c>
      <c r="U27" s="34">
        <v>100</v>
      </c>
      <c r="V27" s="35" t="s">
        <v>243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 t="e">
        <v>#N/A</v>
      </c>
      <c r="AD27" s="37">
        <f t="shared" si="12"/>
        <v>0</v>
      </c>
      <c r="AE27" s="42">
        <v>-8.84</v>
      </c>
      <c r="AF27" s="42">
        <v>-9.9915249999999993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-0.24</v>
      </c>
      <c r="H28" s="29" t="e">
        <f t="shared" si="1"/>
        <v>#DIV/0!</v>
      </c>
      <c r="I28" s="29" t="e">
        <f t="shared" si="2"/>
        <v>#DIV/0!</v>
      </c>
      <c r="J28" s="30">
        <f t="shared" si="5"/>
        <v>-0.24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2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1.883870967741935</v>
      </c>
      <c r="T28" s="40" t="s">
        <v>34</v>
      </c>
      <c r="U28" s="22">
        <v>100</v>
      </c>
      <c r="V28" s="1" t="s">
        <v>244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 t="e">
        <v>#N/A</v>
      </c>
      <c r="AD28" s="37">
        <f t="shared" si="12"/>
        <v>0</v>
      </c>
      <c r="AE28" s="42">
        <v>-8.84</v>
      </c>
      <c r="AF28" s="42">
        <v>-9.9915249999999993</v>
      </c>
      <c r="AG28" s="42">
        <v>0</v>
      </c>
    </row>
    <row r="29" spans="1:33" ht="15.75" customHeight="1" x14ac:dyDescent="0.2">
      <c r="A29" s="26" t="s">
        <v>82</v>
      </c>
      <c r="B29" s="26" t="s">
        <v>76</v>
      </c>
      <c r="C29" s="14">
        <f t="shared" si="4"/>
        <v>37.26</v>
      </c>
      <c r="D29" s="27">
        <v>1</v>
      </c>
      <c r="E29" s="27">
        <v>0</v>
      </c>
      <c r="F29" s="30">
        <v>37.26</v>
      </c>
      <c r="G29" s="30">
        <v>-0.32</v>
      </c>
      <c r="H29" s="29">
        <f t="shared" si="1"/>
        <v>8.5882984433709071E-3</v>
      </c>
      <c r="I29" s="29">
        <f t="shared" si="2"/>
        <v>0.33600308641975302</v>
      </c>
      <c r="J29" s="30">
        <f t="shared" si="5"/>
        <v>12.519474999999996</v>
      </c>
      <c r="K29" s="30">
        <f t="shared" si="3"/>
        <v>12.519474999999996</v>
      </c>
      <c r="L29" s="27">
        <v>8</v>
      </c>
      <c r="M29" s="31">
        <f t="shared" si="6"/>
        <v>0.125</v>
      </c>
      <c r="N29" s="15">
        <v>1</v>
      </c>
      <c r="O29" s="32">
        <f t="shared" ref="O29:P29" si="37">D29/7</f>
        <v>0.14285714285714285</v>
      </c>
      <c r="P29" s="32">
        <f t="shared" si="37"/>
        <v>0</v>
      </c>
      <c r="Q29" s="27">
        <f t="shared" si="8"/>
        <v>7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 t="e">
        <v>#N/A</v>
      </c>
      <c r="AD29" s="37">
        <f t="shared" si="12"/>
        <v>0</v>
      </c>
      <c r="AE29" s="37">
        <v>-8.84</v>
      </c>
      <c r="AF29" s="42">
        <v>-9.9915249999999993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1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102</v>
      </c>
      <c r="U30" s="34">
        <v>102</v>
      </c>
      <c r="V30" s="35" t="s">
        <v>245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 t="e">
        <v>#N/A</v>
      </c>
      <c r="AD30" s="37">
        <f t="shared" si="12"/>
        <v>0</v>
      </c>
      <c r="AE30" s="42">
        <v>-8.84</v>
      </c>
      <c r="AF30" s="42">
        <v>-12.524818639999999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1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>
        <v>160</v>
      </c>
      <c r="U31" s="22">
        <v>100</v>
      </c>
      <c r="V31" s="1" t="s">
        <v>246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 t="e">
        <v>#N/A</v>
      </c>
      <c r="AD31" s="37">
        <f t="shared" si="12"/>
        <v>0</v>
      </c>
      <c r="AE31" s="45">
        <v>-8.84</v>
      </c>
      <c r="AF31" s="45">
        <v>-12.524818640000001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1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IFERROR(__xludf.DUMMYFUNCTION("IFERROR(VLOOKUP($B$2,IMPORTRANGE(""https://docs.google.com/spreadsheets/d/1KiWZV1ko8G7lnRucBRBd29jj3Be6ltMfljMDqzOkQmI/edit#gid=1381463014"",""Lookup!A:D""),4,FALSE),"""")"),160)</f>
        <v>160</v>
      </c>
      <c r="U32" s="22">
        <f ca="1">IFERROR(__xludf.DUMMYFUNCTION("IFERROR(VLOOKUP($B$2,IMPORTRANGE(""https://docs.google.com/spreadsheets/d/1KiWZV1ko8G7lnRucBRBd29jj3Be6ltMfljMDqzOkQmI/edit#gid=1381463014"",""Lookup!A:D""),3,FALSE),"""")"),100)</f>
        <v>100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AGL211  - 100 units 07/23")</f>
        <v>| AGL211  - 100 units 07/23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 t="e">
        <v>#N/A</v>
      </c>
      <c r="AD32" s="37">
        <f t="shared" si="12"/>
        <v>0</v>
      </c>
      <c r="AE32" s="42">
        <v>-8.84</v>
      </c>
      <c r="AF32" s="42">
        <v>-12.524818639999999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1:33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1:33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1:33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1:33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1:33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3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3.5" customWidth="1"/>
    <col min="28" max="28" width="11.1640625" customWidth="1"/>
    <col min="29" max="29" width="8.1640625" customWidth="1"/>
    <col min="30" max="30" width="12.5" customWidth="1"/>
    <col min="31" max="31" width="9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Info!B1:BJ5000""),3,FALSE),"""")"),"30x48"" Office Chair Mat Hardwood - w/Lip")</f>
        <v>30x48" Office Chair Mat Hardwood - w/Lip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Info!B1:BJ5000""),2,FALSE),"""")"),"B07DRLQQ2J")</f>
        <v>B07DRLQQ2J</v>
      </c>
      <c r="B2" s="3" t="s">
        <v>247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20.12640028676471</v>
      </c>
      <c r="D3" s="5">
        <f>SUM(D4:D99767)</f>
        <v>390</v>
      </c>
      <c r="E3" s="5"/>
      <c r="F3" s="6">
        <f t="shared" ref="F3:G3" si="0">SUM(F4:F99767)</f>
        <v>9540.8000000000029</v>
      </c>
      <c r="G3" s="6">
        <f t="shared" si="0"/>
        <v>-655.99000000000012</v>
      </c>
      <c r="H3" s="7">
        <f t="shared" ref="H3:H32" si="1">G3/F3*-1</f>
        <v>6.8756288780815022E-2</v>
      </c>
      <c r="I3" s="8">
        <f t="shared" ref="I3:I32" si="2">J3/F3</f>
        <v>0.13534365340241411</v>
      </c>
      <c r="J3" s="6">
        <f>SUM(J4:J99767)</f>
        <v>1291.2867283817529</v>
      </c>
      <c r="K3" s="6">
        <f t="shared" ref="K3:K32" si="3">J3/D3</f>
        <v>3.3109916112352638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Sheet!a1:g5000""),2,FALSE),"""")"),"4.0 - March
4.0 - April
4.0 - May
4.0 - June
4.0 - July
4.0 - Aug
4.0 - Sept
4.0 - Oct
4.0 - Nov
4.0 - Dec
4.0 - Jan
4.0 - Feb")</f>
        <v>4.0 - March
4.0 - April
4.0 - May
4.0 - June
4.0 - July
4.0 - Aug
4.0 - Sept
4.0 - Oct
4.0 - Nov
4.0 - Dec
4.0 - Jan
4.0 -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50</v>
      </c>
      <c r="X3" s="7">
        <f>W3/D3</f>
        <v>0.12820512820512819</v>
      </c>
      <c r="Y3" s="6"/>
      <c r="Z3" s="5"/>
      <c r="AA3" s="5"/>
      <c r="AB3" s="5"/>
      <c r="AC3" s="5"/>
      <c r="AD3" s="6">
        <f>SUM(AD4:AD99767)</f>
        <v>-107.46858246427193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Info!B2:BZ3000""),37,FALSE)),"""")*-1"),-7.30744024375)</f>
        <v>-7.3074402437500003</v>
      </c>
      <c r="AG3" s="6">
        <f>SUM(AG4:AG99767)</f>
        <v>-40.96</v>
      </c>
    </row>
    <row r="4" spans="1:33" x14ac:dyDescent="0.2">
      <c r="A4" s="1" t="s">
        <v>32</v>
      </c>
      <c r="B4" s="2" t="s">
        <v>248</v>
      </c>
      <c r="C4" s="14">
        <f t="shared" ref="C4:C32" si="4">IFERROR(F4/D4," - ")</f>
        <v>29.819999999999997</v>
      </c>
      <c r="D4" s="15">
        <v>3</v>
      </c>
      <c r="E4" s="15">
        <v>0</v>
      </c>
      <c r="F4" s="16">
        <v>89.46</v>
      </c>
      <c r="G4" s="16">
        <v>-7.05</v>
      </c>
      <c r="H4" s="17">
        <f t="shared" si="1"/>
        <v>7.8806170355466137E-2</v>
      </c>
      <c r="I4" s="17">
        <f t="shared" si="2"/>
        <v>0.26574963459206419</v>
      </c>
      <c r="J4" s="16">
        <f t="shared" ref="J4:J32" si="5">F4*0.85+G4+AF4*D4+D4*AE4+AG4+AD4</f>
        <v>23.773962310606059</v>
      </c>
      <c r="K4" s="16">
        <f t="shared" si="3"/>
        <v>7.924654103535353</v>
      </c>
      <c r="L4" s="15">
        <v>91</v>
      </c>
      <c r="M4" s="18">
        <f t="shared" ref="M4:M32" si="6">IFERROR(D4/L4,"-")</f>
        <v>3.2967032967032968E-2</v>
      </c>
      <c r="N4" s="15">
        <v>94</v>
      </c>
      <c r="O4" s="19">
        <f t="shared" ref="O4:P4" si="7">D4/7</f>
        <v>0.42857142857142855</v>
      </c>
      <c r="P4" s="19">
        <f t="shared" si="7"/>
        <v>0</v>
      </c>
      <c r="Q4" s="15">
        <f t="shared" ref="Q4:Q32" si="8">ROUNDDOWN(N4/(O4+P4),0)</f>
        <v>219</v>
      </c>
      <c r="R4" s="15"/>
      <c r="S4" s="20">
        <v>1.4112554112554101</v>
      </c>
      <c r="T4" s="2">
        <v>369</v>
      </c>
      <c r="U4" s="2">
        <v>245</v>
      </c>
      <c r="V4" s="21" t="s">
        <v>249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2.35</v>
      </c>
      <c r="Z4" s="22">
        <v>3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0.28703703703703703</v>
      </c>
      <c r="AD4" s="24">
        <f t="shared" ref="AD4:AD32" si="12">IFERROR(AB4*AC4*D4*2,0)</f>
        <v>-0.82666666666666666</v>
      </c>
      <c r="AE4" s="24">
        <v>-9.4</v>
      </c>
      <c r="AF4" s="24">
        <v>-5.3967903409090905</v>
      </c>
      <c r="AG4" s="24">
        <v>0</v>
      </c>
    </row>
    <row r="5" spans="1:33" ht="15.75" customHeight="1" x14ac:dyDescent="0.2">
      <c r="A5" s="26" t="s">
        <v>35</v>
      </c>
      <c r="B5" s="26" t="s">
        <v>102</v>
      </c>
      <c r="C5" s="14">
        <f t="shared" si="4"/>
        <v>26.656666666666666</v>
      </c>
      <c r="D5" s="27">
        <v>6</v>
      </c>
      <c r="E5" s="27">
        <v>0</v>
      </c>
      <c r="F5" s="28">
        <v>159.94</v>
      </c>
      <c r="G5" s="28">
        <v>-20.139999999999997</v>
      </c>
      <c r="H5" s="29">
        <f t="shared" si="1"/>
        <v>0.12592222083281229</v>
      </c>
      <c r="I5" s="29">
        <f t="shared" si="2"/>
        <v>0.15864079544583501</v>
      </c>
      <c r="J5" s="30">
        <f t="shared" si="5"/>
        <v>25.373008823606853</v>
      </c>
      <c r="K5" s="30">
        <f t="shared" si="3"/>
        <v>4.2288348039344754</v>
      </c>
      <c r="L5" s="27">
        <v>187</v>
      </c>
      <c r="M5" s="31">
        <f t="shared" si="6"/>
        <v>3.2085561497326207E-2</v>
      </c>
      <c r="N5" s="27">
        <v>88</v>
      </c>
      <c r="O5" s="32">
        <f t="shared" ref="O5:P5" si="13">D5/7</f>
        <v>0.8571428571428571</v>
      </c>
      <c r="P5" s="32">
        <f t="shared" si="13"/>
        <v>0</v>
      </c>
      <c r="Q5" s="27">
        <f t="shared" si="8"/>
        <v>102</v>
      </c>
      <c r="R5" s="27"/>
      <c r="S5" s="33">
        <v>1.28605200945626</v>
      </c>
      <c r="T5" s="26">
        <v>369</v>
      </c>
      <c r="U5" s="34">
        <v>245</v>
      </c>
      <c r="V5" s="35" t="s">
        <v>251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0.28736964078794902</v>
      </c>
      <c r="AD5" s="37">
        <f t="shared" si="12"/>
        <v>-1.6552491309385864</v>
      </c>
      <c r="AE5" s="37">
        <v>-9.4</v>
      </c>
      <c r="AF5" s="37">
        <v>-5.3967903409090905</v>
      </c>
      <c r="AG5" s="37">
        <v>0</v>
      </c>
    </row>
    <row r="6" spans="1:33" ht="15.75" customHeight="1" x14ac:dyDescent="0.2">
      <c r="A6" s="26" t="s">
        <v>38</v>
      </c>
      <c r="B6" s="26" t="s">
        <v>252</v>
      </c>
      <c r="C6" s="14">
        <f t="shared" si="4"/>
        <v>25.990000000000002</v>
      </c>
      <c r="D6" s="27">
        <v>9</v>
      </c>
      <c r="E6" s="27">
        <v>0</v>
      </c>
      <c r="F6" s="28">
        <v>233.91000000000003</v>
      </c>
      <c r="G6" s="28">
        <v>-18.010000000000002</v>
      </c>
      <c r="H6" s="29">
        <f t="shared" si="1"/>
        <v>7.6995425591039293E-2</v>
      </c>
      <c r="I6" s="29">
        <f t="shared" si="2"/>
        <v>0.19307591352151765</v>
      </c>
      <c r="J6" s="30">
        <f t="shared" si="5"/>
        <v>45.162386931818197</v>
      </c>
      <c r="K6" s="30">
        <f t="shared" si="3"/>
        <v>5.0180429924242445</v>
      </c>
      <c r="L6" s="27">
        <v>158</v>
      </c>
      <c r="M6" s="31">
        <f t="shared" si="6"/>
        <v>5.6962025316455694E-2</v>
      </c>
      <c r="N6" s="27">
        <v>77</v>
      </c>
      <c r="O6" s="32">
        <f t="shared" ref="O6:P6" si="14">D6/7</f>
        <v>1.2857142857142858</v>
      </c>
      <c r="P6" s="32">
        <f t="shared" si="14"/>
        <v>0</v>
      </c>
      <c r="Q6" s="27">
        <f t="shared" si="8"/>
        <v>59</v>
      </c>
      <c r="R6" s="27"/>
      <c r="S6" s="33">
        <v>1.3125</v>
      </c>
      <c r="T6" s="26">
        <v>369</v>
      </c>
      <c r="U6" s="34">
        <v>245</v>
      </c>
      <c r="V6" s="49" t="s">
        <v>253</v>
      </c>
      <c r="W6" s="26">
        <v>0</v>
      </c>
      <c r="X6" s="36">
        <f t="shared" si="9"/>
        <v>0</v>
      </c>
      <c r="Y6" s="37">
        <f t="shared" si="10"/>
        <v>18.010000000000002</v>
      </c>
      <c r="Z6" s="26">
        <v>1</v>
      </c>
      <c r="AA6" s="26" t="s">
        <v>250</v>
      </c>
      <c r="AB6" s="38">
        <f t="shared" si="11"/>
        <v>-0.48</v>
      </c>
      <c r="AC6" s="39">
        <v>0.28703703703703703</v>
      </c>
      <c r="AD6" s="37">
        <f t="shared" si="12"/>
        <v>-2.48</v>
      </c>
      <c r="AE6" s="37">
        <v>-9.4</v>
      </c>
      <c r="AF6" s="37">
        <v>-5.3967903409090905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25.490000000000002</v>
      </c>
      <c r="D7" s="27">
        <v>14</v>
      </c>
      <c r="E7" s="27">
        <v>0</v>
      </c>
      <c r="F7" s="28">
        <v>356.86</v>
      </c>
      <c r="G7" s="28">
        <v>-123.81</v>
      </c>
      <c r="H7" s="29">
        <f t="shared" si="1"/>
        <v>0.3469427786807151</v>
      </c>
      <c r="I7" s="29">
        <f t="shared" si="2"/>
        <v>-8.8247050805652122E-2</v>
      </c>
      <c r="J7" s="30">
        <f t="shared" si="5"/>
        <v>-31.491842550505019</v>
      </c>
      <c r="K7" s="30">
        <f t="shared" si="3"/>
        <v>-2.2494173250360729</v>
      </c>
      <c r="L7" s="27">
        <v>237</v>
      </c>
      <c r="M7" s="31">
        <f t="shared" si="6"/>
        <v>5.9071729957805907E-2</v>
      </c>
      <c r="N7" s="27">
        <v>64</v>
      </c>
      <c r="O7" s="32">
        <f t="shared" ref="O7:P7" si="15">D7/7</f>
        <v>2</v>
      </c>
      <c r="P7" s="32">
        <f t="shared" si="15"/>
        <v>0</v>
      </c>
      <c r="Q7" s="27">
        <f t="shared" si="8"/>
        <v>32</v>
      </c>
      <c r="R7" s="27"/>
      <c r="S7" s="33">
        <v>1.0978520286396101</v>
      </c>
      <c r="T7" s="26">
        <v>369</v>
      </c>
      <c r="U7" s="34">
        <v>245</v>
      </c>
      <c r="V7" s="49" t="s">
        <v>255</v>
      </c>
      <c r="W7" s="26">
        <v>8</v>
      </c>
      <c r="X7" s="36">
        <f t="shared" si="9"/>
        <v>0.5714285714285714</v>
      </c>
      <c r="Y7" s="37">
        <f t="shared" si="10"/>
        <v>11.255454545454546</v>
      </c>
      <c r="Z7" s="26">
        <v>3</v>
      </c>
      <c r="AA7" s="26" t="s">
        <v>250</v>
      </c>
      <c r="AB7" s="38">
        <f t="shared" si="11"/>
        <v>-0.48</v>
      </c>
      <c r="AC7" s="39">
        <v>0.28703703703703703</v>
      </c>
      <c r="AD7" s="37">
        <f t="shared" si="12"/>
        <v>-3.8577777777777778</v>
      </c>
      <c r="AE7" s="37">
        <v>-9.4</v>
      </c>
      <c r="AF7" s="37">
        <v>-5.3967903409090905</v>
      </c>
      <c r="AG7" s="37">
        <v>0</v>
      </c>
    </row>
    <row r="8" spans="1:33" ht="15.75" customHeight="1" x14ac:dyDescent="0.2">
      <c r="A8" s="26" t="s">
        <v>43</v>
      </c>
      <c r="B8" s="26" t="s">
        <v>256</v>
      </c>
      <c r="C8" s="14">
        <f t="shared" si="4"/>
        <v>24.990000000000006</v>
      </c>
      <c r="D8" s="27">
        <v>17</v>
      </c>
      <c r="E8" s="27">
        <v>0</v>
      </c>
      <c r="F8" s="28">
        <v>424.8300000000001</v>
      </c>
      <c r="G8" s="28">
        <v>-37.499999999999993</v>
      </c>
      <c r="H8" s="29">
        <f t="shared" si="1"/>
        <v>8.8270602358590453E-2</v>
      </c>
      <c r="I8" s="29">
        <f t="shared" si="2"/>
        <v>0.15846587000813406</v>
      </c>
      <c r="J8" s="30">
        <f t="shared" si="5"/>
        <v>67.321055555555603</v>
      </c>
      <c r="K8" s="30">
        <f t="shared" si="3"/>
        <v>3.9600620915032709</v>
      </c>
      <c r="L8" s="27">
        <v>168</v>
      </c>
      <c r="M8" s="31">
        <f t="shared" si="6"/>
        <v>0.10119047619047619</v>
      </c>
      <c r="N8" s="27">
        <v>50</v>
      </c>
      <c r="O8" s="32">
        <f t="shared" ref="O8:P8" si="16">D8/7</f>
        <v>2.4285714285714284</v>
      </c>
      <c r="P8" s="32">
        <f t="shared" si="16"/>
        <v>0</v>
      </c>
      <c r="Q8" s="27">
        <f t="shared" si="8"/>
        <v>20</v>
      </c>
      <c r="R8" s="27"/>
      <c r="S8" s="33">
        <v>1.2283464566929101</v>
      </c>
      <c r="T8" s="26">
        <v>124</v>
      </c>
      <c r="U8" s="34" t="s">
        <v>34</v>
      </c>
      <c r="V8" s="35" t="s">
        <v>34</v>
      </c>
      <c r="W8" s="26">
        <v>1</v>
      </c>
      <c r="X8" s="36">
        <f t="shared" si="9"/>
        <v>5.8823529411764705E-2</v>
      </c>
      <c r="Y8" s="37">
        <f t="shared" si="10"/>
        <v>18.749999999999996</v>
      </c>
      <c r="Z8" s="26">
        <v>1</v>
      </c>
      <c r="AA8" s="26" t="s">
        <v>250</v>
      </c>
      <c r="AB8" s="38">
        <f t="shared" si="11"/>
        <v>-0.48</v>
      </c>
      <c r="AC8" s="39">
        <v>0.28703703703703703</v>
      </c>
      <c r="AD8" s="37">
        <f t="shared" si="12"/>
        <v>-4.6844444444444449</v>
      </c>
      <c r="AE8" s="37">
        <v>-9.4</v>
      </c>
      <c r="AF8" s="37">
        <v>-5.4</v>
      </c>
      <c r="AG8" s="37">
        <v>0</v>
      </c>
    </row>
    <row r="9" spans="1:33" ht="15.75" customHeight="1" x14ac:dyDescent="0.2">
      <c r="A9" s="26" t="s">
        <v>45</v>
      </c>
      <c r="B9" s="26" t="s">
        <v>257</v>
      </c>
      <c r="C9" s="14">
        <f t="shared" si="4"/>
        <v>25.001538461538466</v>
      </c>
      <c r="D9" s="27">
        <v>13</v>
      </c>
      <c r="E9" s="27">
        <v>0</v>
      </c>
      <c r="F9" s="28">
        <v>325.02000000000004</v>
      </c>
      <c r="G9" s="28">
        <v>-9.36</v>
      </c>
      <c r="H9" s="29">
        <f t="shared" si="1"/>
        <v>2.8798227801366063E-2</v>
      </c>
      <c r="I9" s="29">
        <f t="shared" si="2"/>
        <v>0.20837971664836191</v>
      </c>
      <c r="J9" s="30">
        <f t="shared" si="5"/>
        <v>67.727575505050595</v>
      </c>
      <c r="K9" s="30">
        <f t="shared" si="3"/>
        <v>5.2098135003885071</v>
      </c>
      <c r="L9" s="27">
        <v>164</v>
      </c>
      <c r="M9" s="31">
        <f t="shared" si="6"/>
        <v>7.926829268292683E-2</v>
      </c>
      <c r="N9" s="27">
        <v>281</v>
      </c>
      <c r="O9" s="32">
        <f t="shared" ref="O9:P9" si="17">D9/7</f>
        <v>1.8571428571428572</v>
      </c>
      <c r="P9" s="32">
        <f t="shared" si="17"/>
        <v>0</v>
      </c>
      <c r="Q9" s="27">
        <f t="shared" si="8"/>
        <v>151</v>
      </c>
      <c r="R9" s="27"/>
      <c r="S9" s="33">
        <v>0.84451718494271599</v>
      </c>
      <c r="T9" s="26">
        <v>124</v>
      </c>
      <c r="U9" s="34" t="s">
        <v>34</v>
      </c>
      <c r="V9" s="35" t="s">
        <v>34</v>
      </c>
      <c r="W9" s="26">
        <v>1</v>
      </c>
      <c r="X9" s="36">
        <f t="shared" si="9"/>
        <v>7.6923076923076927E-2</v>
      </c>
      <c r="Y9" s="37">
        <f t="shared" si="10"/>
        <v>9.36</v>
      </c>
      <c r="Z9" s="26">
        <v>0</v>
      </c>
      <c r="AA9" s="26" t="s">
        <v>250</v>
      </c>
      <c r="AB9" s="38">
        <f t="shared" si="11"/>
        <v>-0.48</v>
      </c>
      <c r="AC9" s="39">
        <v>0.28703703703703703</v>
      </c>
      <c r="AD9" s="37">
        <f t="shared" si="12"/>
        <v>-3.5822222222222222</v>
      </c>
      <c r="AE9" s="37">
        <v>-9.4</v>
      </c>
      <c r="AF9" s="37">
        <v>-5.6459386363636304</v>
      </c>
      <c r="AG9" s="37">
        <v>0</v>
      </c>
    </row>
    <row r="10" spans="1:33" ht="15.75" customHeight="1" x14ac:dyDescent="0.2">
      <c r="A10" s="26" t="s">
        <v>48</v>
      </c>
      <c r="B10" s="26" t="s">
        <v>258</v>
      </c>
      <c r="C10" s="14">
        <f t="shared" si="4"/>
        <v>23.027037037037044</v>
      </c>
      <c r="D10" s="27">
        <v>27</v>
      </c>
      <c r="E10" s="27">
        <v>0</v>
      </c>
      <c r="F10" s="28">
        <v>621.73000000000013</v>
      </c>
      <c r="G10" s="28">
        <v>-42.62</v>
      </c>
      <c r="H10" s="29">
        <f t="shared" si="1"/>
        <v>6.855065703762081E-2</v>
      </c>
      <c r="I10" s="29">
        <f t="shared" si="2"/>
        <v>0.11607957926782063</v>
      </c>
      <c r="J10" s="30">
        <f t="shared" si="5"/>
        <v>72.170156818182136</v>
      </c>
      <c r="K10" s="30">
        <f t="shared" si="3"/>
        <v>2.6729687710437826</v>
      </c>
      <c r="L10" s="27">
        <v>212</v>
      </c>
      <c r="M10" s="31">
        <f t="shared" si="6"/>
        <v>0.12735849056603774</v>
      </c>
      <c r="N10" s="27">
        <v>260</v>
      </c>
      <c r="O10" s="32">
        <f t="shared" ref="O10:P10" si="18">D10/7</f>
        <v>3.8571428571428572</v>
      </c>
      <c r="P10" s="32">
        <f t="shared" si="18"/>
        <v>0</v>
      </c>
      <c r="Q10" s="27">
        <f t="shared" si="8"/>
        <v>67</v>
      </c>
      <c r="R10" s="27"/>
      <c r="S10" s="33">
        <v>0.91388400702987604</v>
      </c>
      <c r="T10" s="26">
        <v>124</v>
      </c>
      <c r="U10" s="34" t="s">
        <v>34</v>
      </c>
      <c r="V10" s="35" t="s">
        <v>34</v>
      </c>
      <c r="W10" s="26">
        <v>2</v>
      </c>
      <c r="X10" s="36">
        <f t="shared" si="9"/>
        <v>7.407407407407407E-2</v>
      </c>
      <c r="Y10" s="37">
        <f t="shared" si="10"/>
        <v>10.654999999999999</v>
      </c>
      <c r="Z10" s="26">
        <v>2</v>
      </c>
      <c r="AA10" s="26" t="s">
        <v>250</v>
      </c>
      <c r="AB10" s="38">
        <f t="shared" si="11"/>
        <v>-0.48</v>
      </c>
      <c r="AC10" s="39">
        <v>0.28703703703703703</v>
      </c>
      <c r="AD10" s="37">
        <f t="shared" si="12"/>
        <v>-7.4399999999999995</v>
      </c>
      <c r="AE10" s="37">
        <v>-9.4</v>
      </c>
      <c r="AF10" s="37">
        <v>-5.6459386363636304</v>
      </c>
      <c r="AG10" s="37">
        <v>0</v>
      </c>
    </row>
    <row r="11" spans="1:33" ht="15.75" customHeight="1" x14ac:dyDescent="0.2">
      <c r="A11" s="26" t="s">
        <v>50</v>
      </c>
      <c r="B11" s="26" t="s">
        <v>259</v>
      </c>
      <c r="C11" s="14">
        <f t="shared" si="4"/>
        <v>23.361428571428576</v>
      </c>
      <c r="D11" s="27">
        <v>35</v>
      </c>
      <c r="E11" s="27">
        <v>0</v>
      </c>
      <c r="F11" s="28">
        <v>817.6500000000002</v>
      </c>
      <c r="G11" s="28">
        <v>-38.700000000000003</v>
      </c>
      <c r="H11" s="29">
        <f t="shared" si="1"/>
        <v>4.7330764997248205E-2</v>
      </c>
      <c r="I11" s="29">
        <f t="shared" si="2"/>
        <v>0.14682346148453318</v>
      </c>
      <c r="J11" s="30">
        <f t="shared" si="5"/>
        <v>120.05020328282859</v>
      </c>
      <c r="K11" s="30">
        <f t="shared" si="3"/>
        <v>3.4300058080808169</v>
      </c>
      <c r="L11" s="27">
        <v>178</v>
      </c>
      <c r="M11" s="31">
        <f t="shared" si="6"/>
        <v>0.19662921348314608</v>
      </c>
      <c r="N11" s="27">
        <v>224</v>
      </c>
      <c r="O11" s="32">
        <f t="shared" ref="O11:P11" si="19">D11/7</f>
        <v>5</v>
      </c>
      <c r="P11" s="32">
        <f t="shared" si="19"/>
        <v>0</v>
      </c>
      <c r="Q11" s="27">
        <f t="shared" si="8"/>
        <v>44</v>
      </c>
      <c r="R11" s="27"/>
      <c r="S11" s="33">
        <v>1.1896207584830301</v>
      </c>
      <c r="T11" s="26">
        <v>124</v>
      </c>
      <c r="U11" s="34" t="s">
        <v>34</v>
      </c>
      <c r="V11" s="35" t="s">
        <v>34</v>
      </c>
      <c r="W11" s="26">
        <v>2</v>
      </c>
      <c r="X11" s="36">
        <f t="shared" si="9"/>
        <v>5.7142857142857141E-2</v>
      </c>
      <c r="Y11" s="37">
        <f t="shared" si="10"/>
        <v>12.9</v>
      </c>
      <c r="Z11" s="26">
        <v>1</v>
      </c>
      <c r="AA11" s="26" t="s">
        <v>250</v>
      </c>
      <c r="AB11" s="38">
        <f t="shared" si="11"/>
        <v>-0.48</v>
      </c>
      <c r="AC11" s="39">
        <v>0.28703703703703703</v>
      </c>
      <c r="AD11" s="37">
        <f t="shared" si="12"/>
        <v>-9.6444444444444439</v>
      </c>
      <c r="AE11" s="37">
        <v>-9.4</v>
      </c>
      <c r="AF11" s="37">
        <v>-5.6459386363636304</v>
      </c>
      <c r="AG11" s="37">
        <v>0</v>
      </c>
    </row>
    <row r="12" spans="1:33" ht="15.75" customHeight="1" x14ac:dyDescent="0.2">
      <c r="A12" s="26" t="s">
        <v>52</v>
      </c>
      <c r="B12" s="26" t="s">
        <v>260</v>
      </c>
      <c r="C12" s="14">
        <f t="shared" si="4"/>
        <v>24.903043478260873</v>
      </c>
      <c r="D12" s="27">
        <v>23</v>
      </c>
      <c r="E12" s="27">
        <v>1</v>
      </c>
      <c r="F12" s="28">
        <v>572.7700000000001</v>
      </c>
      <c r="G12" s="28">
        <v>-33.850000000000009</v>
      </c>
      <c r="H12" s="29">
        <f t="shared" si="1"/>
        <v>5.9098765647642167E-2</v>
      </c>
      <c r="I12" s="29">
        <f t="shared" si="2"/>
        <v>0.17565538276421386</v>
      </c>
      <c r="J12" s="30">
        <f t="shared" si="5"/>
        <v>100.61013358585879</v>
      </c>
      <c r="K12" s="30">
        <f t="shared" si="3"/>
        <v>4.3743536341677736</v>
      </c>
      <c r="L12" s="27">
        <v>124</v>
      </c>
      <c r="M12" s="31">
        <f t="shared" si="6"/>
        <v>0.18548387096774194</v>
      </c>
      <c r="N12" s="27">
        <v>198</v>
      </c>
      <c r="O12" s="32">
        <f t="shared" ref="O12:P12" si="20">D12/7</f>
        <v>3.2857142857142856</v>
      </c>
      <c r="P12" s="32">
        <f t="shared" si="20"/>
        <v>0.14285714285714285</v>
      </c>
      <c r="Q12" s="27">
        <f t="shared" si="8"/>
        <v>57</v>
      </c>
      <c r="R12" s="27"/>
      <c r="S12" s="33">
        <v>1.4774774774774699</v>
      </c>
      <c r="T12" s="26">
        <v>124</v>
      </c>
      <c r="U12" s="34" t="s">
        <v>34</v>
      </c>
      <c r="V12" s="35" t="s">
        <v>34</v>
      </c>
      <c r="W12" s="26">
        <v>2</v>
      </c>
      <c r="X12" s="36">
        <f t="shared" si="9"/>
        <v>8.6956521739130432E-2</v>
      </c>
      <c r="Y12" s="37">
        <f t="shared" si="10"/>
        <v>11.283333333333337</v>
      </c>
      <c r="Z12" s="26">
        <v>1</v>
      </c>
      <c r="AA12" s="26" t="s">
        <v>250</v>
      </c>
      <c r="AB12" s="38">
        <f t="shared" si="11"/>
        <v>-0.48</v>
      </c>
      <c r="AC12" s="39">
        <v>0.28703703703703703</v>
      </c>
      <c r="AD12" s="37">
        <f t="shared" si="12"/>
        <v>-6.3377777777777773</v>
      </c>
      <c r="AE12" s="37">
        <v>-9.4</v>
      </c>
      <c r="AF12" s="37">
        <v>-5.6459386363636304</v>
      </c>
      <c r="AG12" s="37">
        <v>0</v>
      </c>
    </row>
    <row r="13" spans="1:33" ht="15.75" customHeight="1" x14ac:dyDescent="0.2">
      <c r="A13" s="26" t="s">
        <v>54</v>
      </c>
      <c r="B13" s="26" t="s">
        <v>261</v>
      </c>
      <c r="C13" s="14">
        <f t="shared" si="4"/>
        <v>25.990000000000006</v>
      </c>
      <c r="D13" s="27">
        <v>17</v>
      </c>
      <c r="E13" s="27">
        <v>1</v>
      </c>
      <c r="F13" s="30">
        <v>441.8300000000001</v>
      </c>
      <c r="G13" s="28">
        <v>-0.7</v>
      </c>
      <c r="H13" s="29">
        <f t="shared" si="1"/>
        <v>1.5843197609940471E-3</v>
      </c>
      <c r="I13" s="29">
        <f t="shared" si="2"/>
        <v>0.25385527724795698</v>
      </c>
      <c r="J13" s="30">
        <f t="shared" si="5"/>
        <v>112.16087714646486</v>
      </c>
      <c r="K13" s="30">
        <f t="shared" si="3"/>
        <v>6.5976986556744031</v>
      </c>
      <c r="L13" s="27">
        <v>71</v>
      </c>
      <c r="M13" s="31">
        <f t="shared" si="6"/>
        <v>0.23943661971830985</v>
      </c>
      <c r="N13" s="27">
        <v>177</v>
      </c>
      <c r="O13" s="32">
        <f t="shared" ref="O13:P13" si="21">D13/7</f>
        <v>2.4285714285714284</v>
      </c>
      <c r="P13" s="32">
        <f t="shared" si="21"/>
        <v>0.14285714285714285</v>
      </c>
      <c r="Q13" s="27">
        <f t="shared" si="8"/>
        <v>68</v>
      </c>
      <c r="R13" s="27"/>
      <c r="S13" s="33">
        <v>1.2</v>
      </c>
      <c r="T13" s="26">
        <v>124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0.28703703703703703</v>
      </c>
      <c r="AD13" s="37">
        <f t="shared" si="12"/>
        <v>-4.6844444444444449</v>
      </c>
      <c r="AE13" s="37">
        <v>-9.4</v>
      </c>
      <c r="AF13" s="37">
        <v>-5.7770693181818098</v>
      </c>
      <c r="AG13" s="37">
        <v>0</v>
      </c>
    </row>
    <row r="14" spans="1:33" ht="15.75" customHeight="1" x14ac:dyDescent="0.2">
      <c r="A14" s="26" t="s">
        <v>56</v>
      </c>
      <c r="B14" s="26" t="s">
        <v>261</v>
      </c>
      <c r="C14" s="14">
        <f t="shared" si="4"/>
        <v>24.133571428571432</v>
      </c>
      <c r="D14" s="27">
        <v>14</v>
      </c>
      <c r="E14" s="27">
        <v>0</v>
      </c>
      <c r="F14" s="30">
        <v>337.87000000000006</v>
      </c>
      <c r="G14" s="28">
        <v>0</v>
      </c>
      <c r="H14" s="29">
        <f t="shared" si="1"/>
        <v>0</v>
      </c>
      <c r="I14" s="29">
        <f t="shared" si="2"/>
        <v>0.20970418139425501</v>
      </c>
      <c r="J14" s="30">
        <f t="shared" si="5"/>
        <v>70.852751767676949</v>
      </c>
      <c r="K14" s="30">
        <f t="shared" si="3"/>
        <v>5.0609108405483534</v>
      </c>
      <c r="L14" s="27">
        <v>79</v>
      </c>
      <c r="M14" s="31">
        <f t="shared" si="6"/>
        <v>0.17721518987341772</v>
      </c>
      <c r="N14" s="27">
        <v>164</v>
      </c>
      <c r="O14" s="32">
        <f t="shared" ref="O14:P14" si="22">D14/7</f>
        <v>2</v>
      </c>
      <c r="P14" s="32">
        <f t="shared" si="22"/>
        <v>0</v>
      </c>
      <c r="Q14" s="27">
        <f t="shared" si="8"/>
        <v>82</v>
      </c>
      <c r="R14" s="27"/>
      <c r="S14" s="33">
        <v>1.1600633914421501</v>
      </c>
      <c r="T14" s="26">
        <v>124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0.28703703703703703</v>
      </c>
      <c r="AD14" s="37">
        <f t="shared" si="12"/>
        <v>-3.8577777777777778</v>
      </c>
      <c r="AE14" s="37">
        <v>-9.4</v>
      </c>
      <c r="AF14" s="37">
        <v>-5.7770693181818098</v>
      </c>
      <c r="AG14" s="37">
        <v>0</v>
      </c>
    </row>
    <row r="15" spans="1:33" ht="15.75" customHeight="1" x14ac:dyDescent="0.2">
      <c r="A15" s="26" t="s">
        <v>58</v>
      </c>
      <c r="B15" s="26" t="s">
        <v>261</v>
      </c>
      <c r="C15" s="14">
        <f t="shared" si="4"/>
        <v>25.990000000000002</v>
      </c>
      <c r="D15" s="27">
        <v>13</v>
      </c>
      <c r="E15" s="27">
        <v>1</v>
      </c>
      <c r="F15" s="30">
        <v>337.87</v>
      </c>
      <c r="G15" s="28">
        <v>-0.41000000000000003</v>
      </c>
      <c r="H15" s="29">
        <f t="shared" si="1"/>
        <v>1.2134844762778584E-3</v>
      </c>
      <c r="I15" s="29">
        <f t="shared" si="2"/>
        <v>0.25422611253267302</v>
      </c>
      <c r="J15" s="30">
        <f t="shared" si="5"/>
        <v>85.895376641414231</v>
      </c>
      <c r="K15" s="30">
        <f t="shared" si="3"/>
        <v>6.6073366647241718</v>
      </c>
      <c r="L15" s="27">
        <v>78</v>
      </c>
      <c r="M15" s="31">
        <f t="shared" si="6"/>
        <v>0.16666666666666666</v>
      </c>
      <c r="N15" s="27">
        <v>149</v>
      </c>
      <c r="O15" s="32">
        <f t="shared" ref="O15:P15" si="23">D15/7</f>
        <v>1.8571428571428572</v>
      </c>
      <c r="P15" s="32">
        <f t="shared" si="23"/>
        <v>0.14285714285714285</v>
      </c>
      <c r="Q15" s="27">
        <f t="shared" si="8"/>
        <v>74</v>
      </c>
      <c r="R15" s="27"/>
      <c r="S15" s="33">
        <v>1.3879003558718801</v>
      </c>
      <c r="T15" s="26">
        <v>324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0.28703703703703703</v>
      </c>
      <c r="AD15" s="37">
        <f t="shared" si="12"/>
        <v>-3.5822222222222222</v>
      </c>
      <c r="AE15" s="37">
        <v>-9.4</v>
      </c>
      <c r="AF15" s="37">
        <v>-5.7770693181818098</v>
      </c>
      <c r="AG15" s="37">
        <v>0</v>
      </c>
    </row>
    <row r="16" spans="1:33" ht="15.75" customHeight="1" x14ac:dyDescent="0.2">
      <c r="A16" s="26" t="s">
        <v>60</v>
      </c>
      <c r="B16" s="26" t="s">
        <v>261</v>
      </c>
      <c r="C16" s="14">
        <f t="shared" si="4"/>
        <v>25.99</v>
      </c>
      <c r="D16" s="27">
        <v>11</v>
      </c>
      <c r="E16" s="27">
        <v>1</v>
      </c>
      <c r="F16" s="30">
        <v>285.89</v>
      </c>
      <c r="G16" s="28">
        <v>-0.35000000000000003</v>
      </c>
      <c r="H16" s="29">
        <f t="shared" si="1"/>
        <v>1.2242470880408551E-3</v>
      </c>
      <c r="I16" s="29">
        <f t="shared" si="2"/>
        <v>0.25421534992090999</v>
      </c>
      <c r="J16" s="30">
        <f t="shared" si="5"/>
        <v>72.677626388888953</v>
      </c>
      <c r="K16" s="30">
        <f t="shared" si="3"/>
        <v>6.6070569444444507</v>
      </c>
      <c r="L16" s="27">
        <v>75</v>
      </c>
      <c r="M16" s="31">
        <f t="shared" si="6"/>
        <v>0.14666666666666667</v>
      </c>
      <c r="N16" s="27">
        <v>140</v>
      </c>
      <c r="O16" s="32">
        <f t="shared" ref="O16:P16" si="24">D16/7</f>
        <v>1.5714285714285714</v>
      </c>
      <c r="P16" s="32">
        <f t="shared" si="24"/>
        <v>0.14285714285714285</v>
      </c>
      <c r="Q16" s="27">
        <f t="shared" si="8"/>
        <v>81</v>
      </c>
      <c r="R16" s="27"/>
      <c r="S16" s="33">
        <v>1.59683794466403</v>
      </c>
      <c r="T16" s="26">
        <v>324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0.28703703703703703</v>
      </c>
      <c r="AD16" s="37">
        <f t="shared" si="12"/>
        <v>-3.0311111111111111</v>
      </c>
      <c r="AE16" s="37">
        <v>-9.4</v>
      </c>
      <c r="AF16" s="37">
        <v>-5.7770693181818098</v>
      </c>
      <c r="AG16" s="37">
        <v>0</v>
      </c>
    </row>
    <row r="17" spans="1:33" ht="15.75" customHeight="1" x14ac:dyDescent="0.2">
      <c r="A17" s="26" t="s">
        <v>61</v>
      </c>
      <c r="B17" s="26" t="s">
        <v>261</v>
      </c>
      <c r="C17" s="14">
        <f t="shared" si="4"/>
        <v>25.990000000000002</v>
      </c>
      <c r="D17" s="27">
        <v>8</v>
      </c>
      <c r="E17" s="27">
        <v>0</v>
      </c>
      <c r="F17" s="30">
        <v>207.92000000000002</v>
      </c>
      <c r="G17" s="28">
        <v>-0.27</v>
      </c>
      <c r="H17" s="29">
        <f t="shared" si="1"/>
        <v>1.2985763755290496E-3</v>
      </c>
      <c r="I17" s="29">
        <f t="shared" si="2"/>
        <v>0.25414102063342181</v>
      </c>
      <c r="J17" s="30">
        <f t="shared" si="5"/>
        <v>52.841001010101067</v>
      </c>
      <c r="K17" s="30">
        <f t="shared" si="3"/>
        <v>6.6051251262626334</v>
      </c>
      <c r="L17" s="27">
        <v>63</v>
      </c>
      <c r="M17" s="31">
        <f t="shared" si="6"/>
        <v>0.12698412698412698</v>
      </c>
      <c r="N17" s="27">
        <v>132</v>
      </c>
      <c r="O17" s="32">
        <f t="shared" ref="O17:P17" si="25">D17/7</f>
        <v>1.1428571428571428</v>
      </c>
      <c r="P17" s="32">
        <f t="shared" si="25"/>
        <v>0</v>
      </c>
      <c r="Q17" s="27">
        <f t="shared" si="8"/>
        <v>115</v>
      </c>
      <c r="R17" s="27"/>
      <c r="S17" s="33">
        <v>1.16455696202531</v>
      </c>
      <c r="T17" s="26">
        <v>324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0.27</v>
      </c>
      <c r="Z17" s="26">
        <v>1</v>
      </c>
      <c r="AA17" s="26" t="s">
        <v>250</v>
      </c>
      <c r="AB17" s="38">
        <f t="shared" si="11"/>
        <v>-0.48</v>
      </c>
      <c r="AC17" s="39">
        <v>0.28703703703703703</v>
      </c>
      <c r="AD17" s="37">
        <f t="shared" si="12"/>
        <v>-2.2044444444444444</v>
      </c>
      <c r="AE17" s="37">
        <v>-9.4</v>
      </c>
      <c r="AF17" s="37">
        <v>-5.7770693181818098</v>
      </c>
      <c r="AG17" s="37">
        <v>0</v>
      </c>
    </row>
    <row r="18" spans="1:33" ht="15.75" customHeight="1" x14ac:dyDescent="0.2">
      <c r="A18" s="26" t="s">
        <v>62</v>
      </c>
      <c r="B18" s="26" t="s">
        <v>261</v>
      </c>
      <c r="C18" s="14">
        <f t="shared" si="4"/>
        <v>25.990000000000002</v>
      </c>
      <c r="D18" s="27">
        <v>9</v>
      </c>
      <c r="E18" s="27">
        <v>1</v>
      </c>
      <c r="F18" s="30">
        <v>233.91000000000003</v>
      </c>
      <c r="G18" s="28">
        <v>-0.2</v>
      </c>
      <c r="H18" s="29">
        <f t="shared" si="1"/>
        <v>8.5502971228250174E-4</v>
      </c>
      <c r="I18" s="29">
        <f t="shared" si="2"/>
        <v>0.25458456729666851</v>
      </c>
      <c r="J18" s="30">
        <f t="shared" si="5"/>
        <v>59.549876136363743</v>
      </c>
      <c r="K18" s="30">
        <f t="shared" si="3"/>
        <v>6.6166529040404161</v>
      </c>
      <c r="L18" s="27">
        <v>84</v>
      </c>
      <c r="M18" s="31">
        <f t="shared" si="6"/>
        <v>0.10714285714285714</v>
      </c>
      <c r="N18" s="27">
        <v>120</v>
      </c>
      <c r="O18" s="32">
        <f t="shared" ref="O18:P18" si="26">D18/7</f>
        <v>1.2857142857142858</v>
      </c>
      <c r="P18" s="32">
        <f t="shared" si="26"/>
        <v>0.14285714285714285</v>
      </c>
      <c r="Q18" s="27">
        <f t="shared" si="8"/>
        <v>84</v>
      </c>
      <c r="R18" s="27"/>
      <c r="S18" s="33">
        <v>1.29500756429652</v>
      </c>
      <c r="T18" s="26">
        <v>324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0.28703703703703703</v>
      </c>
      <c r="AD18" s="37">
        <f t="shared" si="12"/>
        <v>-2.48</v>
      </c>
      <c r="AE18" s="37">
        <v>-9.4</v>
      </c>
      <c r="AF18" s="37">
        <v>-5.7770693181818098</v>
      </c>
      <c r="AG18" s="37">
        <v>0</v>
      </c>
    </row>
    <row r="19" spans="1:33" ht="15.75" customHeight="1" x14ac:dyDescent="0.2">
      <c r="A19" s="26" t="s">
        <v>64</v>
      </c>
      <c r="B19" s="26" t="s">
        <v>261</v>
      </c>
      <c r="C19" s="14">
        <f t="shared" si="4"/>
        <v>25.990000000000006</v>
      </c>
      <c r="D19" s="27">
        <v>11</v>
      </c>
      <c r="E19" s="27">
        <v>0</v>
      </c>
      <c r="F19" s="30">
        <v>285.89000000000004</v>
      </c>
      <c r="G19" s="28">
        <v>-0.23</v>
      </c>
      <c r="H19" s="29">
        <f t="shared" si="1"/>
        <v>8.045052292839903E-4</v>
      </c>
      <c r="I19" s="29">
        <f t="shared" si="2"/>
        <v>0.25463509177966664</v>
      </c>
      <c r="J19" s="30">
        <f t="shared" si="5"/>
        <v>72.797626388888901</v>
      </c>
      <c r="K19" s="30">
        <f t="shared" si="3"/>
        <v>6.6179660353535361</v>
      </c>
      <c r="L19" s="27">
        <v>55</v>
      </c>
      <c r="M19" s="31">
        <f t="shared" si="6"/>
        <v>0.2</v>
      </c>
      <c r="N19" s="27">
        <v>111</v>
      </c>
      <c r="O19" s="32">
        <f t="shared" ref="O19:P19" si="27">D19/7</f>
        <v>1.5714285714285714</v>
      </c>
      <c r="P19" s="32">
        <f t="shared" si="27"/>
        <v>0</v>
      </c>
      <c r="Q19" s="27">
        <f t="shared" si="8"/>
        <v>70</v>
      </c>
      <c r="R19" s="27"/>
      <c r="S19" s="33">
        <v>1.38287560581583</v>
      </c>
      <c r="T19" s="26">
        <v>765</v>
      </c>
      <c r="U19" s="34">
        <v>124</v>
      </c>
      <c r="V19" s="35" t="s">
        <v>262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0.28703703703703703</v>
      </c>
      <c r="AD19" s="37">
        <f t="shared" si="12"/>
        <v>-3.0311111111111111</v>
      </c>
      <c r="AE19" s="37">
        <v>-9.4</v>
      </c>
      <c r="AF19" s="37">
        <v>-5.7770693181818178</v>
      </c>
      <c r="AG19" s="37">
        <v>0</v>
      </c>
    </row>
    <row r="20" spans="1:33" ht="15.75" customHeight="1" x14ac:dyDescent="0.2">
      <c r="A20" s="26" t="s">
        <v>65</v>
      </c>
      <c r="B20" s="26" t="s">
        <v>263</v>
      </c>
      <c r="C20" s="14">
        <f t="shared" si="4"/>
        <v>25.990000000000002</v>
      </c>
      <c r="D20" s="27">
        <v>8</v>
      </c>
      <c r="E20" s="27">
        <v>1</v>
      </c>
      <c r="F20" s="30">
        <v>207.92000000000002</v>
      </c>
      <c r="G20" s="28">
        <v>0</v>
      </c>
      <c r="H20" s="29">
        <f t="shared" si="1"/>
        <v>0</v>
      </c>
      <c r="I20" s="29">
        <f t="shared" si="2"/>
        <v>0.25543959700895053</v>
      </c>
      <c r="J20" s="30">
        <f t="shared" si="5"/>
        <v>53.111001010100992</v>
      </c>
      <c r="K20" s="30">
        <f t="shared" si="3"/>
        <v>6.638875126262624</v>
      </c>
      <c r="L20" s="27">
        <v>61</v>
      </c>
      <c r="M20" s="31">
        <f t="shared" si="6"/>
        <v>0.13114754098360656</v>
      </c>
      <c r="N20" s="27">
        <v>102</v>
      </c>
      <c r="O20" s="32">
        <f t="shared" ref="O20:P20" si="28">D20/7</f>
        <v>1.1428571428571428</v>
      </c>
      <c r="P20" s="32">
        <f t="shared" si="28"/>
        <v>0.14285714285714285</v>
      </c>
      <c r="Q20" s="27">
        <f t="shared" si="8"/>
        <v>79</v>
      </c>
      <c r="R20" s="27"/>
      <c r="S20" s="33">
        <v>1.55432780847145</v>
      </c>
      <c r="T20" s="26">
        <v>765</v>
      </c>
      <c r="U20" s="34">
        <v>124</v>
      </c>
      <c r="V20" s="35" t="s">
        <v>262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0.28703703703703703</v>
      </c>
      <c r="AD20" s="37">
        <f t="shared" si="12"/>
        <v>-2.2044444444444444</v>
      </c>
      <c r="AE20" s="37">
        <v>-9.4</v>
      </c>
      <c r="AF20" s="37">
        <v>-5.7770693181818178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24.990000000000006</v>
      </c>
      <c r="D21" s="27">
        <v>13</v>
      </c>
      <c r="E21" s="27">
        <v>3</v>
      </c>
      <c r="F21" s="30">
        <v>324.87000000000006</v>
      </c>
      <c r="G21" s="28">
        <v>-0.44999999999999996</v>
      </c>
      <c r="H21" s="29">
        <f t="shared" si="1"/>
        <v>1.3851694523963427E-3</v>
      </c>
      <c r="I21" s="29">
        <f t="shared" si="2"/>
        <v>0.23026249466375531</v>
      </c>
      <c r="J21" s="30">
        <f t="shared" si="5"/>
        <v>74.805376641414199</v>
      </c>
      <c r="K21" s="30">
        <f t="shared" si="3"/>
        <v>5.7542597416472461</v>
      </c>
      <c r="L21" s="27">
        <v>40</v>
      </c>
      <c r="M21" s="31">
        <f t="shared" si="6"/>
        <v>0.32500000000000001</v>
      </c>
      <c r="N21" s="27">
        <v>88</v>
      </c>
      <c r="O21" s="32">
        <f t="shared" ref="O21:P21" si="29">D21/7</f>
        <v>1.8571428571428572</v>
      </c>
      <c r="P21" s="32">
        <f t="shared" si="29"/>
        <v>0.42857142857142855</v>
      </c>
      <c r="Q21" s="27">
        <f t="shared" si="8"/>
        <v>38</v>
      </c>
      <c r="R21" s="27"/>
      <c r="S21" s="33">
        <v>1.3333333333333299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7.6923076923076927E-2</v>
      </c>
      <c r="Y21" s="37">
        <f t="shared" si="10"/>
        <v>0.22499999999999998</v>
      </c>
      <c r="Z21" s="26">
        <v>1</v>
      </c>
      <c r="AA21" s="26" t="s">
        <v>250</v>
      </c>
      <c r="AB21" s="38">
        <f t="shared" si="11"/>
        <v>-0.48</v>
      </c>
      <c r="AC21" s="39">
        <v>0.28703703703703703</v>
      </c>
      <c r="AD21" s="37">
        <f t="shared" si="12"/>
        <v>-3.5822222222222222</v>
      </c>
      <c r="AE21" s="37">
        <v>-9.4</v>
      </c>
      <c r="AF21" s="37">
        <v>-5.7770693181818178</v>
      </c>
      <c r="AG21" s="37">
        <v>0</v>
      </c>
    </row>
    <row r="22" spans="1:33" ht="15.75" customHeight="1" x14ac:dyDescent="0.2">
      <c r="A22" s="26" t="s">
        <v>67</v>
      </c>
      <c r="B22" s="26" t="s">
        <v>264</v>
      </c>
      <c r="C22" s="14">
        <f t="shared" si="4"/>
        <v>24.990000000000006</v>
      </c>
      <c r="D22" s="27">
        <v>11</v>
      </c>
      <c r="E22" s="27">
        <v>0</v>
      </c>
      <c r="F22" s="28">
        <v>274.89000000000004</v>
      </c>
      <c r="G22" s="28">
        <v>-1.41</v>
      </c>
      <c r="H22" s="29">
        <f t="shared" si="1"/>
        <v>5.1293244570555481E-3</v>
      </c>
      <c r="I22" s="29">
        <f t="shared" si="2"/>
        <v>0.22651833965909599</v>
      </c>
      <c r="J22" s="30">
        <f t="shared" si="5"/>
        <v>62.267626388888907</v>
      </c>
      <c r="K22" s="30">
        <f t="shared" si="3"/>
        <v>5.6606933080808099</v>
      </c>
      <c r="L22" s="27">
        <v>49</v>
      </c>
      <c r="M22" s="31">
        <f t="shared" si="6"/>
        <v>0.22448979591836735</v>
      </c>
      <c r="N22" s="27">
        <v>73</v>
      </c>
      <c r="O22" s="32">
        <f t="shared" ref="O22:P22" si="30">D22/7</f>
        <v>1.5714285714285714</v>
      </c>
      <c r="P22" s="32">
        <f t="shared" si="30"/>
        <v>0</v>
      </c>
      <c r="Q22" s="27">
        <f t="shared" si="8"/>
        <v>46</v>
      </c>
      <c r="R22" s="27"/>
      <c r="S22" s="33">
        <v>1.2526475037821401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9.0909090909090912E-2</v>
      </c>
      <c r="Y22" s="37">
        <f t="shared" si="10"/>
        <v>1.41</v>
      </c>
      <c r="Z22" s="26">
        <v>0</v>
      </c>
      <c r="AA22" s="26" t="s">
        <v>250</v>
      </c>
      <c r="AB22" s="38">
        <f t="shared" si="11"/>
        <v>-0.48</v>
      </c>
      <c r="AC22" s="39">
        <v>0.28703703703703703</v>
      </c>
      <c r="AD22" s="37">
        <f t="shared" si="12"/>
        <v>-3.0311111111111111</v>
      </c>
      <c r="AE22" s="37">
        <v>-9.4</v>
      </c>
      <c r="AF22" s="37">
        <v>-5.7770693181818178</v>
      </c>
      <c r="AG22" s="37">
        <v>0</v>
      </c>
    </row>
    <row r="23" spans="1:33" ht="15.75" customHeight="1" x14ac:dyDescent="0.2">
      <c r="A23" s="26" t="s">
        <v>68</v>
      </c>
      <c r="B23" s="26" t="s">
        <v>265</v>
      </c>
      <c r="C23" s="14">
        <f t="shared" si="4"/>
        <v>24.240000000000002</v>
      </c>
      <c r="D23" s="27">
        <v>10</v>
      </c>
      <c r="E23" s="27">
        <v>1</v>
      </c>
      <c r="F23" s="30">
        <v>242.40000000000003</v>
      </c>
      <c r="G23" s="28">
        <v>-0.03</v>
      </c>
      <c r="H23" s="29">
        <f t="shared" si="1"/>
        <v>1.2376237623762374E-4</v>
      </c>
      <c r="I23" s="29">
        <f t="shared" si="2"/>
        <v>0.21239171312964633</v>
      </c>
      <c r="J23" s="30">
        <f t="shared" si="5"/>
        <v>51.483751262626278</v>
      </c>
      <c r="K23" s="30">
        <f t="shared" si="3"/>
        <v>5.1483751262626276</v>
      </c>
      <c r="L23" s="27">
        <v>38</v>
      </c>
      <c r="M23" s="31">
        <f t="shared" si="6"/>
        <v>0.26315789473684209</v>
      </c>
      <c r="N23" s="27">
        <v>66</v>
      </c>
      <c r="O23" s="32">
        <f t="shared" ref="O23:P23" si="31">D23/7</f>
        <v>1.4285714285714286</v>
      </c>
      <c r="P23" s="32">
        <f t="shared" si="31"/>
        <v>0.14285714285714285</v>
      </c>
      <c r="Q23" s="27">
        <f t="shared" si="8"/>
        <v>42</v>
      </c>
      <c r="R23" s="27"/>
      <c r="S23" s="33">
        <v>1.30756843800322</v>
      </c>
      <c r="T23" s="26">
        <v>841</v>
      </c>
      <c r="U23" s="34">
        <v>124</v>
      </c>
      <c r="V23" s="35" t="s">
        <v>266</v>
      </c>
      <c r="W23" s="26">
        <v>1</v>
      </c>
      <c r="X23" s="36">
        <f t="shared" si="9"/>
        <v>0.1</v>
      </c>
      <c r="Y23" s="37">
        <f t="shared" si="10"/>
        <v>0.03</v>
      </c>
      <c r="Z23" s="26">
        <v>0</v>
      </c>
      <c r="AA23" s="26" t="s">
        <v>250</v>
      </c>
      <c r="AB23" s="38">
        <f t="shared" si="11"/>
        <v>-0.48</v>
      </c>
      <c r="AC23" s="39">
        <v>0.28703703703703703</v>
      </c>
      <c r="AD23" s="37">
        <f t="shared" si="12"/>
        <v>-2.7555555555555555</v>
      </c>
      <c r="AE23" s="37">
        <v>-9.4</v>
      </c>
      <c r="AF23" s="37">
        <v>-5.7770693181818178</v>
      </c>
      <c r="AG23" s="37">
        <v>0</v>
      </c>
    </row>
    <row r="24" spans="1:33" ht="15.75" customHeight="1" x14ac:dyDescent="0.2">
      <c r="A24" s="26" t="s">
        <v>71</v>
      </c>
      <c r="B24" s="26" t="s">
        <v>267</v>
      </c>
      <c r="C24" s="14">
        <f t="shared" si="4"/>
        <v>22.797777777777778</v>
      </c>
      <c r="D24" s="27">
        <v>9</v>
      </c>
      <c r="E24" s="27">
        <v>2</v>
      </c>
      <c r="F24" s="30">
        <v>205.18</v>
      </c>
      <c r="G24" s="30">
        <v>-7.0000000000000007E-2</v>
      </c>
      <c r="H24" s="29">
        <f t="shared" si="1"/>
        <v>3.411638561263281E-4</v>
      </c>
      <c r="I24" s="29">
        <f t="shared" si="2"/>
        <v>0.17184606753272069</v>
      </c>
      <c r="J24" s="30">
        <f t="shared" si="5"/>
        <v>35.259376136363635</v>
      </c>
      <c r="K24" s="30">
        <f t="shared" si="3"/>
        <v>3.9177084595959593</v>
      </c>
      <c r="L24" s="27">
        <v>36</v>
      </c>
      <c r="M24" s="31">
        <f t="shared" si="6"/>
        <v>0.25</v>
      </c>
      <c r="N24" s="27">
        <v>52</v>
      </c>
      <c r="O24" s="32">
        <f t="shared" ref="O24:P24" si="32">D24/7</f>
        <v>1.2857142857142858</v>
      </c>
      <c r="P24" s="32">
        <f t="shared" si="32"/>
        <v>0.2857142857142857</v>
      </c>
      <c r="Q24" s="27">
        <f t="shared" si="8"/>
        <v>33</v>
      </c>
      <c r="R24" s="27"/>
      <c r="S24" s="33">
        <v>1.3260473588342401</v>
      </c>
      <c r="T24" s="26">
        <v>841</v>
      </c>
      <c r="U24" s="34">
        <v>124</v>
      </c>
      <c r="V24" s="35" t="s">
        <v>268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0.28703703703703703</v>
      </c>
      <c r="AD24" s="37">
        <f t="shared" si="12"/>
        <v>-2.48</v>
      </c>
      <c r="AE24" s="37">
        <v>-9.4</v>
      </c>
      <c r="AF24" s="37">
        <v>-5.7770693181818178</v>
      </c>
      <c r="AG24" s="37">
        <v>0</v>
      </c>
    </row>
    <row r="25" spans="1:33" ht="15.75" customHeight="1" x14ac:dyDescent="0.2">
      <c r="A25" s="40" t="s">
        <v>73</v>
      </c>
      <c r="B25" s="40" t="s">
        <v>269</v>
      </c>
      <c r="C25" s="14">
        <f t="shared" si="4"/>
        <v>20.328947368421051</v>
      </c>
      <c r="D25" s="15">
        <v>19</v>
      </c>
      <c r="E25" s="15">
        <v>1</v>
      </c>
      <c r="F25" s="16">
        <v>386.25</v>
      </c>
      <c r="G25" s="16">
        <v>-0.04</v>
      </c>
      <c r="H25" s="29">
        <f t="shared" si="1"/>
        <v>1.0355987055016181E-4</v>
      </c>
      <c r="I25" s="29">
        <f t="shared" si="2"/>
        <v>8.9623157137720219E-2</v>
      </c>
      <c r="J25" s="30">
        <f t="shared" si="5"/>
        <v>34.616944444444435</v>
      </c>
      <c r="K25" s="30">
        <f t="shared" si="3"/>
        <v>1.8219444444444439</v>
      </c>
      <c r="L25" s="15">
        <v>70</v>
      </c>
      <c r="M25" s="31">
        <f t="shared" si="6"/>
        <v>0.27142857142857141</v>
      </c>
      <c r="N25" s="15">
        <v>35</v>
      </c>
      <c r="O25" s="32">
        <f t="shared" ref="O25:P25" si="33">D25/7</f>
        <v>2.7142857142857144</v>
      </c>
      <c r="P25" s="32">
        <f t="shared" si="33"/>
        <v>0.14285714285714285</v>
      </c>
      <c r="Q25" s="27">
        <f t="shared" si="8"/>
        <v>12</v>
      </c>
      <c r="R25" s="27"/>
      <c r="S25" s="41">
        <v>1.375796178343949</v>
      </c>
      <c r="T25" s="26">
        <v>841</v>
      </c>
      <c r="U25" s="34">
        <v>124</v>
      </c>
      <c r="V25" s="35" t="s">
        <v>270</v>
      </c>
      <c r="W25" s="40">
        <v>0</v>
      </c>
      <c r="X25" s="36">
        <f t="shared" si="9"/>
        <v>0</v>
      </c>
      <c r="Y25" s="37">
        <f t="shared" si="10"/>
        <v>0.04</v>
      </c>
      <c r="Z25" s="40">
        <v>1</v>
      </c>
      <c r="AA25" s="26" t="s">
        <v>250</v>
      </c>
      <c r="AB25" s="38">
        <f t="shared" si="11"/>
        <v>-0.48</v>
      </c>
      <c r="AC25" s="39">
        <v>0.28703703703703703</v>
      </c>
      <c r="AD25" s="37">
        <f t="shared" si="12"/>
        <v>-5.2355555555555551</v>
      </c>
      <c r="AE25" s="42">
        <v>-9.4</v>
      </c>
      <c r="AF25" s="42">
        <v>-5.78</v>
      </c>
      <c r="AG25" s="42">
        <v>0</v>
      </c>
    </row>
    <row r="26" spans="1:33" ht="15.75" customHeight="1" x14ac:dyDescent="0.2">
      <c r="A26" s="40" t="s">
        <v>75</v>
      </c>
      <c r="B26" s="40" t="s">
        <v>269</v>
      </c>
      <c r="C26" s="14">
        <f t="shared" si="4"/>
        <v>23.99</v>
      </c>
      <c r="D26" s="15">
        <v>4</v>
      </c>
      <c r="E26" s="15">
        <v>3</v>
      </c>
      <c r="F26" s="16">
        <v>95.96</v>
      </c>
      <c r="G26" s="16">
        <v>-0.34</v>
      </c>
      <c r="H26" s="29">
        <f t="shared" si="1"/>
        <v>3.5431429762401005E-3</v>
      </c>
      <c r="I26" s="29">
        <f t="shared" si="2"/>
        <v>0.18565548671374035</v>
      </c>
      <c r="J26" s="30">
        <f t="shared" si="5"/>
        <v>17.815500505050522</v>
      </c>
      <c r="K26" s="30">
        <f t="shared" si="3"/>
        <v>4.4538751262626306</v>
      </c>
      <c r="L26" s="15">
        <v>46</v>
      </c>
      <c r="M26" s="31">
        <f t="shared" si="6"/>
        <v>8.6956521739130432E-2</v>
      </c>
      <c r="N26" s="15">
        <v>26</v>
      </c>
      <c r="O26" s="32">
        <f t="shared" ref="O26:P26" si="34">D26/7</f>
        <v>0.5714285714285714</v>
      </c>
      <c r="P26" s="32">
        <f t="shared" si="34"/>
        <v>0.42857142857142855</v>
      </c>
      <c r="Q26" s="27">
        <f t="shared" si="8"/>
        <v>26</v>
      </c>
      <c r="R26" s="27"/>
      <c r="S26" s="41">
        <v>1.469194312796209</v>
      </c>
      <c r="T26" s="26">
        <v>841</v>
      </c>
      <c r="U26" s="34">
        <v>124</v>
      </c>
      <c r="V26" s="35" t="s">
        <v>271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0.28703703703703703</v>
      </c>
      <c r="AD26" s="37">
        <f t="shared" si="12"/>
        <v>-1.1022222222222222</v>
      </c>
      <c r="AE26" s="42">
        <v>-9.8000000000000007</v>
      </c>
      <c r="AF26" s="42">
        <v>-5.7770693181818098</v>
      </c>
      <c r="AG26" s="42">
        <v>0</v>
      </c>
    </row>
    <row r="27" spans="1:33" ht="15.75" customHeight="1" x14ac:dyDescent="0.2">
      <c r="A27" s="40" t="s">
        <v>77</v>
      </c>
      <c r="B27" s="40" t="s">
        <v>272</v>
      </c>
      <c r="C27" s="14">
        <f t="shared" si="4"/>
        <v>23.99</v>
      </c>
      <c r="D27" s="15">
        <v>3</v>
      </c>
      <c r="E27" s="15">
        <v>1</v>
      </c>
      <c r="F27" s="16">
        <v>71.97</v>
      </c>
      <c r="G27" s="16">
        <v>-0.6100000000000001</v>
      </c>
      <c r="H27" s="29">
        <f t="shared" si="1"/>
        <v>8.4757537862998489E-3</v>
      </c>
      <c r="I27" s="29">
        <f t="shared" si="2"/>
        <v>0.18072287590368061</v>
      </c>
      <c r="J27" s="30">
        <f t="shared" si="5"/>
        <v>13.006625378787893</v>
      </c>
      <c r="K27" s="30">
        <f t="shared" si="3"/>
        <v>4.3355417929292974</v>
      </c>
      <c r="L27" s="15">
        <v>44</v>
      </c>
      <c r="M27" s="31">
        <f t="shared" si="6"/>
        <v>6.8181818181818177E-2</v>
      </c>
      <c r="N27" s="15">
        <v>144</v>
      </c>
      <c r="O27" s="32">
        <f t="shared" ref="O27:P27" si="35">D27/7</f>
        <v>0.42857142857142855</v>
      </c>
      <c r="P27" s="32">
        <f t="shared" si="35"/>
        <v>0.14285714285714285</v>
      </c>
      <c r="Q27" s="27">
        <f t="shared" si="8"/>
        <v>252</v>
      </c>
      <c r="R27" s="27"/>
      <c r="S27" s="41">
        <v>1.17741935483871</v>
      </c>
      <c r="T27" s="26">
        <v>717</v>
      </c>
      <c r="U27" s="34">
        <v>200</v>
      </c>
      <c r="V27" s="35" t="s">
        <v>273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0.28703703703703703</v>
      </c>
      <c r="AD27" s="37">
        <f t="shared" si="12"/>
        <v>-0.82666666666666666</v>
      </c>
      <c r="AE27" s="42">
        <v>-9.8000000000000007</v>
      </c>
      <c r="AF27" s="42">
        <v>-5.7770693181818098</v>
      </c>
      <c r="AG27" s="42">
        <v>0</v>
      </c>
    </row>
    <row r="28" spans="1:33" ht="15.75" customHeight="1" x14ac:dyDescent="0.2">
      <c r="A28" s="40" t="s">
        <v>79</v>
      </c>
      <c r="B28" s="40" t="s">
        <v>274</v>
      </c>
      <c r="C28" s="14">
        <f t="shared" si="4"/>
        <v>23.99</v>
      </c>
      <c r="D28" s="15">
        <v>8</v>
      </c>
      <c r="E28" s="15">
        <v>0</v>
      </c>
      <c r="F28" s="16">
        <v>191.92</v>
      </c>
      <c r="G28" s="16">
        <v>-2.29</v>
      </c>
      <c r="H28" s="29">
        <f t="shared" si="1"/>
        <v>1.193205502292622E-2</v>
      </c>
      <c r="I28" s="29">
        <f t="shared" si="2"/>
        <v>0.17726657466705431</v>
      </c>
      <c r="J28" s="30">
        <f t="shared" si="5"/>
        <v>34.02100101010106</v>
      </c>
      <c r="K28" s="30">
        <f t="shared" si="3"/>
        <v>4.2526251262626324</v>
      </c>
      <c r="L28" s="15">
        <v>53</v>
      </c>
      <c r="M28" s="31">
        <f t="shared" si="6"/>
        <v>0.15094339622641509</v>
      </c>
      <c r="N28" s="15">
        <v>135</v>
      </c>
      <c r="O28" s="32">
        <f t="shared" ref="O28:P28" si="36">D28/7</f>
        <v>1.1428571428571428</v>
      </c>
      <c r="P28" s="32">
        <f t="shared" si="36"/>
        <v>0</v>
      </c>
      <c r="Q28" s="27">
        <f t="shared" si="8"/>
        <v>118</v>
      </c>
      <c r="R28" s="27"/>
      <c r="S28" s="41">
        <v>1.187772925764192</v>
      </c>
      <c r="T28" s="40">
        <v>317</v>
      </c>
      <c r="U28" s="22">
        <v>200</v>
      </c>
      <c r="V28" s="1" t="s">
        <v>275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0.28703703703703703</v>
      </c>
      <c r="AD28" s="37">
        <f t="shared" si="12"/>
        <v>-2.2044444444444444</v>
      </c>
      <c r="AE28" s="42">
        <v>-9.8000000000000007</v>
      </c>
      <c r="AF28" s="42">
        <v>-5.7770693181818098</v>
      </c>
      <c r="AG28" s="42">
        <v>0</v>
      </c>
    </row>
    <row r="29" spans="1:33" ht="15.75" customHeight="1" x14ac:dyDescent="0.2">
      <c r="A29" s="26" t="s">
        <v>82</v>
      </c>
      <c r="B29" s="26" t="s">
        <v>276</v>
      </c>
      <c r="C29" s="14">
        <f t="shared" si="4"/>
        <v>23.99</v>
      </c>
      <c r="D29" s="27">
        <v>16</v>
      </c>
      <c r="E29" s="27">
        <v>2</v>
      </c>
      <c r="F29" s="30">
        <v>383.84</v>
      </c>
      <c r="G29" s="30">
        <v>-23.3</v>
      </c>
      <c r="H29" s="29">
        <f t="shared" si="1"/>
        <v>6.0702375989995838E-2</v>
      </c>
      <c r="I29" s="29">
        <f t="shared" si="2"/>
        <v>0.12849625369998463</v>
      </c>
      <c r="J29" s="30">
        <f t="shared" si="5"/>
        <v>49.322002020202099</v>
      </c>
      <c r="K29" s="30">
        <f t="shared" si="3"/>
        <v>3.0826251262626312</v>
      </c>
      <c r="L29" s="27">
        <v>71</v>
      </c>
      <c r="M29" s="31">
        <f t="shared" si="6"/>
        <v>0.22535211267605634</v>
      </c>
      <c r="N29" s="15">
        <v>120</v>
      </c>
      <c r="O29" s="32">
        <f t="shared" ref="O29:P29" si="37">D29/7</f>
        <v>2.2857142857142856</v>
      </c>
      <c r="P29" s="32">
        <f t="shared" si="37"/>
        <v>0.2857142857142857</v>
      </c>
      <c r="Q29" s="27">
        <f t="shared" si="8"/>
        <v>46</v>
      </c>
      <c r="R29" s="27"/>
      <c r="S29" s="41">
        <v>1.395577395577396</v>
      </c>
      <c r="T29" s="40" t="s">
        <v>34</v>
      </c>
      <c r="U29" s="22" t="s">
        <v>34</v>
      </c>
      <c r="V29" s="1" t="s">
        <v>34</v>
      </c>
      <c r="W29" s="40">
        <v>3</v>
      </c>
      <c r="X29" s="36">
        <f t="shared" si="9"/>
        <v>0.1875</v>
      </c>
      <c r="Y29" s="37">
        <f t="shared" si="10"/>
        <v>2.9125000000000001</v>
      </c>
      <c r="Z29" s="40">
        <v>5</v>
      </c>
      <c r="AA29" s="26" t="s">
        <v>250</v>
      </c>
      <c r="AB29" s="38">
        <f t="shared" si="11"/>
        <v>-0.48</v>
      </c>
      <c r="AC29" s="39">
        <v>0.28703703703703703</v>
      </c>
      <c r="AD29" s="37">
        <f t="shared" si="12"/>
        <v>-4.4088888888888889</v>
      </c>
      <c r="AE29" s="37">
        <v>-9.8000000000000007</v>
      </c>
      <c r="AF29" s="42">
        <v>-5.7770693181818098</v>
      </c>
      <c r="AG29" s="37">
        <v>0</v>
      </c>
    </row>
    <row r="30" spans="1:33" ht="15.75" customHeight="1" x14ac:dyDescent="0.2">
      <c r="A30" s="40" t="s">
        <v>84</v>
      </c>
      <c r="B30" s="40" t="s">
        <v>277</v>
      </c>
      <c r="C30" s="14">
        <f t="shared" si="4"/>
        <v>24.004285714285718</v>
      </c>
      <c r="D30" s="15">
        <v>14</v>
      </c>
      <c r="E30" s="15">
        <v>0</v>
      </c>
      <c r="F30" s="16">
        <v>336.06000000000006</v>
      </c>
      <c r="G30" s="16">
        <v>-49.74</v>
      </c>
      <c r="H30" s="29">
        <f t="shared" si="1"/>
        <v>0.14800928405641847</v>
      </c>
      <c r="I30" s="29">
        <f t="shared" si="2"/>
        <v>-4.0025415670647317E-2</v>
      </c>
      <c r="J30" s="30">
        <f t="shared" si="5"/>
        <v>-13.450941190277739</v>
      </c>
      <c r="K30" s="30">
        <f t="shared" si="3"/>
        <v>-0.96078151359126707</v>
      </c>
      <c r="L30" s="15">
        <v>69</v>
      </c>
      <c r="M30" s="31">
        <f t="shared" si="6"/>
        <v>0.20289855072463769</v>
      </c>
      <c r="N30" s="15">
        <v>93</v>
      </c>
      <c r="O30" s="32">
        <f t="shared" ref="O30:P30" si="38">D30/7</f>
        <v>2</v>
      </c>
      <c r="P30" s="32">
        <f t="shared" si="38"/>
        <v>0</v>
      </c>
      <c r="Q30" s="27">
        <f t="shared" si="8"/>
        <v>46</v>
      </c>
      <c r="R30" s="27"/>
      <c r="S30" s="41">
        <v>1.5328083989501311</v>
      </c>
      <c r="T30" s="26">
        <v>517</v>
      </c>
      <c r="U30" s="34">
        <v>200</v>
      </c>
      <c r="V30" s="35" t="s">
        <v>278</v>
      </c>
      <c r="W30" s="40">
        <v>8</v>
      </c>
      <c r="X30" s="36">
        <f t="shared" si="9"/>
        <v>0.5714285714285714</v>
      </c>
      <c r="Y30" s="37">
        <f t="shared" si="10"/>
        <v>4.5218181818181824</v>
      </c>
      <c r="Z30" s="40">
        <v>3</v>
      </c>
      <c r="AA30" s="26" t="s">
        <v>250</v>
      </c>
      <c r="AB30" s="38">
        <f t="shared" si="11"/>
        <v>-0.48</v>
      </c>
      <c r="AC30" s="39">
        <v>0.28703703703703703</v>
      </c>
      <c r="AD30" s="37">
        <f t="shared" si="12"/>
        <v>-3.8577777777777778</v>
      </c>
      <c r="AE30" s="42">
        <v>-9.8000000000000007</v>
      </c>
      <c r="AF30" s="42">
        <v>-7.3074402437500003</v>
      </c>
      <c r="AG30" s="42">
        <v>-6</v>
      </c>
    </row>
    <row r="31" spans="1:33" ht="15.75" customHeight="1" x14ac:dyDescent="0.2">
      <c r="A31" s="40" t="s">
        <v>87</v>
      </c>
      <c r="B31" s="40" t="s">
        <v>279</v>
      </c>
      <c r="C31" s="14">
        <f t="shared" si="4"/>
        <v>23.990000000000006</v>
      </c>
      <c r="D31" s="15">
        <v>23</v>
      </c>
      <c r="E31" s="15">
        <v>0</v>
      </c>
      <c r="F31" s="16">
        <v>551.7700000000001</v>
      </c>
      <c r="G31" s="43">
        <v>-116.16999999999999</v>
      </c>
      <c r="H31" s="29">
        <f t="shared" si="1"/>
        <v>0.21054062381064567</v>
      </c>
      <c r="I31" s="29">
        <f t="shared" si="2"/>
        <v>-0.11949617301416852</v>
      </c>
      <c r="J31" s="30">
        <f t="shared" si="5"/>
        <v>-65.934403384027775</v>
      </c>
      <c r="K31" s="30">
        <f t="shared" si="3"/>
        <v>-2.8667131906099033</v>
      </c>
      <c r="L31" s="15">
        <v>104</v>
      </c>
      <c r="M31" s="31">
        <f t="shared" si="6"/>
        <v>0.22115384615384615</v>
      </c>
      <c r="N31" s="15">
        <v>78</v>
      </c>
      <c r="O31" s="32">
        <f t="shared" ref="O31:P31" si="39">D31/7</f>
        <v>3.2857142857142856</v>
      </c>
      <c r="P31" s="32">
        <f t="shared" si="39"/>
        <v>0</v>
      </c>
      <c r="Q31" s="27">
        <f t="shared" si="8"/>
        <v>23</v>
      </c>
      <c r="R31" s="27"/>
      <c r="S31" s="41">
        <v>1.9305993690851699</v>
      </c>
      <c r="T31" s="40">
        <v>317</v>
      </c>
      <c r="U31" s="22">
        <v>200</v>
      </c>
      <c r="V31" s="1" t="s">
        <v>280</v>
      </c>
      <c r="W31" s="40">
        <v>10</v>
      </c>
      <c r="X31" s="36">
        <f t="shared" si="9"/>
        <v>0.43478260869565216</v>
      </c>
      <c r="Y31" s="37">
        <f t="shared" si="10"/>
        <v>7.2606249999999992</v>
      </c>
      <c r="Z31" s="40">
        <v>6</v>
      </c>
      <c r="AA31" s="40" t="s">
        <v>250</v>
      </c>
      <c r="AB31" s="38">
        <f t="shared" si="11"/>
        <v>-0.48</v>
      </c>
      <c r="AC31" s="44">
        <v>0.28703703703703703</v>
      </c>
      <c r="AD31" s="37">
        <f t="shared" si="12"/>
        <v>-6.3377777777777773</v>
      </c>
      <c r="AE31" s="45">
        <v>-9.8000000000000007</v>
      </c>
      <c r="AF31" s="45">
        <v>-7.3074402437500012</v>
      </c>
      <c r="AG31" s="42">
        <v>-18.96</v>
      </c>
    </row>
    <row r="32" spans="1:33" ht="15.75" customHeight="1" x14ac:dyDescent="0.2">
      <c r="A32" s="40" t="s">
        <v>90</v>
      </c>
      <c r="B32" s="50" t="s">
        <v>281</v>
      </c>
      <c r="C32" s="14">
        <f t="shared" si="4"/>
        <v>24.291818181818179</v>
      </c>
      <c r="D32" s="15">
        <v>22</v>
      </c>
      <c r="E32" s="15">
        <v>0</v>
      </c>
      <c r="F32" s="16">
        <v>534.41999999999996</v>
      </c>
      <c r="G32" s="16">
        <v>-128.34</v>
      </c>
      <c r="H32" s="29">
        <f t="shared" si="1"/>
        <v>0.24014819804648033</v>
      </c>
      <c r="I32" s="29">
        <f t="shared" si="2"/>
        <v>-0.13567775828884088</v>
      </c>
      <c r="J32" s="30">
        <f t="shared" si="5"/>
        <v>-72.508907584722337</v>
      </c>
      <c r="K32" s="30">
        <f t="shared" si="3"/>
        <v>-3.2958594356691973</v>
      </c>
      <c r="L32" s="15">
        <v>106</v>
      </c>
      <c r="M32" s="31">
        <f t="shared" si="6"/>
        <v>0.20754716981132076</v>
      </c>
      <c r="N32" s="15">
        <v>54</v>
      </c>
      <c r="O32" s="32">
        <f t="shared" ref="O32:P32" si="40">D32/7</f>
        <v>3.1428571428571428</v>
      </c>
      <c r="P32" s="32">
        <f t="shared" si="40"/>
        <v>0</v>
      </c>
      <c r="Q32" s="27">
        <f t="shared" si="8"/>
        <v>17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1.860215053763441</v>
      </c>
      <c r="T32" s="40">
        <f ca="1">IFERROR(__xludf.DUMMYFUNCTION("IFERROR(VLOOKUP($B$2,IMPORTRANGE(""https://docs.google.com/spreadsheets/d/1KiWZV1ko8G7lnRucBRBd29jj3Be6ltMfljMDqzOkQmI/edit#gid=1381463014"",""Lookup!A:D""),4,FALSE),"""")"),317)</f>
        <v>317</v>
      </c>
      <c r="U32" s="22">
        <f ca="1">IFERROR(__xludf.DUMMYFUNCTION("IFERROR(VLOOKUP($B$2,IMPORTRANGE(""https://docs.google.com/spreadsheets/d/1KiWZV1ko8G7lnRucBRBd29jj3Be6ltMfljMDqzOkQmI/edit#gid=1381463014"",""Lookup!A:D""),3,FALSE),"""")"),200)</f>
        <v>200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- 200 units 07/22")</f>
        <v>| AGL232  - 200 units 07/22</v>
      </c>
      <c r="W32" s="40">
        <v>10</v>
      </c>
      <c r="X32" s="36">
        <f t="shared" si="9"/>
        <v>0.45454545454545453</v>
      </c>
      <c r="Y32" s="37">
        <f t="shared" si="10"/>
        <v>6.4169999999999998</v>
      </c>
      <c r="Z32" s="40">
        <v>10</v>
      </c>
      <c r="AA32" s="40" t="s">
        <v>250</v>
      </c>
      <c r="AB32" s="38">
        <f t="shared" si="11"/>
        <v>-0.48</v>
      </c>
      <c r="AC32" s="44">
        <v>0.28703703703703703</v>
      </c>
      <c r="AD32" s="37">
        <f t="shared" si="12"/>
        <v>-6.0622222222222222</v>
      </c>
      <c r="AE32" s="42">
        <v>-9.8000000000000007</v>
      </c>
      <c r="AF32" s="42">
        <v>-7.3074402437500003</v>
      </c>
      <c r="AG32" s="42">
        <v>-16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164062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7.5" customWidth="1"/>
    <col min="19" max="19" width="8.33203125" customWidth="1"/>
    <col min="20" max="20" width="12.83203125" customWidth="1"/>
    <col min="21" max="21" width="15.5" customWidth="1"/>
    <col min="22" max="22" width="3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3.5" customWidth="1"/>
    <col min="28" max="28" width="11.1640625" customWidth="1"/>
    <col min="29" max="29" width="8.1640625" customWidth="1"/>
    <col min="30" max="30" width="12.5" customWidth="1"/>
    <col min="31" max="31" width="9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Chair Mat 2 Pack for Hardwood Floors 30 x 48 - Floor Mats for Desk Chairs")</f>
        <v>Office Chair Mat 2 Pack for Hardwood Floors 30 x 48 - Floor Mats for Desk Chairs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Info!B1:BJ5000""),2,FALSE),"""")"),"B07FF3QL1Y")</f>
        <v>B07FF3QL1Y</v>
      </c>
      <c r="B2" s="3" t="s">
        <v>282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28.219590185703531</v>
      </c>
      <c r="D3" s="5">
        <f>SUM(D4:D99767)</f>
        <v>583</v>
      </c>
      <c r="E3" s="5"/>
      <c r="F3" s="6">
        <f t="shared" ref="F3:G3" si="0">SUM(F4:F99767)</f>
        <v>20955.610000000004</v>
      </c>
      <c r="G3" s="6">
        <f t="shared" si="0"/>
        <v>-1467.2999999999995</v>
      </c>
      <c r="H3" s="7">
        <f t="shared" ref="H3:H32" si="1">G3/F3*-1</f>
        <v>7.0019436322779405E-2</v>
      </c>
      <c r="I3" s="8">
        <f t="shared" ref="I3:I32" si="2">J3/F3</f>
        <v>0.15419421737046637</v>
      </c>
      <c r="J3" s="6">
        <f>SUM(J4:J99767)</f>
        <v>3231.2338834707193</v>
      </c>
      <c r="K3" s="6">
        <f t="shared" ref="K3:K32" si="3">J3/D3</f>
        <v>5.5424251860561222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Sheet!a1:g5000""),2,FALSE),"""")"),"6.0 - March
6.0 - April
6.0 - May
6.0 - June
6.0 - July
6.0 - Aug
6.0 - Sept
6.0 - Oct
6.0 - Nov
6.0 - Dec
6.0 - Jan
6.0 - Feb")</f>
        <v>6.0 - March
6.0 - April
6.0 - May
6.0 - June
6.0 - July
6.0 - Aug
6.0 - Sept
6.0 - Oct
6.0 - Nov
6.0 - Dec
6.0 - Jan
6.0 -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QTY-5")</f>
        <v>Del QTY-5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90</v>
      </c>
      <c r="X3" s="7">
        <f>W3/D3</f>
        <v>0.15437392795883362</v>
      </c>
      <c r="Y3" s="6"/>
      <c r="Z3" s="5"/>
      <c r="AA3" s="5"/>
      <c r="AB3" s="5"/>
      <c r="AC3" s="5"/>
      <c r="AD3" s="6">
        <f>SUM(AD4:AD99767)</f>
        <v>-246.00583429895718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Info!B2:BZ3000""),37,FALSE)),"""")*-1"),-12.286651657848)</f>
        <v>-12.286651657847999</v>
      </c>
      <c r="AG3" s="6">
        <f>SUM(AG4:AG99767)</f>
        <v>-74.930000000000007</v>
      </c>
    </row>
    <row r="4" spans="1:33" x14ac:dyDescent="0.2">
      <c r="A4" s="1" t="s">
        <v>32</v>
      </c>
      <c r="B4" s="2" t="s">
        <v>283</v>
      </c>
      <c r="C4" s="14">
        <f t="shared" ref="C4:C32" si="4">IFERROR(F4/D4," - ")</f>
        <v>42.595999999999989</v>
      </c>
      <c r="D4" s="15">
        <v>20</v>
      </c>
      <c r="E4" s="15">
        <v>0</v>
      </c>
      <c r="F4" s="16">
        <v>851.91999999999985</v>
      </c>
      <c r="G4" s="16">
        <v>-79.599999999999994</v>
      </c>
      <c r="H4" s="17">
        <f t="shared" si="1"/>
        <v>9.3436003380599125E-2</v>
      </c>
      <c r="I4" s="17">
        <f t="shared" si="2"/>
        <v>0.25221010078391032</v>
      </c>
      <c r="J4" s="16">
        <f t="shared" ref="J4:J32" si="5">F4*0.85+G4+AF4*D4+D4*AE4+AG4+AD4</f>
        <v>214.86282905982884</v>
      </c>
      <c r="K4" s="16">
        <f t="shared" si="3"/>
        <v>10.743141452991441</v>
      </c>
      <c r="L4" s="15">
        <v>102</v>
      </c>
      <c r="M4" s="18">
        <f t="shared" ref="M4:M32" si="6">IFERROR(D4/L4,"-")</f>
        <v>0.19607843137254902</v>
      </c>
      <c r="N4" s="15">
        <v>212</v>
      </c>
      <c r="O4" s="19">
        <f t="shared" ref="O4:P4" si="7">D4/7</f>
        <v>2.8571428571428572</v>
      </c>
      <c r="P4" s="19">
        <f t="shared" si="7"/>
        <v>0</v>
      </c>
      <c r="Q4" s="15">
        <f t="shared" ref="Q4:Q32" si="8">ROUNDDOWN(N4/(O4+P4),0)</f>
        <v>74</v>
      </c>
      <c r="R4" s="15"/>
      <c r="S4" s="20">
        <v>0.65144596651445896</v>
      </c>
      <c r="T4" s="2">
        <v>851</v>
      </c>
      <c r="U4" s="2">
        <v>289</v>
      </c>
      <c r="V4" s="21" t="s">
        <v>284</v>
      </c>
      <c r="W4" s="22">
        <v>3</v>
      </c>
      <c r="X4" s="23">
        <f t="shared" ref="X4:X32" si="9">IFERROR(W4/D4,0)</f>
        <v>0.15</v>
      </c>
      <c r="Y4" s="24">
        <f t="shared" ref="Y4:Y32" si="10">IFERROR(G4/(W4+Z4)*-1,0)</f>
        <v>13.266666666666666</v>
      </c>
      <c r="Z4" s="22">
        <v>3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0.43952546296296297</v>
      </c>
      <c r="AD4" s="24">
        <f t="shared" ref="AD4:AD32" si="12">IFERROR(AB4*AC4*D4*2,0)</f>
        <v>-8.43888888888889</v>
      </c>
      <c r="AE4" s="24">
        <v>-11.3</v>
      </c>
      <c r="AF4" s="24">
        <v>-9.761514102564103</v>
      </c>
      <c r="AG4" s="24">
        <v>0</v>
      </c>
    </row>
    <row r="5" spans="1:33" ht="15.75" customHeight="1" x14ac:dyDescent="0.2">
      <c r="A5" s="26" t="s">
        <v>35</v>
      </c>
      <c r="B5" s="26" t="s">
        <v>105</v>
      </c>
      <c r="C5" s="14">
        <f t="shared" si="4"/>
        <v>41.565999999999995</v>
      </c>
      <c r="D5" s="27">
        <v>25</v>
      </c>
      <c r="E5" s="27">
        <v>0</v>
      </c>
      <c r="F5" s="28">
        <v>1039.1499999999999</v>
      </c>
      <c r="G5" s="28">
        <v>-120.68</v>
      </c>
      <c r="H5" s="29">
        <f t="shared" si="1"/>
        <v>0.11613337824183229</v>
      </c>
      <c r="I5" s="29">
        <f t="shared" si="2"/>
        <v>0.21700314019818143</v>
      </c>
      <c r="J5" s="30">
        <f t="shared" si="5"/>
        <v>225.49881313694019</v>
      </c>
      <c r="K5" s="30">
        <f t="shared" si="3"/>
        <v>9.0199525254776081</v>
      </c>
      <c r="L5" s="27">
        <v>193</v>
      </c>
      <c r="M5" s="31">
        <f t="shared" si="6"/>
        <v>0.12953367875647667</v>
      </c>
      <c r="N5" s="27">
        <v>182</v>
      </c>
      <c r="O5" s="32">
        <f t="shared" ref="O5:P5" si="13">D5/7</f>
        <v>3.5714285714285716</v>
      </c>
      <c r="P5" s="32">
        <f t="shared" si="13"/>
        <v>0</v>
      </c>
      <c r="Q5" s="27">
        <f t="shared" si="8"/>
        <v>50</v>
      </c>
      <c r="R5" s="27"/>
      <c r="S5" s="33">
        <v>0.76283618581906998</v>
      </c>
      <c r="T5" s="26">
        <v>851</v>
      </c>
      <c r="U5" s="34">
        <v>289</v>
      </c>
      <c r="V5" s="35" t="s">
        <v>285</v>
      </c>
      <c r="W5" s="26">
        <v>7</v>
      </c>
      <c r="X5" s="36">
        <f t="shared" si="9"/>
        <v>0.28000000000000003</v>
      </c>
      <c r="Y5" s="37">
        <f t="shared" si="10"/>
        <v>13.408888888888889</v>
      </c>
      <c r="Z5" s="26">
        <v>2</v>
      </c>
      <c r="AA5" s="26" t="s">
        <v>250</v>
      </c>
      <c r="AB5" s="38">
        <f t="shared" si="11"/>
        <v>-0.48</v>
      </c>
      <c r="AC5" s="39">
        <v>0.44003476245654694</v>
      </c>
      <c r="AD5" s="37">
        <f t="shared" si="12"/>
        <v>-10.560834298957127</v>
      </c>
      <c r="AE5" s="37">
        <v>-11.3</v>
      </c>
      <c r="AF5" s="37">
        <v>-9.761514102564103</v>
      </c>
      <c r="AG5" s="37">
        <v>0</v>
      </c>
    </row>
    <row r="6" spans="1:33" ht="15.75" customHeight="1" x14ac:dyDescent="0.2">
      <c r="A6" s="26" t="s">
        <v>38</v>
      </c>
      <c r="B6" s="26" t="s">
        <v>286</v>
      </c>
      <c r="C6" s="14">
        <f t="shared" si="4"/>
        <v>40.76285714285715</v>
      </c>
      <c r="D6" s="27">
        <v>14</v>
      </c>
      <c r="E6" s="27">
        <v>0</v>
      </c>
      <c r="F6" s="28">
        <v>570.68000000000006</v>
      </c>
      <c r="G6" s="28">
        <v>-95.22999999999999</v>
      </c>
      <c r="H6" s="29">
        <f t="shared" si="1"/>
        <v>0.16687110114249665</v>
      </c>
      <c r="I6" s="29">
        <f t="shared" si="2"/>
        <v>0.1560937484087061</v>
      </c>
      <c r="J6" s="30">
        <f t="shared" si="5"/>
        <v>89.079580341880401</v>
      </c>
      <c r="K6" s="30">
        <f t="shared" si="3"/>
        <v>6.3628271672771719</v>
      </c>
      <c r="L6" s="27">
        <v>158</v>
      </c>
      <c r="M6" s="31">
        <f t="shared" si="6"/>
        <v>8.8607594936708861E-2</v>
      </c>
      <c r="N6" s="27">
        <v>165</v>
      </c>
      <c r="O6" s="32">
        <f t="shared" ref="O6:P6" si="14">D6/7</f>
        <v>2</v>
      </c>
      <c r="P6" s="32">
        <f t="shared" si="14"/>
        <v>0</v>
      </c>
      <c r="Q6" s="27">
        <f t="shared" si="8"/>
        <v>82</v>
      </c>
      <c r="R6" s="27"/>
      <c r="S6" s="33">
        <v>0.81889763779527502</v>
      </c>
      <c r="T6" s="26">
        <v>851</v>
      </c>
      <c r="U6" s="34">
        <v>289</v>
      </c>
      <c r="V6" s="49" t="s">
        <v>287</v>
      </c>
      <c r="W6" s="26">
        <v>2</v>
      </c>
      <c r="X6" s="36">
        <f t="shared" si="9"/>
        <v>0.14285714285714285</v>
      </c>
      <c r="Y6" s="37">
        <f t="shared" si="10"/>
        <v>19.045999999999999</v>
      </c>
      <c r="Z6" s="26">
        <v>3</v>
      </c>
      <c r="AA6" s="26" t="s">
        <v>250</v>
      </c>
      <c r="AB6" s="38">
        <f t="shared" si="11"/>
        <v>-0.48</v>
      </c>
      <c r="AC6" s="39">
        <v>0.43952546296296297</v>
      </c>
      <c r="AD6" s="37">
        <f t="shared" si="12"/>
        <v>-5.9072222222222219</v>
      </c>
      <c r="AE6" s="37">
        <v>-11.3</v>
      </c>
      <c r="AF6" s="37">
        <v>-9.761514102564103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39.283999999999999</v>
      </c>
      <c r="D7" s="27">
        <v>15</v>
      </c>
      <c r="E7" s="27">
        <v>1</v>
      </c>
      <c r="F7" s="28">
        <v>589.26</v>
      </c>
      <c r="G7" s="28">
        <v>-74.059999999999988</v>
      </c>
      <c r="H7" s="29">
        <f t="shared" si="1"/>
        <v>0.12568306010928959</v>
      </c>
      <c r="I7" s="29">
        <f t="shared" si="2"/>
        <v>0.17744140412529572</v>
      </c>
      <c r="J7" s="30">
        <f t="shared" si="5"/>
        <v>104.55912179487176</v>
      </c>
      <c r="K7" s="30">
        <f t="shared" si="3"/>
        <v>6.9706081196581176</v>
      </c>
      <c r="L7" s="27">
        <v>176</v>
      </c>
      <c r="M7" s="31">
        <f t="shared" si="6"/>
        <v>8.5227272727272721E-2</v>
      </c>
      <c r="N7" s="27">
        <v>146</v>
      </c>
      <c r="O7" s="32">
        <f t="shared" ref="O7:P7" si="15">D7/7</f>
        <v>2.1428571428571428</v>
      </c>
      <c r="P7" s="32">
        <f t="shared" si="15"/>
        <v>0.14285714285714285</v>
      </c>
      <c r="Q7" s="27">
        <f t="shared" si="8"/>
        <v>63</v>
      </c>
      <c r="R7" s="27"/>
      <c r="S7" s="33">
        <v>0.82835820895522305</v>
      </c>
      <c r="T7" s="26">
        <v>851</v>
      </c>
      <c r="U7" s="34">
        <v>289</v>
      </c>
      <c r="V7" s="49" t="s">
        <v>288</v>
      </c>
      <c r="W7" s="26">
        <v>4</v>
      </c>
      <c r="X7" s="36">
        <f t="shared" si="9"/>
        <v>0.26666666666666666</v>
      </c>
      <c r="Y7" s="37">
        <f t="shared" si="10"/>
        <v>18.514999999999997</v>
      </c>
      <c r="Z7" s="26">
        <v>0</v>
      </c>
      <c r="AA7" s="26" t="s">
        <v>250</v>
      </c>
      <c r="AB7" s="38">
        <f t="shared" si="11"/>
        <v>-0.48</v>
      </c>
      <c r="AC7" s="39">
        <v>0.43952546296296297</v>
      </c>
      <c r="AD7" s="37">
        <f t="shared" si="12"/>
        <v>-6.3291666666666666</v>
      </c>
      <c r="AE7" s="37">
        <v>-11.3</v>
      </c>
      <c r="AF7" s="37">
        <v>-9.761514102564103</v>
      </c>
      <c r="AG7" s="37">
        <v>0</v>
      </c>
    </row>
    <row r="8" spans="1:33" ht="15.75" customHeight="1" x14ac:dyDescent="0.2">
      <c r="A8" s="26" t="s">
        <v>43</v>
      </c>
      <c r="B8" s="26" t="s">
        <v>289</v>
      </c>
      <c r="C8" s="14">
        <f t="shared" si="4"/>
        <v>37.99</v>
      </c>
      <c r="D8" s="27">
        <v>19</v>
      </c>
      <c r="E8" s="27">
        <v>1</v>
      </c>
      <c r="F8" s="28">
        <v>721.81000000000006</v>
      </c>
      <c r="G8" s="28">
        <v>-39.279999999999994</v>
      </c>
      <c r="H8" s="29">
        <f t="shared" si="1"/>
        <v>5.4418752857400131E-2</v>
      </c>
      <c r="I8" s="29">
        <f t="shared" si="2"/>
        <v>0.23011811356943732</v>
      </c>
      <c r="J8" s="30">
        <f t="shared" si="5"/>
        <v>166.10155555555556</v>
      </c>
      <c r="K8" s="30">
        <f t="shared" si="3"/>
        <v>8.7421871345029238</v>
      </c>
      <c r="L8" s="27">
        <v>135</v>
      </c>
      <c r="M8" s="31">
        <f t="shared" si="6"/>
        <v>0.14074074074074075</v>
      </c>
      <c r="N8" s="27">
        <v>127</v>
      </c>
      <c r="O8" s="32">
        <f t="shared" ref="O8:P8" si="16">D8/7</f>
        <v>2.7142857142857144</v>
      </c>
      <c r="P8" s="32">
        <f t="shared" si="16"/>
        <v>0.14285714285714285</v>
      </c>
      <c r="Q8" s="27">
        <f t="shared" si="8"/>
        <v>44</v>
      </c>
      <c r="R8" s="27"/>
      <c r="S8" s="33">
        <v>0.90348258706467599</v>
      </c>
      <c r="T8" s="26">
        <v>562</v>
      </c>
      <c r="U8" s="34" t="s">
        <v>34</v>
      </c>
      <c r="V8" s="35" t="s">
        <v>34</v>
      </c>
      <c r="W8" s="26">
        <v>3</v>
      </c>
      <c r="X8" s="36">
        <f t="shared" si="9"/>
        <v>0.15789473684210525</v>
      </c>
      <c r="Y8" s="37">
        <f t="shared" si="10"/>
        <v>6.546666666666666</v>
      </c>
      <c r="Z8" s="26">
        <v>3</v>
      </c>
      <c r="AA8" s="26" t="s">
        <v>250</v>
      </c>
      <c r="AB8" s="38">
        <f t="shared" si="11"/>
        <v>-0.48</v>
      </c>
      <c r="AC8" s="39">
        <v>0.43952546296296297</v>
      </c>
      <c r="AD8" s="37">
        <f t="shared" si="12"/>
        <v>-8.0169444444444444</v>
      </c>
      <c r="AE8" s="37">
        <v>-11.3</v>
      </c>
      <c r="AF8" s="37">
        <v>-9.76</v>
      </c>
      <c r="AG8" s="37">
        <v>0</v>
      </c>
    </row>
    <row r="9" spans="1:33" ht="15.75" customHeight="1" x14ac:dyDescent="0.2">
      <c r="A9" s="26" t="s">
        <v>45</v>
      </c>
      <c r="B9" s="26" t="s">
        <v>290</v>
      </c>
      <c r="C9" s="14">
        <f t="shared" si="4"/>
        <v>36.907777777777781</v>
      </c>
      <c r="D9" s="27">
        <v>27</v>
      </c>
      <c r="E9" s="27">
        <v>0</v>
      </c>
      <c r="F9" s="28">
        <v>996.5100000000001</v>
      </c>
      <c r="G9" s="28">
        <v>-16.060000000000002</v>
      </c>
      <c r="H9" s="29">
        <f t="shared" si="1"/>
        <v>1.6116245697484221E-2</v>
      </c>
      <c r="I9" s="29">
        <f t="shared" si="2"/>
        <v>0.24137096543861414</v>
      </c>
      <c r="J9" s="30">
        <f t="shared" si="5"/>
        <v>240.5285807692334</v>
      </c>
      <c r="K9" s="30">
        <f t="shared" si="3"/>
        <v>8.9084659544160516</v>
      </c>
      <c r="L9" s="27">
        <v>126</v>
      </c>
      <c r="M9" s="31">
        <f t="shared" si="6"/>
        <v>0.21428571428571427</v>
      </c>
      <c r="N9" s="27">
        <v>390</v>
      </c>
      <c r="O9" s="32">
        <f t="shared" ref="O9:P9" si="17">D9/7</f>
        <v>3.8571428571428572</v>
      </c>
      <c r="P9" s="32">
        <f t="shared" si="17"/>
        <v>0</v>
      </c>
      <c r="Q9" s="27">
        <f t="shared" si="8"/>
        <v>101</v>
      </c>
      <c r="R9" s="27"/>
      <c r="S9" s="33">
        <v>0.79201331114808604</v>
      </c>
      <c r="T9" s="26">
        <v>562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16.060000000000002</v>
      </c>
      <c r="Z9" s="26">
        <v>1</v>
      </c>
      <c r="AA9" s="26" t="s">
        <v>250</v>
      </c>
      <c r="AB9" s="38">
        <f t="shared" si="11"/>
        <v>-0.48</v>
      </c>
      <c r="AC9" s="39">
        <v>0.43952546296296297</v>
      </c>
      <c r="AD9" s="37">
        <f t="shared" si="12"/>
        <v>-11.3925</v>
      </c>
      <c r="AE9" s="37">
        <v>-11.3</v>
      </c>
      <c r="AF9" s="37">
        <v>-10.146385897435801</v>
      </c>
      <c r="AG9" s="37">
        <v>0</v>
      </c>
    </row>
    <row r="10" spans="1:33" ht="15.75" customHeight="1" x14ac:dyDescent="0.2">
      <c r="A10" s="26" t="s">
        <v>48</v>
      </c>
      <c r="B10" s="26" t="s">
        <v>291</v>
      </c>
      <c r="C10" s="14">
        <f t="shared" si="4"/>
        <v>33.958064516129035</v>
      </c>
      <c r="D10" s="27">
        <v>31</v>
      </c>
      <c r="E10" s="27">
        <v>0</v>
      </c>
      <c r="F10" s="28">
        <v>1052.7</v>
      </c>
      <c r="G10" s="28">
        <v>-26.33</v>
      </c>
      <c r="H10" s="29">
        <f t="shared" si="1"/>
        <v>2.5011874228175166E-2</v>
      </c>
      <c r="I10" s="29">
        <f t="shared" si="2"/>
        <v>0.18100765593399096</v>
      </c>
      <c r="J10" s="30">
        <f t="shared" si="5"/>
        <v>190.54675940171228</v>
      </c>
      <c r="K10" s="30">
        <f t="shared" si="3"/>
        <v>6.1466696581197509</v>
      </c>
      <c r="L10" s="27">
        <v>144</v>
      </c>
      <c r="M10" s="31">
        <f t="shared" si="6"/>
        <v>0.21527777777777779</v>
      </c>
      <c r="N10" s="27">
        <v>356</v>
      </c>
      <c r="O10" s="32">
        <f t="shared" ref="O10:P10" si="18">D10/7</f>
        <v>4.4285714285714288</v>
      </c>
      <c r="P10" s="32">
        <f t="shared" si="18"/>
        <v>0</v>
      </c>
      <c r="Q10" s="27">
        <f t="shared" si="8"/>
        <v>80</v>
      </c>
      <c r="R10" s="27"/>
      <c r="S10" s="33">
        <v>0.88043478260869501</v>
      </c>
      <c r="T10" s="26">
        <v>562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26.33</v>
      </c>
      <c r="Z10" s="26">
        <v>1</v>
      </c>
      <c r="AA10" s="26" t="s">
        <v>250</v>
      </c>
      <c r="AB10" s="38">
        <f t="shared" si="11"/>
        <v>-0.48</v>
      </c>
      <c r="AC10" s="39">
        <v>0.43952546296296297</v>
      </c>
      <c r="AD10" s="37">
        <f t="shared" si="12"/>
        <v>-13.080277777777779</v>
      </c>
      <c r="AE10" s="37">
        <v>-11.3</v>
      </c>
      <c r="AF10" s="37">
        <v>-10.146385897435801</v>
      </c>
      <c r="AG10" s="37">
        <v>0</v>
      </c>
    </row>
    <row r="11" spans="1:33" ht="15.75" customHeight="1" x14ac:dyDescent="0.2">
      <c r="A11" s="26" t="s">
        <v>50</v>
      </c>
      <c r="B11" s="26" t="s">
        <v>292</v>
      </c>
      <c r="C11" s="14">
        <f t="shared" si="4"/>
        <v>34.99</v>
      </c>
      <c r="D11" s="27">
        <v>40</v>
      </c>
      <c r="E11" s="27">
        <v>0</v>
      </c>
      <c r="F11" s="28">
        <v>1399.6000000000001</v>
      </c>
      <c r="G11" s="28">
        <v>-43.810000000000009</v>
      </c>
      <c r="H11" s="29">
        <f t="shared" si="1"/>
        <v>3.1301800514432696E-2</v>
      </c>
      <c r="I11" s="29">
        <f t="shared" si="2"/>
        <v>0.19371019314432003</v>
      </c>
      <c r="J11" s="30">
        <f t="shared" si="5"/>
        <v>271.11678632479033</v>
      </c>
      <c r="K11" s="30">
        <f t="shared" si="3"/>
        <v>6.7779196581197585</v>
      </c>
      <c r="L11" s="27">
        <v>107</v>
      </c>
      <c r="M11" s="31">
        <f t="shared" si="6"/>
        <v>0.37383177570093457</v>
      </c>
      <c r="N11" s="27">
        <v>324</v>
      </c>
      <c r="O11" s="32">
        <f t="shared" ref="O11:P11" si="19">D11/7</f>
        <v>5.7142857142857144</v>
      </c>
      <c r="P11" s="32">
        <f t="shared" si="19"/>
        <v>0</v>
      </c>
      <c r="Q11" s="27">
        <f t="shared" si="8"/>
        <v>56</v>
      </c>
      <c r="R11" s="27"/>
      <c r="S11" s="33">
        <v>1.0116731517509701</v>
      </c>
      <c r="T11" s="26">
        <v>562</v>
      </c>
      <c r="U11" s="34" t="s">
        <v>34</v>
      </c>
      <c r="V11" s="35" t="s">
        <v>34</v>
      </c>
      <c r="W11" s="26">
        <v>4</v>
      </c>
      <c r="X11" s="36">
        <f t="shared" si="9"/>
        <v>0.1</v>
      </c>
      <c r="Y11" s="37">
        <f t="shared" si="10"/>
        <v>6.2585714285714298</v>
      </c>
      <c r="Z11" s="26">
        <v>3</v>
      </c>
      <c r="AA11" s="26" t="s">
        <v>250</v>
      </c>
      <c r="AB11" s="38">
        <f t="shared" si="11"/>
        <v>-0.48</v>
      </c>
      <c r="AC11" s="39">
        <v>0.43952546296296297</v>
      </c>
      <c r="AD11" s="37">
        <f t="shared" si="12"/>
        <v>-16.87777777777778</v>
      </c>
      <c r="AE11" s="37">
        <v>-11.3</v>
      </c>
      <c r="AF11" s="37">
        <v>-10.146385897435801</v>
      </c>
      <c r="AG11" s="37">
        <v>0</v>
      </c>
    </row>
    <row r="12" spans="1:33" ht="15.75" customHeight="1" x14ac:dyDescent="0.2">
      <c r="A12" s="26" t="s">
        <v>52</v>
      </c>
      <c r="B12" s="26" t="s">
        <v>293</v>
      </c>
      <c r="C12" s="14">
        <f t="shared" si="4"/>
        <v>35.99</v>
      </c>
      <c r="D12" s="27">
        <v>24</v>
      </c>
      <c r="E12" s="27">
        <v>2</v>
      </c>
      <c r="F12" s="28">
        <v>863.7600000000001</v>
      </c>
      <c r="G12" s="28">
        <v>-47.67</v>
      </c>
      <c r="H12" s="29">
        <f t="shared" si="1"/>
        <v>5.5188941372603495E-2</v>
      </c>
      <c r="I12" s="29">
        <f t="shared" si="2"/>
        <v>0.1871886540183316</v>
      </c>
      <c r="J12" s="30">
        <f t="shared" si="5"/>
        <v>161.68607179487412</v>
      </c>
      <c r="K12" s="30">
        <f t="shared" si="3"/>
        <v>6.7369196581197555</v>
      </c>
      <c r="L12" s="27">
        <v>109</v>
      </c>
      <c r="M12" s="31">
        <f t="shared" si="6"/>
        <v>0.22018348623853212</v>
      </c>
      <c r="N12" s="27">
        <v>292</v>
      </c>
      <c r="O12" s="32">
        <f t="shared" ref="O12:P12" si="20">D12/7</f>
        <v>3.4285714285714284</v>
      </c>
      <c r="P12" s="32">
        <f t="shared" si="20"/>
        <v>0.2857142857142857</v>
      </c>
      <c r="Q12" s="27">
        <f t="shared" si="8"/>
        <v>78</v>
      </c>
      <c r="R12" s="27"/>
      <c r="S12" s="33">
        <v>1.1554621848739399</v>
      </c>
      <c r="T12" s="26">
        <v>562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23.835000000000001</v>
      </c>
      <c r="Z12" s="26">
        <v>2</v>
      </c>
      <c r="AA12" s="26" t="s">
        <v>250</v>
      </c>
      <c r="AB12" s="38">
        <f t="shared" si="11"/>
        <v>-0.48</v>
      </c>
      <c r="AC12" s="39">
        <v>0.43952546296296297</v>
      </c>
      <c r="AD12" s="37">
        <f t="shared" si="12"/>
        <v>-10.126666666666667</v>
      </c>
      <c r="AE12" s="37">
        <v>-11.3</v>
      </c>
      <c r="AF12" s="37">
        <v>-10.146385897435801</v>
      </c>
      <c r="AG12" s="37">
        <v>0</v>
      </c>
    </row>
    <row r="13" spans="1:33" ht="15.75" customHeight="1" x14ac:dyDescent="0.2">
      <c r="A13" s="26" t="s">
        <v>54</v>
      </c>
      <c r="B13" s="26" t="s">
        <v>294</v>
      </c>
      <c r="C13" s="14">
        <f t="shared" si="4"/>
        <v>36.615483870967736</v>
      </c>
      <c r="D13" s="27">
        <v>31</v>
      </c>
      <c r="E13" s="27">
        <v>2</v>
      </c>
      <c r="F13" s="30">
        <v>1135.08</v>
      </c>
      <c r="G13" s="28">
        <v>-41.780000000000008</v>
      </c>
      <c r="H13" s="29">
        <f t="shared" si="1"/>
        <v>3.680797829227897E-2</v>
      </c>
      <c r="I13" s="29">
        <f t="shared" si="2"/>
        <v>0.21041712674192314</v>
      </c>
      <c r="J13" s="30">
        <f t="shared" si="5"/>
        <v>238.8402722222221</v>
      </c>
      <c r="K13" s="30">
        <f t="shared" si="3"/>
        <v>7.7045249103942615</v>
      </c>
      <c r="L13" s="27">
        <v>76</v>
      </c>
      <c r="M13" s="31">
        <f t="shared" si="6"/>
        <v>0.40789473684210525</v>
      </c>
      <c r="N13" s="27">
        <v>260</v>
      </c>
      <c r="O13" s="32">
        <f t="shared" ref="O13:P13" si="21">D13/7</f>
        <v>4.4285714285714288</v>
      </c>
      <c r="P13" s="32">
        <f t="shared" si="21"/>
        <v>0.2857142857142857</v>
      </c>
      <c r="Q13" s="27">
        <f t="shared" si="8"/>
        <v>55</v>
      </c>
      <c r="R13" s="27"/>
      <c r="S13" s="33">
        <v>1.1718918918918899</v>
      </c>
      <c r="T13" s="26">
        <v>562</v>
      </c>
      <c r="U13" s="34" t="s">
        <v>34</v>
      </c>
      <c r="V13" s="35" t="s">
        <v>34</v>
      </c>
      <c r="W13" s="26">
        <v>3</v>
      </c>
      <c r="X13" s="36">
        <f t="shared" si="9"/>
        <v>9.6774193548387094E-2</v>
      </c>
      <c r="Y13" s="37">
        <f t="shared" si="10"/>
        <v>10.445000000000002</v>
      </c>
      <c r="Z13" s="26">
        <v>1</v>
      </c>
      <c r="AA13" s="26" t="s">
        <v>250</v>
      </c>
      <c r="AB13" s="38">
        <f t="shared" si="11"/>
        <v>-0.48</v>
      </c>
      <c r="AC13" s="39">
        <v>0.43952546296296297</v>
      </c>
      <c r="AD13" s="37">
        <f t="shared" si="12"/>
        <v>-13.080277777777779</v>
      </c>
      <c r="AE13" s="37">
        <v>-11.3</v>
      </c>
      <c r="AF13" s="37">
        <v>-10.34895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36.99</v>
      </c>
      <c r="D14" s="27">
        <v>17</v>
      </c>
      <c r="E14" s="27">
        <v>3</v>
      </c>
      <c r="F14" s="30">
        <v>628.83000000000004</v>
      </c>
      <c r="G14" s="28">
        <v>-39.39</v>
      </c>
      <c r="H14" s="29">
        <f t="shared" si="1"/>
        <v>6.2640141214636708E-2</v>
      </c>
      <c r="I14" s="29">
        <f t="shared" si="2"/>
        <v>0.19068793544271812</v>
      </c>
      <c r="J14" s="30">
        <f t="shared" si="5"/>
        <v>119.91029444444445</v>
      </c>
      <c r="K14" s="30">
        <f t="shared" si="3"/>
        <v>7.0535467320261436</v>
      </c>
      <c r="L14" s="27">
        <v>60</v>
      </c>
      <c r="M14" s="31">
        <f t="shared" si="6"/>
        <v>0.28333333333333333</v>
      </c>
      <c r="N14" s="27">
        <v>238</v>
      </c>
      <c r="O14" s="32">
        <f t="shared" ref="O14:P14" si="22">D14/7</f>
        <v>2.4285714285714284</v>
      </c>
      <c r="P14" s="32">
        <f t="shared" si="22"/>
        <v>0.42857142857142855</v>
      </c>
      <c r="Q14" s="27">
        <f t="shared" si="8"/>
        <v>83</v>
      </c>
      <c r="R14" s="27"/>
      <c r="S14" s="33">
        <v>1.1083413231064201</v>
      </c>
      <c r="T14" s="26">
        <v>562</v>
      </c>
      <c r="U14" s="34" t="s">
        <v>34</v>
      </c>
      <c r="V14" s="35" t="s">
        <v>34</v>
      </c>
      <c r="W14" s="26">
        <v>2</v>
      </c>
      <c r="X14" s="36">
        <f t="shared" si="9"/>
        <v>0.11764705882352941</v>
      </c>
      <c r="Y14" s="37">
        <f t="shared" si="10"/>
        <v>9.8475000000000001</v>
      </c>
      <c r="Z14" s="26">
        <v>2</v>
      </c>
      <c r="AA14" s="26" t="s">
        <v>250</v>
      </c>
      <c r="AB14" s="38">
        <f t="shared" si="11"/>
        <v>-0.48</v>
      </c>
      <c r="AC14" s="39">
        <v>0.43952546296296297</v>
      </c>
      <c r="AD14" s="37">
        <f t="shared" si="12"/>
        <v>-7.173055555555556</v>
      </c>
      <c r="AE14" s="37">
        <v>-11.3</v>
      </c>
      <c r="AF14" s="37">
        <v>-10.34895</v>
      </c>
      <c r="AG14" s="37">
        <v>0</v>
      </c>
    </row>
    <row r="15" spans="1:33" ht="15.75" customHeight="1" x14ac:dyDescent="0.2">
      <c r="A15" s="26" t="s">
        <v>58</v>
      </c>
      <c r="B15" s="26" t="s">
        <v>295</v>
      </c>
      <c r="C15" s="14">
        <f t="shared" si="4"/>
        <v>36.99</v>
      </c>
      <c r="D15" s="27">
        <v>29</v>
      </c>
      <c r="E15" s="27">
        <v>4</v>
      </c>
      <c r="F15" s="30">
        <v>1072.71</v>
      </c>
      <c r="G15" s="28">
        <v>-45.31</v>
      </c>
      <c r="H15" s="29">
        <f t="shared" si="1"/>
        <v>4.2238815709744477E-2</v>
      </c>
      <c r="I15" s="29">
        <f t="shared" si="2"/>
        <v>0.21108926094761035</v>
      </c>
      <c r="J15" s="30">
        <f t="shared" si="5"/>
        <v>226.43756111111111</v>
      </c>
      <c r="K15" s="30">
        <f t="shared" si="3"/>
        <v>7.8081917624521076</v>
      </c>
      <c r="L15" s="27">
        <v>73</v>
      </c>
      <c r="M15" s="31">
        <f t="shared" si="6"/>
        <v>0.39726027397260272</v>
      </c>
      <c r="N15" s="27">
        <v>208</v>
      </c>
      <c r="O15" s="32">
        <f t="shared" ref="O15:P15" si="23">D15/7</f>
        <v>4.1428571428571432</v>
      </c>
      <c r="P15" s="32">
        <f t="shared" si="23"/>
        <v>0.5714285714285714</v>
      </c>
      <c r="Q15" s="27">
        <f t="shared" si="8"/>
        <v>44</v>
      </c>
      <c r="R15" s="27"/>
      <c r="S15" s="33">
        <v>1.3122362869198301</v>
      </c>
      <c r="T15" s="26">
        <v>762</v>
      </c>
      <c r="U15" s="34" t="s">
        <v>34</v>
      </c>
      <c r="V15" s="35" t="s">
        <v>34</v>
      </c>
      <c r="W15" s="26">
        <v>4</v>
      </c>
      <c r="X15" s="36">
        <f t="shared" si="9"/>
        <v>0.13793103448275862</v>
      </c>
      <c r="Y15" s="37">
        <f t="shared" si="10"/>
        <v>5.6637500000000003</v>
      </c>
      <c r="Z15" s="26">
        <v>4</v>
      </c>
      <c r="AA15" s="26" t="s">
        <v>250</v>
      </c>
      <c r="AB15" s="38">
        <f t="shared" si="11"/>
        <v>-0.48</v>
      </c>
      <c r="AC15" s="39">
        <v>0.43952546296296297</v>
      </c>
      <c r="AD15" s="37">
        <f t="shared" si="12"/>
        <v>-12.236388888888889</v>
      </c>
      <c r="AE15" s="37">
        <v>-11.3</v>
      </c>
      <c r="AF15" s="37">
        <v>-10.34895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37.799523809523805</v>
      </c>
      <c r="D16" s="27">
        <v>21</v>
      </c>
      <c r="E16" s="27">
        <v>0</v>
      </c>
      <c r="F16" s="30">
        <v>793.79</v>
      </c>
      <c r="G16" s="28">
        <v>-41.39</v>
      </c>
      <c r="H16" s="29">
        <f t="shared" si="1"/>
        <v>5.2142254248604795E-2</v>
      </c>
      <c r="I16" s="29">
        <f t="shared" si="2"/>
        <v>0.21396429366289152</v>
      </c>
      <c r="J16" s="30">
        <f t="shared" si="5"/>
        <v>169.84271666666666</v>
      </c>
      <c r="K16" s="30">
        <f t="shared" si="3"/>
        <v>8.0877484126984118</v>
      </c>
      <c r="L16" s="27">
        <v>73</v>
      </c>
      <c r="M16" s="31">
        <f t="shared" si="6"/>
        <v>0.28767123287671231</v>
      </c>
      <c r="N16" s="27">
        <v>193</v>
      </c>
      <c r="O16" s="32">
        <f t="shared" ref="O16:P16" si="24">D16/7</f>
        <v>3</v>
      </c>
      <c r="P16" s="32">
        <f t="shared" si="24"/>
        <v>0</v>
      </c>
      <c r="Q16" s="27">
        <f t="shared" si="8"/>
        <v>64</v>
      </c>
      <c r="R16" s="27"/>
      <c r="S16" s="33">
        <v>1.4717416378315999</v>
      </c>
      <c r="T16" s="26">
        <v>762</v>
      </c>
      <c r="U16" s="34" t="s">
        <v>34</v>
      </c>
      <c r="V16" s="35" t="s">
        <v>34</v>
      </c>
      <c r="W16" s="26">
        <v>7</v>
      </c>
      <c r="X16" s="36">
        <f t="shared" si="9"/>
        <v>0.33333333333333331</v>
      </c>
      <c r="Y16" s="37">
        <f t="shared" si="10"/>
        <v>5.9128571428571428</v>
      </c>
      <c r="Z16" s="26">
        <v>0</v>
      </c>
      <c r="AA16" s="26" t="s">
        <v>250</v>
      </c>
      <c r="AB16" s="38">
        <f t="shared" si="11"/>
        <v>-0.48</v>
      </c>
      <c r="AC16" s="39">
        <v>0.43952546296296297</v>
      </c>
      <c r="AD16" s="37">
        <f t="shared" si="12"/>
        <v>-8.8608333333333338</v>
      </c>
      <c r="AE16" s="37">
        <v>-11.3</v>
      </c>
      <c r="AF16" s="37">
        <v>-10.34895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37.99</v>
      </c>
      <c r="D17" s="27">
        <v>13</v>
      </c>
      <c r="E17" s="27">
        <v>0</v>
      </c>
      <c r="F17" s="30">
        <v>493.87000000000006</v>
      </c>
      <c r="G17" s="28">
        <v>-44.129999999999995</v>
      </c>
      <c r="H17" s="29">
        <f t="shared" si="1"/>
        <v>8.9355498410512865E-2</v>
      </c>
      <c r="I17" s="29">
        <f t="shared" si="2"/>
        <v>0.17967860413109166</v>
      </c>
      <c r="J17" s="30">
        <f t="shared" si="5"/>
        <v>88.737872222222251</v>
      </c>
      <c r="K17" s="30">
        <f t="shared" si="3"/>
        <v>6.8259901709401731</v>
      </c>
      <c r="L17" s="27">
        <v>61</v>
      </c>
      <c r="M17" s="31">
        <f t="shared" si="6"/>
        <v>0.21311475409836064</v>
      </c>
      <c r="N17" s="27">
        <v>174</v>
      </c>
      <c r="O17" s="32">
        <f t="shared" ref="O17:P17" si="25">D17/7</f>
        <v>1.8571428571428572</v>
      </c>
      <c r="P17" s="32">
        <f t="shared" si="25"/>
        <v>0</v>
      </c>
      <c r="Q17" s="27">
        <f t="shared" si="8"/>
        <v>93</v>
      </c>
      <c r="R17" s="27"/>
      <c r="S17" s="33">
        <v>1.1948529411764699</v>
      </c>
      <c r="T17" s="26">
        <v>762</v>
      </c>
      <c r="U17" s="34" t="s">
        <v>34</v>
      </c>
      <c r="V17" s="35" t="s">
        <v>34</v>
      </c>
      <c r="W17" s="26">
        <v>3</v>
      </c>
      <c r="X17" s="36">
        <f t="shared" si="9"/>
        <v>0.23076923076923078</v>
      </c>
      <c r="Y17" s="37">
        <f t="shared" si="10"/>
        <v>14.709999999999999</v>
      </c>
      <c r="Z17" s="26">
        <v>0</v>
      </c>
      <c r="AA17" s="26" t="s">
        <v>250</v>
      </c>
      <c r="AB17" s="38">
        <f t="shared" si="11"/>
        <v>-0.48</v>
      </c>
      <c r="AC17" s="39">
        <v>0.43952546296296297</v>
      </c>
      <c r="AD17" s="37">
        <f t="shared" si="12"/>
        <v>-5.4852777777777781</v>
      </c>
      <c r="AE17" s="37">
        <v>-11.3</v>
      </c>
      <c r="AF17" s="37">
        <v>-10.34895</v>
      </c>
      <c r="AG17" s="37">
        <v>0</v>
      </c>
    </row>
    <row r="18" spans="1:33" ht="15.75" customHeight="1" x14ac:dyDescent="0.2">
      <c r="A18" s="26" t="s">
        <v>62</v>
      </c>
      <c r="B18" s="26" t="s">
        <v>53</v>
      </c>
      <c r="C18" s="14">
        <f t="shared" si="4"/>
        <v>37.99</v>
      </c>
      <c r="D18" s="27">
        <v>13</v>
      </c>
      <c r="E18" s="27">
        <v>3</v>
      </c>
      <c r="F18" s="30">
        <v>493.87000000000006</v>
      </c>
      <c r="G18" s="28">
        <v>-41.53</v>
      </c>
      <c r="H18" s="29">
        <f t="shared" si="1"/>
        <v>8.4090955109644233E-2</v>
      </c>
      <c r="I18" s="29">
        <f t="shared" si="2"/>
        <v>0.18494314743196025</v>
      </c>
      <c r="J18" s="30">
        <f t="shared" si="5"/>
        <v>91.337872222222217</v>
      </c>
      <c r="K18" s="30">
        <f t="shared" si="3"/>
        <v>7.0259901709401706</v>
      </c>
      <c r="L18" s="27">
        <v>63</v>
      </c>
      <c r="M18" s="31">
        <f t="shared" si="6"/>
        <v>0.20634920634920634</v>
      </c>
      <c r="N18" s="27">
        <v>158</v>
      </c>
      <c r="O18" s="32">
        <f t="shared" ref="O18:P18" si="26">D18/7</f>
        <v>1.8571428571428572</v>
      </c>
      <c r="P18" s="32">
        <f t="shared" si="26"/>
        <v>0.42857142857142855</v>
      </c>
      <c r="Q18" s="27">
        <f t="shared" si="8"/>
        <v>69</v>
      </c>
      <c r="R18" s="27"/>
      <c r="S18" s="33">
        <v>1.2734693877551</v>
      </c>
      <c r="T18" s="26">
        <v>762</v>
      </c>
      <c r="U18" s="34" t="s">
        <v>34</v>
      </c>
      <c r="V18" s="35" t="s">
        <v>34</v>
      </c>
      <c r="W18" s="26">
        <v>1</v>
      </c>
      <c r="X18" s="36">
        <f t="shared" si="9"/>
        <v>7.6923076923076927E-2</v>
      </c>
      <c r="Y18" s="37">
        <f t="shared" si="10"/>
        <v>13.843333333333334</v>
      </c>
      <c r="Z18" s="26">
        <v>2</v>
      </c>
      <c r="AA18" s="26" t="s">
        <v>250</v>
      </c>
      <c r="AB18" s="38">
        <f t="shared" si="11"/>
        <v>-0.48</v>
      </c>
      <c r="AC18" s="39">
        <v>0.43952546296296297</v>
      </c>
      <c r="AD18" s="37">
        <f t="shared" si="12"/>
        <v>-5.4852777777777781</v>
      </c>
      <c r="AE18" s="37">
        <v>-11.3</v>
      </c>
      <c r="AF18" s="37">
        <v>-10.34895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37.99</v>
      </c>
      <c r="D19" s="27">
        <v>14</v>
      </c>
      <c r="E19" s="27">
        <v>1</v>
      </c>
      <c r="F19" s="30">
        <v>531.86</v>
      </c>
      <c r="G19" s="28">
        <v>-42.480000000000004</v>
      </c>
      <c r="H19" s="29">
        <f t="shared" si="1"/>
        <v>7.9870642650321524E-2</v>
      </c>
      <c r="I19" s="29">
        <f t="shared" si="2"/>
        <v>0.18916345989128291</v>
      </c>
      <c r="J19" s="30">
        <f t="shared" si="5"/>
        <v>100.60847777777774</v>
      </c>
      <c r="K19" s="30">
        <f t="shared" si="3"/>
        <v>7.1863198412698379</v>
      </c>
      <c r="L19" s="27">
        <v>45</v>
      </c>
      <c r="M19" s="31">
        <f t="shared" si="6"/>
        <v>0.31111111111111112</v>
      </c>
      <c r="N19" s="27">
        <v>144</v>
      </c>
      <c r="O19" s="32">
        <f t="shared" ref="O19:P19" si="27">D19/7</f>
        <v>2</v>
      </c>
      <c r="P19" s="32">
        <f t="shared" si="27"/>
        <v>0.14285714285714285</v>
      </c>
      <c r="Q19" s="27">
        <f t="shared" si="8"/>
        <v>67</v>
      </c>
      <c r="R19" s="27"/>
      <c r="S19" s="33">
        <v>1.35242290748898</v>
      </c>
      <c r="T19" s="26">
        <v>1262</v>
      </c>
      <c r="U19" s="34">
        <v>281</v>
      </c>
      <c r="V19" s="35" t="s">
        <v>296</v>
      </c>
      <c r="W19" s="26">
        <v>1</v>
      </c>
      <c r="X19" s="36">
        <f t="shared" si="9"/>
        <v>7.1428571428571425E-2</v>
      </c>
      <c r="Y19" s="37">
        <f t="shared" si="10"/>
        <v>8.4960000000000004</v>
      </c>
      <c r="Z19" s="26">
        <v>4</v>
      </c>
      <c r="AA19" s="26" t="s">
        <v>250</v>
      </c>
      <c r="AB19" s="38">
        <f t="shared" si="11"/>
        <v>-0.48</v>
      </c>
      <c r="AC19" s="39">
        <v>0.43952546296296297</v>
      </c>
      <c r="AD19" s="37">
        <f t="shared" si="12"/>
        <v>-5.9072222222222219</v>
      </c>
      <c r="AE19" s="37">
        <v>-11.3</v>
      </c>
      <c r="AF19" s="37">
        <v>-10.34895</v>
      </c>
      <c r="AG19" s="37">
        <v>0</v>
      </c>
    </row>
    <row r="20" spans="1:33" ht="15.75" customHeight="1" x14ac:dyDescent="0.2">
      <c r="A20" s="26" t="s">
        <v>65</v>
      </c>
      <c r="B20" s="26" t="s">
        <v>297</v>
      </c>
      <c r="C20" s="14">
        <f t="shared" si="4"/>
        <v>37.99</v>
      </c>
      <c r="D20" s="27">
        <v>11</v>
      </c>
      <c r="E20" s="27">
        <v>1</v>
      </c>
      <c r="F20" s="30">
        <v>417.89000000000004</v>
      </c>
      <c r="G20" s="28">
        <v>-43.92</v>
      </c>
      <c r="H20" s="29">
        <f t="shared" si="1"/>
        <v>0.10509942807915958</v>
      </c>
      <c r="I20" s="29">
        <f t="shared" si="2"/>
        <v>0.16393467446244481</v>
      </c>
      <c r="J20" s="30">
        <f t="shared" si="5"/>
        <v>68.506661111111072</v>
      </c>
      <c r="K20" s="30">
        <f t="shared" si="3"/>
        <v>6.2278782828282795</v>
      </c>
      <c r="L20" s="27">
        <v>61</v>
      </c>
      <c r="M20" s="31">
        <f t="shared" si="6"/>
        <v>0.18032786885245902</v>
      </c>
      <c r="N20" s="27">
        <v>132</v>
      </c>
      <c r="O20" s="32">
        <f t="shared" ref="O20:P20" si="28">D20/7</f>
        <v>1.5714285714285714</v>
      </c>
      <c r="P20" s="32">
        <f t="shared" si="28"/>
        <v>0.14285714285714285</v>
      </c>
      <c r="Q20" s="27">
        <f t="shared" si="8"/>
        <v>77</v>
      </c>
      <c r="R20" s="27"/>
      <c r="S20" s="33">
        <v>1.51810237203495</v>
      </c>
      <c r="T20" s="26">
        <v>1262</v>
      </c>
      <c r="U20" s="34">
        <v>281</v>
      </c>
      <c r="V20" s="35" t="s">
        <v>296</v>
      </c>
      <c r="W20" s="26">
        <v>2</v>
      </c>
      <c r="X20" s="36">
        <f t="shared" si="9"/>
        <v>0.18181818181818182</v>
      </c>
      <c r="Y20" s="37">
        <f t="shared" si="10"/>
        <v>8.7840000000000007</v>
      </c>
      <c r="Z20" s="26">
        <v>3</v>
      </c>
      <c r="AA20" s="26" t="s">
        <v>250</v>
      </c>
      <c r="AB20" s="38">
        <f t="shared" si="11"/>
        <v>-0.48</v>
      </c>
      <c r="AC20" s="39">
        <v>0.43952546296296297</v>
      </c>
      <c r="AD20" s="37">
        <f t="shared" si="12"/>
        <v>-4.6413888888888888</v>
      </c>
      <c r="AE20" s="37">
        <v>-11.3</v>
      </c>
      <c r="AF20" s="37">
        <v>-10.34895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37.14</v>
      </c>
      <c r="D21" s="27">
        <v>20</v>
      </c>
      <c r="E21" s="27">
        <v>0</v>
      </c>
      <c r="F21" s="30">
        <v>742.80000000000007</v>
      </c>
      <c r="G21" s="28">
        <v>-37.42</v>
      </c>
      <c r="H21" s="29">
        <f t="shared" si="1"/>
        <v>5.0376952073236399E-2</v>
      </c>
      <c r="I21" s="29">
        <f t="shared" si="2"/>
        <v>0.20536094656853943</v>
      </c>
      <c r="J21" s="30">
        <f t="shared" si="5"/>
        <v>152.5421111111111</v>
      </c>
      <c r="K21" s="30">
        <f t="shared" si="3"/>
        <v>7.6271055555555547</v>
      </c>
      <c r="L21" s="27">
        <v>34</v>
      </c>
      <c r="M21" s="31">
        <f t="shared" si="6"/>
        <v>0.58823529411764708</v>
      </c>
      <c r="N21" s="27">
        <v>109</v>
      </c>
      <c r="O21" s="32">
        <f t="shared" ref="O21:P21" si="29">D21/7</f>
        <v>2.8571428571428572</v>
      </c>
      <c r="P21" s="32">
        <f t="shared" si="29"/>
        <v>0</v>
      </c>
      <c r="Q21" s="27">
        <f t="shared" si="8"/>
        <v>38</v>
      </c>
      <c r="R21" s="27"/>
      <c r="S21" s="33">
        <v>1.7352112676056299</v>
      </c>
      <c r="T21" s="26" t="s">
        <v>34</v>
      </c>
      <c r="U21" s="34" t="s">
        <v>34</v>
      </c>
      <c r="V21" s="35" t="s">
        <v>34</v>
      </c>
      <c r="W21" s="26">
        <v>2</v>
      </c>
      <c r="X21" s="36">
        <f t="shared" si="9"/>
        <v>0.1</v>
      </c>
      <c r="Y21" s="37">
        <f t="shared" si="10"/>
        <v>12.473333333333334</v>
      </c>
      <c r="Z21" s="26">
        <v>1</v>
      </c>
      <c r="AA21" s="26" t="s">
        <v>250</v>
      </c>
      <c r="AB21" s="38">
        <f t="shared" si="11"/>
        <v>-0.48</v>
      </c>
      <c r="AC21" s="39">
        <v>0.43952546296296297</v>
      </c>
      <c r="AD21" s="37">
        <f t="shared" si="12"/>
        <v>-8.43888888888889</v>
      </c>
      <c r="AE21" s="37">
        <v>-11.3</v>
      </c>
      <c r="AF21" s="37">
        <v>-10.34895</v>
      </c>
      <c r="AG21" s="37">
        <v>0</v>
      </c>
    </row>
    <row r="22" spans="1:33" ht="15.75" customHeight="1" x14ac:dyDescent="0.2">
      <c r="A22" s="26" t="s">
        <v>67</v>
      </c>
      <c r="B22" s="26" t="s">
        <v>298</v>
      </c>
      <c r="C22" s="14">
        <f t="shared" si="4"/>
        <v>36.99</v>
      </c>
      <c r="D22" s="27">
        <v>13</v>
      </c>
      <c r="E22" s="27">
        <v>0</v>
      </c>
      <c r="F22" s="28">
        <v>480.87000000000006</v>
      </c>
      <c r="G22" s="28">
        <v>-46.510000000000005</v>
      </c>
      <c r="H22" s="29">
        <f t="shared" si="1"/>
        <v>9.6720527377461687E-2</v>
      </c>
      <c r="I22" s="29">
        <f t="shared" si="2"/>
        <v>0.15660754927989318</v>
      </c>
      <c r="J22" s="30">
        <f t="shared" si="5"/>
        <v>75.307872222222244</v>
      </c>
      <c r="K22" s="30">
        <f t="shared" si="3"/>
        <v>5.7929132478632495</v>
      </c>
      <c r="L22" s="27">
        <v>62</v>
      </c>
      <c r="M22" s="31">
        <f t="shared" si="6"/>
        <v>0.20967741935483872</v>
      </c>
      <c r="N22" s="27">
        <v>96</v>
      </c>
      <c r="O22" s="32">
        <f t="shared" ref="O22:P22" si="30">D22/7</f>
        <v>1.8571428571428572</v>
      </c>
      <c r="P22" s="32">
        <f t="shared" si="30"/>
        <v>0</v>
      </c>
      <c r="Q22" s="27">
        <f t="shared" si="8"/>
        <v>51</v>
      </c>
      <c r="R22" s="27"/>
      <c r="S22" s="33">
        <v>1.2907488986784099</v>
      </c>
      <c r="T22" s="26" t="s">
        <v>34</v>
      </c>
      <c r="U22" s="34" t="s">
        <v>34</v>
      </c>
      <c r="V22" s="35" t="s">
        <v>34</v>
      </c>
      <c r="W22" s="26">
        <v>3</v>
      </c>
      <c r="X22" s="36">
        <f t="shared" si="9"/>
        <v>0.23076923076923078</v>
      </c>
      <c r="Y22" s="37">
        <f t="shared" si="10"/>
        <v>9.3020000000000014</v>
      </c>
      <c r="Z22" s="26">
        <v>2</v>
      </c>
      <c r="AA22" s="26" t="s">
        <v>250</v>
      </c>
      <c r="AB22" s="38">
        <f t="shared" si="11"/>
        <v>-0.48</v>
      </c>
      <c r="AC22" s="39">
        <v>0.43952546296296297</v>
      </c>
      <c r="AD22" s="37">
        <f t="shared" si="12"/>
        <v>-5.4852777777777781</v>
      </c>
      <c r="AE22" s="37">
        <v>-11.3</v>
      </c>
      <c r="AF22" s="37">
        <v>-10.34895</v>
      </c>
      <c r="AG22" s="37">
        <v>0</v>
      </c>
    </row>
    <row r="23" spans="1:33" ht="15.75" customHeight="1" x14ac:dyDescent="0.2">
      <c r="A23" s="26" t="s">
        <v>68</v>
      </c>
      <c r="B23" s="26" t="s">
        <v>299</v>
      </c>
      <c r="C23" s="14">
        <f t="shared" si="4"/>
        <v>36.644999999999996</v>
      </c>
      <c r="D23" s="27">
        <v>10</v>
      </c>
      <c r="E23" s="27">
        <v>0</v>
      </c>
      <c r="F23" s="30">
        <v>366.45</v>
      </c>
      <c r="G23" s="28">
        <v>-34.069999999999993</v>
      </c>
      <c r="H23" s="29">
        <f t="shared" si="1"/>
        <v>9.2973120480283791E-2</v>
      </c>
      <c r="I23" s="29">
        <f t="shared" si="2"/>
        <v>0.15473749639938736</v>
      </c>
      <c r="J23" s="30">
        <f t="shared" si="5"/>
        <v>56.703555555555496</v>
      </c>
      <c r="K23" s="30">
        <f t="shared" si="3"/>
        <v>5.6703555555555498</v>
      </c>
      <c r="L23" s="27">
        <v>60</v>
      </c>
      <c r="M23" s="31">
        <f t="shared" si="6"/>
        <v>0.16666666666666666</v>
      </c>
      <c r="N23" s="27">
        <v>86</v>
      </c>
      <c r="O23" s="32">
        <f t="shared" ref="O23:P23" si="31">D23/7</f>
        <v>1.4285714285714286</v>
      </c>
      <c r="P23" s="32">
        <f t="shared" si="31"/>
        <v>0</v>
      </c>
      <c r="Q23" s="27">
        <f t="shared" si="8"/>
        <v>60</v>
      </c>
      <c r="R23" s="27"/>
      <c r="S23" s="33">
        <v>1.32231404958677</v>
      </c>
      <c r="T23" s="26">
        <v>900</v>
      </c>
      <c r="U23" s="34">
        <v>281</v>
      </c>
      <c r="V23" s="35" t="s">
        <v>300</v>
      </c>
      <c r="W23" s="26">
        <v>1</v>
      </c>
      <c r="X23" s="36">
        <f t="shared" si="9"/>
        <v>0.1</v>
      </c>
      <c r="Y23" s="37">
        <f t="shared" si="10"/>
        <v>34.069999999999993</v>
      </c>
      <c r="Z23" s="26">
        <v>0</v>
      </c>
      <c r="AA23" s="26" t="s">
        <v>250</v>
      </c>
      <c r="AB23" s="38">
        <f t="shared" si="11"/>
        <v>-0.48</v>
      </c>
      <c r="AC23" s="39">
        <v>0.43952546296296297</v>
      </c>
      <c r="AD23" s="37">
        <f t="shared" si="12"/>
        <v>-4.219444444444445</v>
      </c>
      <c r="AE23" s="37">
        <v>-11.3</v>
      </c>
      <c r="AF23" s="37">
        <v>-10.34895</v>
      </c>
      <c r="AG23" s="37">
        <v>0</v>
      </c>
    </row>
    <row r="24" spans="1:33" ht="15.75" customHeight="1" x14ac:dyDescent="0.2">
      <c r="A24" s="26" t="s">
        <v>71</v>
      </c>
      <c r="B24" s="26" t="s">
        <v>301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83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900</v>
      </c>
      <c r="U24" s="34">
        <v>281</v>
      </c>
      <c r="V24" s="35" t="s">
        <v>302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0.43952546296296297</v>
      </c>
      <c r="AD24" s="37">
        <f t="shared" si="12"/>
        <v>0</v>
      </c>
      <c r="AE24" s="37">
        <v>-11.3</v>
      </c>
      <c r="AF24" s="37">
        <v>-10.34895</v>
      </c>
      <c r="AG24" s="37">
        <v>0</v>
      </c>
    </row>
    <row r="25" spans="1:33" ht="15.75" customHeight="1" x14ac:dyDescent="0.2">
      <c r="A25" s="40" t="s">
        <v>73</v>
      </c>
      <c r="B25" s="40" t="s">
        <v>303</v>
      </c>
      <c r="C25" s="14">
        <f t="shared" si="4"/>
        <v>31.990000000000002</v>
      </c>
      <c r="D25" s="15">
        <v>14</v>
      </c>
      <c r="E25" s="15">
        <v>1</v>
      </c>
      <c r="F25" s="16">
        <v>447.86</v>
      </c>
      <c r="G25" s="16">
        <v>-38.99</v>
      </c>
      <c r="H25" s="29">
        <f t="shared" si="1"/>
        <v>8.7058455767427323E-2</v>
      </c>
      <c r="I25" s="29">
        <f t="shared" si="2"/>
        <v>7.2977666631933474E-2</v>
      </c>
      <c r="J25" s="30">
        <f t="shared" si="5"/>
        <v>32.683777777777728</v>
      </c>
      <c r="K25" s="30">
        <f t="shared" si="3"/>
        <v>2.3345555555555522</v>
      </c>
      <c r="L25" s="15">
        <v>59</v>
      </c>
      <c r="M25" s="31">
        <f t="shared" si="6"/>
        <v>0.23728813559322035</v>
      </c>
      <c r="N25" s="15">
        <v>73</v>
      </c>
      <c r="O25" s="32">
        <f t="shared" ref="O25:P25" si="33">D25/7</f>
        <v>2</v>
      </c>
      <c r="P25" s="32">
        <f t="shared" si="33"/>
        <v>0.14285714285714285</v>
      </c>
      <c r="Q25" s="27">
        <f t="shared" si="8"/>
        <v>34</v>
      </c>
      <c r="R25" s="27"/>
      <c r="S25" s="41">
        <v>1.256296296296296</v>
      </c>
      <c r="T25" s="26">
        <v>900</v>
      </c>
      <c r="U25" s="34">
        <v>281</v>
      </c>
      <c r="V25" s="35" t="s">
        <v>304</v>
      </c>
      <c r="W25" s="40">
        <v>2</v>
      </c>
      <c r="X25" s="36">
        <f t="shared" si="9"/>
        <v>0.14285714285714285</v>
      </c>
      <c r="Y25" s="37">
        <f t="shared" si="10"/>
        <v>9.7475000000000005</v>
      </c>
      <c r="Z25" s="40">
        <v>2</v>
      </c>
      <c r="AA25" s="26" t="s">
        <v>250</v>
      </c>
      <c r="AB25" s="38">
        <f t="shared" si="11"/>
        <v>-0.48</v>
      </c>
      <c r="AC25" s="39">
        <v>0.43952546296296297</v>
      </c>
      <c r="AD25" s="37">
        <f t="shared" si="12"/>
        <v>-5.9072222222222219</v>
      </c>
      <c r="AE25" s="42">
        <v>-11.3</v>
      </c>
      <c r="AF25" s="42">
        <v>-10.35</v>
      </c>
      <c r="AG25" s="42">
        <v>0</v>
      </c>
    </row>
    <row r="26" spans="1:33" ht="15.75" customHeight="1" x14ac:dyDescent="0.2">
      <c r="A26" s="40" t="s">
        <v>75</v>
      </c>
      <c r="B26" s="40" t="s">
        <v>305</v>
      </c>
      <c r="C26" s="14">
        <f t="shared" si="4"/>
        <v>32.670370370370371</v>
      </c>
      <c r="D26" s="15">
        <v>27</v>
      </c>
      <c r="E26" s="15">
        <v>2</v>
      </c>
      <c r="F26" s="16">
        <v>882.1</v>
      </c>
      <c r="G26" s="16">
        <v>-22.82</v>
      </c>
      <c r="H26" s="29">
        <f t="shared" si="1"/>
        <v>2.5870082757057024E-2</v>
      </c>
      <c r="I26" s="29">
        <f t="shared" si="2"/>
        <v>0.13632337603446315</v>
      </c>
      <c r="J26" s="30">
        <f t="shared" si="5"/>
        <v>120.25084999999994</v>
      </c>
      <c r="K26" s="30">
        <f t="shared" si="3"/>
        <v>4.4537351851851827</v>
      </c>
      <c r="L26" s="15">
        <v>46</v>
      </c>
      <c r="M26" s="31">
        <f t="shared" si="6"/>
        <v>0.58695652173913049</v>
      </c>
      <c r="N26" s="15">
        <v>48</v>
      </c>
      <c r="O26" s="32">
        <f t="shared" ref="O26:P26" si="34">D26/7</f>
        <v>3.8571428571428572</v>
      </c>
      <c r="P26" s="32">
        <f t="shared" si="34"/>
        <v>0.2857142857142857</v>
      </c>
      <c r="Q26" s="27">
        <f t="shared" si="8"/>
        <v>11</v>
      </c>
      <c r="R26" s="27"/>
      <c r="S26" s="41">
        <v>1.4176372712146419</v>
      </c>
      <c r="T26" s="26">
        <v>900</v>
      </c>
      <c r="U26" s="34">
        <v>281</v>
      </c>
      <c r="V26" s="35" t="s">
        <v>306</v>
      </c>
      <c r="W26" s="40">
        <v>7</v>
      </c>
      <c r="X26" s="36">
        <f t="shared" si="9"/>
        <v>0.25925925925925924</v>
      </c>
      <c r="Y26" s="37">
        <f t="shared" si="10"/>
        <v>3.2600000000000002</v>
      </c>
      <c r="Z26" s="40">
        <v>0</v>
      </c>
      <c r="AA26" s="26" t="s">
        <v>250</v>
      </c>
      <c r="AB26" s="38">
        <f t="shared" si="11"/>
        <v>-0.48</v>
      </c>
      <c r="AC26" s="40">
        <v>0.43952546296296297</v>
      </c>
      <c r="AD26" s="37">
        <f t="shared" si="12"/>
        <v>-11.3925</v>
      </c>
      <c r="AE26" s="42">
        <v>-11.7</v>
      </c>
      <c r="AF26" s="42">
        <v>-10.34895</v>
      </c>
      <c r="AG26" s="42">
        <v>0</v>
      </c>
    </row>
    <row r="27" spans="1:33" ht="15.75" customHeight="1" x14ac:dyDescent="0.2">
      <c r="A27" s="40" t="s">
        <v>77</v>
      </c>
      <c r="B27" s="40" t="s">
        <v>307</v>
      </c>
      <c r="C27" s="14">
        <f t="shared" si="4"/>
        <v>35.323333333333338</v>
      </c>
      <c r="D27" s="15">
        <v>9</v>
      </c>
      <c r="E27" s="15">
        <v>0</v>
      </c>
      <c r="F27" s="16">
        <v>317.91000000000003</v>
      </c>
      <c r="G27" s="16">
        <v>-8.5299999999999994</v>
      </c>
      <c r="H27" s="29">
        <f t="shared" si="1"/>
        <v>2.6831493189896506E-2</v>
      </c>
      <c r="I27" s="29">
        <f t="shared" si="2"/>
        <v>0.1870197540184329</v>
      </c>
      <c r="J27" s="30">
        <f t="shared" si="5"/>
        <v>59.455450000000013</v>
      </c>
      <c r="K27" s="30">
        <f t="shared" si="3"/>
        <v>6.6061611111111125</v>
      </c>
      <c r="L27" s="15">
        <v>40</v>
      </c>
      <c r="M27" s="31">
        <f t="shared" si="6"/>
        <v>0.22500000000000001</v>
      </c>
      <c r="N27" s="15">
        <v>311</v>
      </c>
      <c r="O27" s="32">
        <f t="shared" ref="O27:P27" si="35">D27/7</f>
        <v>1.2857142857142858</v>
      </c>
      <c r="P27" s="32">
        <f t="shared" si="35"/>
        <v>0</v>
      </c>
      <c r="Q27" s="27">
        <f t="shared" si="8"/>
        <v>241</v>
      </c>
      <c r="R27" s="27"/>
      <c r="S27" s="41">
        <v>1.046776232616941</v>
      </c>
      <c r="T27" s="26">
        <v>619</v>
      </c>
      <c r="U27" s="34">
        <v>200</v>
      </c>
      <c r="V27" s="35" t="s">
        <v>273</v>
      </c>
      <c r="W27" s="40">
        <v>1</v>
      </c>
      <c r="X27" s="36">
        <f t="shared" si="9"/>
        <v>0.1111111111111111</v>
      </c>
      <c r="Y27" s="37">
        <f t="shared" si="10"/>
        <v>8.5299999999999994</v>
      </c>
      <c r="Z27" s="40">
        <v>0</v>
      </c>
      <c r="AA27" s="26" t="s">
        <v>250</v>
      </c>
      <c r="AB27" s="38">
        <f t="shared" si="11"/>
        <v>-0.48</v>
      </c>
      <c r="AC27" s="39">
        <v>0.43952546296296297</v>
      </c>
      <c r="AD27" s="37">
        <f t="shared" si="12"/>
        <v>-3.7975000000000003</v>
      </c>
      <c r="AE27" s="42">
        <v>-11.7</v>
      </c>
      <c r="AF27" s="42">
        <v>-10.34895</v>
      </c>
      <c r="AG27" s="42">
        <v>0</v>
      </c>
    </row>
    <row r="28" spans="1:33" ht="15.75" customHeight="1" x14ac:dyDescent="0.2">
      <c r="A28" s="40" t="s">
        <v>79</v>
      </c>
      <c r="B28" s="40" t="s">
        <v>83</v>
      </c>
      <c r="C28" s="14">
        <f t="shared" si="4"/>
        <v>34.067500000000003</v>
      </c>
      <c r="D28" s="15">
        <v>12</v>
      </c>
      <c r="E28" s="15">
        <v>0</v>
      </c>
      <c r="F28" s="16">
        <v>408.81</v>
      </c>
      <c r="G28" s="16">
        <v>-33.6</v>
      </c>
      <c r="H28" s="29">
        <f t="shared" si="1"/>
        <v>8.2189770308945476E-2</v>
      </c>
      <c r="I28" s="29">
        <f t="shared" si="2"/>
        <v>0.10821106789625171</v>
      </c>
      <c r="J28" s="30">
        <f t="shared" si="5"/>
        <v>44.237766666666658</v>
      </c>
      <c r="K28" s="30">
        <f t="shared" si="3"/>
        <v>3.6864805555555549</v>
      </c>
      <c r="L28" s="15">
        <v>64</v>
      </c>
      <c r="M28" s="31">
        <f t="shared" si="6"/>
        <v>0.1875</v>
      </c>
      <c r="N28" s="15">
        <v>300</v>
      </c>
      <c r="O28" s="32">
        <f t="shared" ref="O28:P28" si="36">D28/7</f>
        <v>1.7142857142857142</v>
      </c>
      <c r="P28" s="32">
        <f t="shared" si="36"/>
        <v>0</v>
      </c>
      <c r="Q28" s="27">
        <f t="shared" si="8"/>
        <v>175</v>
      </c>
      <c r="R28" s="27"/>
      <c r="S28" s="41">
        <v>1.014925373134328</v>
      </c>
      <c r="T28" s="40">
        <v>219</v>
      </c>
      <c r="U28" s="22">
        <v>200</v>
      </c>
      <c r="V28" s="1" t="s">
        <v>275</v>
      </c>
      <c r="W28" s="40">
        <v>3</v>
      </c>
      <c r="X28" s="36">
        <f t="shared" si="9"/>
        <v>0.25</v>
      </c>
      <c r="Y28" s="37">
        <f t="shared" si="10"/>
        <v>8.4</v>
      </c>
      <c r="Z28" s="40">
        <v>1</v>
      </c>
      <c r="AA28" s="26" t="s">
        <v>250</v>
      </c>
      <c r="AB28" s="38">
        <f t="shared" si="11"/>
        <v>-0.48</v>
      </c>
      <c r="AC28" s="39">
        <v>0.43952546296296297</v>
      </c>
      <c r="AD28" s="37">
        <f t="shared" si="12"/>
        <v>-5.0633333333333335</v>
      </c>
      <c r="AE28" s="42">
        <v>-11.7</v>
      </c>
      <c r="AF28" s="42">
        <v>-10.34895</v>
      </c>
      <c r="AG28" s="42">
        <v>0</v>
      </c>
    </row>
    <row r="29" spans="1:33" ht="15.75" customHeight="1" x14ac:dyDescent="0.2">
      <c r="A29" s="26" t="s">
        <v>82</v>
      </c>
      <c r="B29" s="26" t="s">
        <v>308</v>
      </c>
      <c r="C29" s="14">
        <f t="shared" si="4"/>
        <v>30.561111111111114</v>
      </c>
      <c r="D29" s="27">
        <v>18</v>
      </c>
      <c r="E29" s="27">
        <v>0</v>
      </c>
      <c r="F29" s="30">
        <v>550.1</v>
      </c>
      <c r="G29" s="30">
        <v>-51.47</v>
      </c>
      <c r="H29" s="29">
        <f t="shared" si="1"/>
        <v>9.3564806398836575E-2</v>
      </c>
      <c r="I29" s="29">
        <f t="shared" si="2"/>
        <v>2.1157789492819497E-2</v>
      </c>
      <c r="J29" s="30">
        <f t="shared" si="5"/>
        <v>11.638900000000005</v>
      </c>
      <c r="K29" s="30">
        <f t="shared" si="3"/>
        <v>0.64660555555555588</v>
      </c>
      <c r="L29" s="27">
        <v>75</v>
      </c>
      <c r="M29" s="31">
        <f t="shared" si="6"/>
        <v>0.24</v>
      </c>
      <c r="N29" s="15">
        <v>284</v>
      </c>
      <c r="O29" s="32">
        <f t="shared" ref="O29:P29" si="37">D29/7</f>
        <v>2.5714285714285716</v>
      </c>
      <c r="P29" s="32">
        <f t="shared" si="37"/>
        <v>0</v>
      </c>
      <c r="Q29" s="27">
        <f t="shared" si="8"/>
        <v>110</v>
      </c>
      <c r="R29" s="27"/>
      <c r="S29" s="41">
        <v>1.084548104956268</v>
      </c>
      <c r="T29" s="40" t="s">
        <v>34</v>
      </c>
      <c r="U29" s="22" t="s">
        <v>34</v>
      </c>
      <c r="V29" s="1" t="s">
        <v>34</v>
      </c>
      <c r="W29" s="40">
        <v>1</v>
      </c>
      <c r="X29" s="36">
        <f t="shared" si="9"/>
        <v>5.5555555555555552E-2</v>
      </c>
      <c r="Y29" s="37">
        <f t="shared" si="10"/>
        <v>51.47</v>
      </c>
      <c r="Z29" s="40">
        <v>0</v>
      </c>
      <c r="AA29" s="26" t="s">
        <v>250</v>
      </c>
      <c r="AB29" s="38">
        <f t="shared" si="11"/>
        <v>-0.48</v>
      </c>
      <c r="AC29" s="39">
        <v>0.43952546296296297</v>
      </c>
      <c r="AD29" s="37">
        <f t="shared" si="12"/>
        <v>-7.5950000000000006</v>
      </c>
      <c r="AE29" s="37">
        <v>-11.7</v>
      </c>
      <c r="AF29" s="42">
        <v>-10.34895</v>
      </c>
      <c r="AG29" s="37">
        <v>0</v>
      </c>
    </row>
    <row r="30" spans="1:33" ht="15.75" customHeight="1" x14ac:dyDescent="0.2">
      <c r="A30" s="40" t="s">
        <v>84</v>
      </c>
      <c r="B30" s="40" t="s">
        <v>309</v>
      </c>
      <c r="C30" s="14">
        <f t="shared" si="4"/>
        <v>30.535909090909094</v>
      </c>
      <c r="D30" s="15">
        <v>22</v>
      </c>
      <c r="E30" s="15">
        <v>1</v>
      </c>
      <c r="F30" s="16">
        <v>671.79000000000008</v>
      </c>
      <c r="G30" s="16">
        <v>-55.69</v>
      </c>
      <c r="H30" s="29">
        <f t="shared" si="1"/>
        <v>8.2897929412465196E-2</v>
      </c>
      <c r="I30" s="29">
        <f t="shared" si="2"/>
        <v>-4.1170029697425857E-2</v>
      </c>
      <c r="J30" s="30">
        <f t="shared" si="5"/>
        <v>-27.657614250433721</v>
      </c>
      <c r="K30" s="30">
        <f t="shared" si="3"/>
        <v>-1.2571642841106236</v>
      </c>
      <c r="L30" s="15">
        <v>62</v>
      </c>
      <c r="M30" s="31">
        <f t="shared" si="6"/>
        <v>0.35483870967741937</v>
      </c>
      <c r="N30" s="15">
        <v>261</v>
      </c>
      <c r="O30" s="32">
        <f t="shared" ref="O30:P30" si="38">D30/7</f>
        <v>3.1428571428571428</v>
      </c>
      <c r="P30" s="32">
        <f t="shared" si="38"/>
        <v>0.14285714285714285</v>
      </c>
      <c r="Q30" s="27">
        <f t="shared" si="8"/>
        <v>79</v>
      </c>
      <c r="R30" s="27"/>
      <c r="S30" s="41">
        <v>1.1128284389489951</v>
      </c>
      <c r="T30" s="26">
        <v>419</v>
      </c>
      <c r="U30" s="34">
        <v>200</v>
      </c>
      <c r="V30" s="35" t="s">
        <v>278</v>
      </c>
      <c r="W30" s="40">
        <v>6</v>
      </c>
      <c r="X30" s="36">
        <f t="shared" si="9"/>
        <v>0.27272727272727271</v>
      </c>
      <c r="Y30" s="37">
        <f t="shared" si="10"/>
        <v>4.6408333333333331</v>
      </c>
      <c r="Z30" s="40">
        <v>6</v>
      </c>
      <c r="AA30" s="26" t="s">
        <v>250</v>
      </c>
      <c r="AB30" s="38">
        <f t="shared" si="11"/>
        <v>-0.48</v>
      </c>
      <c r="AC30" s="39">
        <v>0.43952546296296297</v>
      </c>
      <c r="AD30" s="37">
        <f t="shared" si="12"/>
        <v>-9.2827777777777776</v>
      </c>
      <c r="AE30" s="42">
        <v>-11.7</v>
      </c>
      <c r="AF30" s="42">
        <v>-12.286651657847999</v>
      </c>
      <c r="AG30" s="42">
        <v>-6</v>
      </c>
    </row>
    <row r="31" spans="1:33" ht="15.75" customHeight="1" x14ac:dyDescent="0.2">
      <c r="A31" s="40" t="s">
        <v>87</v>
      </c>
      <c r="B31" s="40" t="s">
        <v>310</v>
      </c>
      <c r="C31" s="14">
        <f t="shared" si="4"/>
        <v>32.003157894736844</v>
      </c>
      <c r="D31" s="15">
        <v>38</v>
      </c>
      <c r="E31" s="15">
        <v>0</v>
      </c>
      <c r="F31" s="16">
        <v>1216.1200000000001</v>
      </c>
      <c r="G31" s="43">
        <v>-131.87</v>
      </c>
      <c r="H31" s="29">
        <f t="shared" si="1"/>
        <v>0.10843502285958621</v>
      </c>
      <c r="I31" s="29">
        <f t="shared" si="2"/>
        <v>-5.2375301686606791E-2</v>
      </c>
      <c r="J31" s="30">
        <f t="shared" si="5"/>
        <v>-63.694651887116258</v>
      </c>
      <c r="K31" s="30">
        <f t="shared" si="3"/>
        <v>-1.6761750496609542</v>
      </c>
      <c r="L31" s="15">
        <v>109</v>
      </c>
      <c r="M31" s="31">
        <f t="shared" si="6"/>
        <v>0.34862385321100919</v>
      </c>
      <c r="N31" s="15">
        <v>225</v>
      </c>
      <c r="O31" s="32">
        <f t="shared" ref="O31:P31" si="39">D31/7</f>
        <v>5.4285714285714288</v>
      </c>
      <c r="P31" s="32">
        <f t="shared" si="39"/>
        <v>0</v>
      </c>
      <c r="Q31" s="27">
        <f t="shared" si="8"/>
        <v>41</v>
      </c>
      <c r="R31" s="27"/>
      <c r="S31" s="41">
        <v>1.4117647058823499</v>
      </c>
      <c r="T31" s="40">
        <v>219</v>
      </c>
      <c r="U31" s="22">
        <v>200</v>
      </c>
      <c r="V31" s="1" t="s">
        <v>280</v>
      </c>
      <c r="W31" s="40">
        <v>7</v>
      </c>
      <c r="X31" s="36">
        <f t="shared" si="9"/>
        <v>0.18421052631578946</v>
      </c>
      <c r="Y31" s="37">
        <f t="shared" si="10"/>
        <v>10.989166666666668</v>
      </c>
      <c r="Z31" s="40">
        <v>5</v>
      </c>
      <c r="AA31" s="40" t="s">
        <v>250</v>
      </c>
      <c r="AB31" s="38">
        <f t="shared" si="11"/>
        <v>-0.48</v>
      </c>
      <c r="AC31" s="44">
        <v>0.43952546296296297</v>
      </c>
      <c r="AD31" s="37">
        <f t="shared" si="12"/>
        <v>-16.033888888888889</v>
      </c>
      <c r="AE31" s="45">
        <v>-11.7</v>
      </c>
      <c r="AF31" s="45">
        <v>-12.28665165784809</v>
      </c>
      <c r="AG31" s="42">
        <v>-38</v>
      </c>
    </row>
    <row r="32" spans="1:33" ht="15.75" customHeight="1" x14ac:dyDescent="0.2">
      <c r="A32" s="40" t="s">
        <v>90</v>
      </c>
      <c r="B32" s="50" t="s">
        <v>311</v>
      </c>
      <c r="C32" s="14">
        <f t="shared" si="4"/>
        <v>33.819722222222225</v>
      </c>
      <c r="D32" s="15">
        <v>36</v>
      </c>
      <c r="E32" s="15">
        <v>0</v>
      </c>
      <c r="F32" s="16">
        <v>1217.51</v>
      </c>
      <c r="G32" s="16">
        <v>-123.68</v>
      </c>
      <c r="H32" s="29">
        <f t="shared" si="1"/>
        <v>0.10158438123711511</v>
      </c>
      <c r="I32" s="29">
        <f t="shared" si="2"/>
        <v>1.2846221529777136E-3</v>
      </c>
      <c r="J32" s="30">
        <f t="shared" si="5"/>
        <v>1.5640403174718962</v>
      </c>
      <c r="K32" s="30">
        <f t="shared" si="3"/>
        <v>4.3445564374219342E-2</v>
      </c>
      <c r="L32" s="15">
        <v>136</v>
      </c>
      <c r="M32" s="31">
        <f t="shared" si="6"/>
        <v>0.26470588235294118</v>
      </c>
      <c r="N32" s="15">
        <v>183</v>
      </c>
      <c r="O32" s="32">
        <f t="shared" ref="O32:P32" si="40">D32/7</f>
        <v>5.1428571428571432</v>
      </c>
      <c r="P32" s="32">
        <f t="shared" si="40"/>
        <v>0</v>
      </c>
      <c r="Q32" s="27">
        <f t="shared" si="8"/>
        <v>35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1.270718232044199</v>
      </c>
      <c r="T32" s="40">
        <f ca="1">IFERROR(__xludf.DUMMYFUNCTION("IFERROR(VLOOKUP($B$2,IMPORTRANGE(""https://docs.google.com/spreadsheets/d/1KiWZV1ko8G7lnRucBRBd29jj3Be6ltMfljMDqzOkQmI/edit#gid=1381463014"",""Lookup!A:D""),4,FALSE),"""")"),219)</f>
        <v>219</v>
      </c>
      <c r="U32" s="22">
        <f ca="1">IFERROR(__xludf.DUMMYFUNCTION("IFERROR(VLOOKUP($B$2,IMPORTRANGE(""https://docs.google.com/spreadsheets/d/1KiWZV1ko8G7lnRucBRBd29jj3Be6ltMfljMDqzOkQmI/edit#gid=1381463014"",""Lookup!A:D""),3,FALSE),"""")"),200)</f>
        <v>200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- 200 units 07/22")</f>
        <v>| AGL232  - 200 units 07/22</v>
      </c>
      <c r="W32" s="40">
        <v>11</v>
      </c>
      <c r="X32" s="36">
        <f t="shared" si="9"/>
        <v>0.30555555555555558</v>
      </c>
      <c r="Y32" s="37">
        <f t="shared" si="10"/>
        <v>6.8711111111111114</v>
      </c>
      <c r="Z32" s="40">
        <v>7</v>
      </c>
      <c r="AA32" s="40" t="s">
        <v>250</v>
      </c>
      <c r="AB32" s="38">
        <f t="shared" si="11"/>
        <v>-0.48</v>
      </c>
      <c r="AC32" s="44">
        <v>0.43952546296296297</v>
      </c>
      <c r="AD32" s="37">
        <f t="shared" si="12"/>
        <v>-15.190000000000001</v>
      </c>
      <c r="AE32" s="42">
        <v>-11.7</v>
      </c>
      <c r="AF32" s="42">
        <v>-12.286651657847999</v>
      </c>
      <c r="AG32" s="42">
        <v>-30.93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2.164062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3.5" customWidth="1"/>
    <col min="28" max="28" width="11.1640625" customWidth="1"/>
    <col min="29" max="29" width="8.1640625" customWidth="1"/>
    <col min="30" max="30" width="12.5" customWidth="1"/>
    <col min="31" max="31" width="9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Info!B1:BJ5000""),3,FALSE),"""")"),"Chair Mat - 30"" x 48""")</f>
        <v>Chair Mat - 30" x 48"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Info!B1:BJ5000""),2,FALSE),"""")"),"B01IC0U84M")</f>
        <v>B01IC0U84M</v>
      </c>
      <c r="B2" s="3" t="s">
        <v>312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21.02051793382353</v>
      </c>
      <c r="D3" s="5">
        <f>SUM(D4:D99767)</f>
        <v>1729</v>
      </c>
      <c r="E3" s="5"/>
      <c r="F3" s="6">
        <f t="shared" ref="F3:G3" si="0">SUM(F4:F99767)</f>
        <v>45925.26999999996</v>
      </c>
      <c r="G3" s="6">
        <f t="shared" si="0"/>
        <v>-2358.7599999999998</v>
      </c>
      <c r="H3" s="7">
        <f t="shared" ref="H3:H32" si="1">G3/F3*-1</f>
        <v>5.1360830322826664E-2</v>
      </c>
      <c r="I3" s="8">
        <f t="shared" ref="I3:I32" si="2">J3/F3</f>
        <v>0.18190150127194085</v>
      </c>
      <c r="J3" s="6">
        <f>SUM(J4:J99767)</f>
        <v>8353.87555931922</v>
      </c>
      <c r="K3" s="6">
        <f t="shared" ref="K3:K32" si="3">J3/D3</f>
        <v>4.8316226485362757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Sheet!a1:g5000""),2,FALSE),"""")"),"15.0 - March
15.0 - April
15.0 - May
15.0 - June
15.0 - July
15.0 - Aug
15.0 - Sept
15.0 - Oct
15.0 - Nov
15.0 - Dec
15.0 - Jan
15.0 - Feb")</f>
        <v>15.0 - March
15.0 - April
15.0 - May
15.0 - June
15.0 - July
15.0 - Aug
15.0 - Sept
15.0 - Oct
15.0 - Nov
15.0 - Dec
15.0 - Jan
15.0 -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QTY-34")</f>
        <v>Del QTY-34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208</v>
      </c>
      <c r="X3" s="7">
        <f>W3/D3</f>
        <v>0.12030075187969924</v>
      </c>
      <c r="Y3" s="6"/>
      <c r="Z3" s="5"/>
      <c r="AA3" s="5"/>
      <c r="AB3" s="5"/>
      <c r="AC3" s="5"/>
      <c r="AD3" s="6">
        <f>SUM(AD4:AD99767)</f>
        <v>-537.87090165121663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Info!B2:BZ3000""),37,FALSE)),"""")*-1"),-7.30744024375)</f>
        <v>-7.3074402437500003</v>
      </c>
      <c r="AG3" s="6">
        <f>SUM(AG4:AG99767)</f>
        <v>-80</v>
      </c>
    </row>
    <row r="4" spans="1:33" x14ac:dyDescent="0.2">
      <c r="A4" s="1" t="s">
        <v>32</v>
      </c>
      <c r="B4" s="2" t="s">
        <v>105</v>
      </c>
      <c r="C4" s="14">
        <f t="shared" ref="C4:C32" si="4">IFERROR(F4/D4," - ")</f>
        <v>28.716363636363624</v>
      </c>
      <c r="D4" s="15">
        <v>44</v>
      </c>
      <c r="E4" s="15">
        <v>0</v>
      </c>
      <c r="F4" s="16">
        <v>1263.5199999999995</v>
      </c>
      <c r="G4" s="16">
        <v>-125.74999999999999</v>
      </c>
      <c r="H4" s="17">
        <f t="shared" si="1"/>
        <v>9.9523553248068913E-2</v>
      </c>
      <c r="I4" s="17">
        <f t="shared" si="2"/>
        <v>0.19790415971958381</v>
      </c>
      <c r="J4" s="16">
        <f t="shared" ref="J4:J32" si="5">F4*0.85+G4+AF4*D4+D4*AE4+AG4+AD4</f>
        <v>250.05586388888844</v>
      </c>
      <c r="K4" s="16">
        <f t="shared" si="3"/>
        <v>5.6830878156565552</v>
      </c>
      <c r="L4" s="15">
        <v>233</v>
      </c>
      <c r="M4" s="18">
        <f t="shared" ref="M4:M32" si="6">IFERROR(D4/L4,"-")</f>
        <v>0.18884120171673821</v>
      </c>
      <c r="N4" s="15">
        <v>308</v>
      </c>
      <c r="O4" s="19">
        <f t="shared" ref="O4:P4" si="7">D4/7</f>
        <v>6.2857142857142856</v>
      </c>
      <c r="P4" s="19">
        <f t="shared" si="7"/>
        <v>0</v>
      </c>
      <c r="Q4" s="15">
        <f t="shared" ref="Q4:Q32" si="8">ROUNDDOWN(N4/(O4+P4),0)</f>
        <v>49</v>
      </c>
      <c r="R4" s="15"/>
      <c r="S4" s="20">
        <v>1.4032183908045901</v>
      </c>
      <c r="T4" s="2" t="s">
        <v>34</v>
      </c>
      <c r="U4" s="2" t="s">
        <v>34</v>
      </c>
      <c r="V4" s="21" t="s">
        <v>34</v>
      </c>
      <c r="W4" s="22">
        <v>14</v>
      </c>
      <c r="X4" s="23">
        <f t="shared" ref="X4:X32" si="9">IFERROR(W4/D4,0)</f>
        <v>0.31818181818181818</v>
      </c>
      <c r="Y4" s="24">
        <f t="shared" ref="Y4:Y32" si="10">IFERROR(G4/(W4+Z4)*-1,0)</f>
        <v>6.6184210526315779</v>
      </c>
      <c r="Z4" s="22">
        <v>5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0.32403790509259262</v>
      </c>
      <c r="AD4" s="24">
        <f t="shared" ref="AD4:AD32" si="12">IFERROR(AB4*AC4*D4*2,0)</f>
        <v>-13.687361111111111</v>
      </c>
      <c r="AE4" s="24">
        <v>-10.16</v>
      </c>
      <c r="AF4" s="24">
        <v>-5.3967903409090905</v>
      </c>
      <c r="AG4" s="24">
        <v>0</v>
      </c>
    </row>
    <row r="5" spans="1:33" ht="15.75" customHeight="1" x14ac:dyDescent="0.2">
      <c r="A5" s="26" t="s">
        <v>35</v>
      </c>
      <c r="B5" s="26" t="s">
        <v>313</v>
      </c>
      <c r="C5" s="14">
        <f t="shared" si="4"/>
        <v>29.533272727272717</v>
      </c>
      <c r="D5" s="27">
        <v>55</v>
      </c>
      <c r="E5" s="27">
        <v>0</v>
      </c>
      <c r="F5" s="28">
        <v>1624.3299999999995</v>
      </c>
      <c r="G5" s="28">
        <v>-196.87</v>
      </c>
      <c r="H5" s="29">
        <f t="shared" si="1"/>
        <v>0.12120074122869126</v>
      </c>
      <c r="I5" s="29">
        <f t="shared" si="2"/>
        <v>0.1914992671432425</v>
      </c>
      <c r="J5" s="30">
        <f t="shared" si="5"/>
        <v>311.05800459878299</v>
      </c>
      <c r="K5" s="30">
        <f t="shared" si="3"/>
        <v>5.6556000836142362</v>
      </c>
      <c r="L5" s="27">
        <v>420</v>
      </c>
      <c r="M5" s="31">
        <f t="shared" si="6"/>
        <v>0.13095238095238096</v>
      </c>
      <c r="N5" s="27">
        <v>249</v>
      </c>
      <c r="O5" s="32">
        <f t="shared" ref="O5:P5" si="13">D5/7</f>
        <v>7.8571428571428568</v>
      </c>
      <c r="P5" s="32">
        <f t="shared" si="13"/>
        <v>0</v>
      </c>
      <c r="Q5" s="27">
        <f t="shared" si="8"/>
        <v>31</v>
      </c>
      <c r="R5" s="27"/>
      <c r="S5" s="33">
        <v>1.65481710458526</v>
      </c>
      <c r="T5" s="26" t="s">
        <v>34</v>
      </c>
      <c r="U5" s="34" t="s">
        <v>34</v>
      </c>
      <c r="V5" s="35" t="s">
        <v>34</v>
      </c>
      <c r="W5" s="26">
        <v>12</v>
      </c>
      <c r="X5" s="36">
        <f t="shared" si="9"/>
        <v>0.21818181818181817</v>
      </c>
      <c r="Y5" s="37">
        <f t="shared" si="10"/>
        <v>11.580588235294117</v>
      </c>
      <c r="Z5" s="26">
        <v>5</v>
      </c>
      <c r="AA5" s="26" t="s">
        <v>250</v>
      </c>
      <c r="AB5" s="38">
        <f t="shared" si="11"/>
        <v>-0.48</v>
      </c>
      <c r="AC5" s="39">
        <v>0.32441338354577059</v>
      </c>
      <c r="AD5" s="37">
        <f t="shared" si="12"/>
        <v>-17.129026651216687</v>
      </c>
      <c r="AE5" s="37">
        <v>-10.16</v>
      </c>
      <c r="AF5" s="37">
        <v>-5.3967903409090905</v>
      </c>
      <c r="AG5" s="37">
        <v>0</v>
      </c>
    </row>
    <row r="6" spans="1:33" ht="15.75" customHeight="1" x14ac:dyDescent="0.2">
      <c r="A6" s="26" t="s">
        <v>38</v>
      </c>
      <c r="B6" s="26" t="s">
        <v>314</v>
      </c>
      <c r="C6" s="14">
        <f t="shared" si="4"/>
        <v>29.203617021276596</v>
      </c>
      <c r="D6" s="27">
        <v>47</v>
      </c>
      <c r="E6" s="27">
        <v>0</v>
      </c>
      <c r="F6" s="28">
        <v>1372.57</v>
      </c>
      <c r="G6" s="28">
        <v>-138.37</v>
      </c>
      <c r="H6" s="29">
        <f t="shared" si="1"/>
        <v>0.10081088760500376</v>
      </c>
      <c r="I6" s="29">
        <f t="shared" si="2"/>
        <v>0.20583632434010288</v>
      </c>
      <c r="J6" s="30">
        <f t="shared" si="5"/>
        <v>282.524763699495</v>
      </c>
      <c r="K6" s="30">
        <f t="shared" si="3"/>
        <v>6.0111651850956385</v>
      </c>
      <c r="L6" s="27">
        <v>332</v>
      </c>
      <c r="M6" s="31">
        <f t="shared" si="6"/>
        <v>0.14156626506024098</v>
      </c>
      <c r="N6" s="27">
        <v>194</v>
      </c>
      <c r="O6" s="32">
        <f t="shared" ref="O6:P6" si="14">D6/7</f>
        <v>6.7142857142857144</v>
      </c>
      <c r="P6" s="32">
        <f t="shared" si="14"/>
        <v>0</v>
      </c>
      <c r="Q6" s="27">
        <f t="shared" si="8"/>
        <v>28</v>
      </c>
      <c r="R6" s="27"/>
      <c r="S6" s="33">
        <v>1.8823529411764699</v>
      </c>
      <c r="T6" s="26">
        <v>1742</v>
      </c>
      <c r="U6" s="34">
        <v>1184</v>
      </c>
      <c r="V6" s="49" t="s">
        <v>315</v>
      </c>
      <c r="W6" s="26">
        <v>9</v>
      </c>
      <c r="X6" s="36">
        <f t="shared" si="9"/>
        <v>0.19148936170212766</v>
      </c>
      <c r="Y6" s="37">
        <f t="shared" si="10"/>
        <v>9.2246666666666677</v>
      </c>
      <c r="Z6" s="26">
        <v>6</v>
      </c>
      <c r="AA6" s="26" t="s">
        <v>250</v>
      </c>
      <c r="AB6" s="38">
        <f t="shared" si="11"/>
        <v>-0.48</v>
      </c>
      <c r="AC6" s="39">
        <v>0.32403790509259262</v>
      </c>
      <c r="AD6" s="37">
        <f t="shared" si="12"/>
        <v>-14.620590277777778</v>
      </c>
      <c r="AE6" s="37">
        <v>-10.16</v>
      </c>
      <c r="AF6" s="37">
        <v>-5.3967903409090905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28.008461538461535</v>
      </c>
      <c r="D7" s="27">
        <v>52</v>
      </c>
      <c r="E7" s="27">
        <v>0</v>
      </c>
      <c r="F7" s="28">
        <v>1456.4399999999998</v>
      </c>
      <c r="G7" s="28">
        <v>-108.85999999999999</v>
      </c>
      <c r="H7" s="29">
        <f t="shared" si="1"/>
        <v>7.4743896075361846E-2</v>
      </c>
      <c r="I7" s="29">
        <f t="shared" si="2"/>
        <v>0.20871778449541697</v>
      </c>
      <c r="J7" s="30">
        <f t="shared" si="5"/>
        <v>303.98493005050506</v>
      </c>
      <c r="K7" s="30">
        <f t="shared" si="3"/>
        <v>5.8458640394327892</v>
      </c>
      <c r="L7" s="27">
        <v>352</v>
      </c>
      <c r="M7" s="31">
        <f t="shared" si="6"/>
        <v>0.14772727272727273</v>
      </c>
      <c r="N7" s="27">
        <v>146</v>
      </c>
      <c r="O7" s="32">
        <f t="shared" ref="O7:P7" si="15">D7/7</f>
        <v>7.4285714285714288</v>
      </c>
      <c r="P7" s="32">
        <f t="shared" si="15"/>
        <v>0</v>
      </c>
      <c r="Q7" s="27">
        <f t="shared" si="8"/>
        <v>19</v>
      </c>
      <c r="R7" s="27"/>
      <c r="S7" s="33">
        <v>1.4753608760577399</v>
      </c>
      <c r="T7" s="26">
        <v>1742</v>
      </c>
      <c r="U7" s="34">
        <v>1184</v>
      </c>
      <c r="V7" s="49" t="s">
        <v>316</v>
      </c>
      <c r="W7" s="26">
        <v>11</v>
      </c>
      <c r="X7" s="36">
        <f t="shared" si="9"/>
        <v>0.21153846153846154</v>
      </c>
      <c r="Y7" s="37">
        <f t="shared" si="10"/>
        <v>6.8037499999999991</v>
      </c>
      <c r="Z7" s="26">
        <v>5</v>
      </c>
      <c r="AA7" s="26" t="s">
        <v>250</v>
      </c>
      <c r="AB7" s="38">
        <f t="shared" si="11"/>
        <v>-0.48</v>
      </c>
      <c r="AC7" s="39">
        <v>0.32403790509259262</v>
      </c>
      <c r="AD7" s="37">
        <f t="shared" si="12"/>
        <v>-16.175972222222221</v>
      </c>
      <c r="AE7" s="37">
        <v>-10.16</v>
      </c>
      <c r="AF7" s="37">
        <v>-5.3967903409090905</v>
      </c>
      <c r="AG7" s="37">
        <v>0</v>
      </c>
    </row>
    <row r="8" spans="1:33" ht="15.75" customHeight="1" x14ac:dyDescent="0.2">
      <c r="A8" s="26" t="s">
        <v>43</v>
      </c>
      <c r="B8" s="26" t="s">
        <v>256</v>
      </c>
      <c r="C8" s="14">
        <f t="shared" si="4"/>
        <v>25.989999999999974</v>
      </c>
      <c r="D8" s="27">
        <v>95</v>
      </c>
      <c r="E8" s="27">
        <v>0</v>
      </c>
      <c r="F8" s="28">
        <v>2469.0499999999975</v>
      </c>
      <c r="G8" s="28">
        <v>-149.66999999999999</v>
      </c>
      <c r="H8" s="29">
        <f t="shared" si="1"/>
        <v>6.0618456491363132E-2</v>
      </c>
      <c r="I8" s="29">
        <f t="shared" si="2"/>
        <v>0.17872065898039885</v>
      </c>
      <c r="J8" s="30">
        <f t="shared" si="5"/>
        <v>441.27024305555329</v>
      </c>
      <c r="K8" s="30">
        <f t="shared" si="3"/>
        <v>4.6449499269005612</v>
      </c>
      <c r="L8" s="27">
        <v>362</v>
      </c>
      <c r="M8" s="31">
        <f t="shared" si="6"/>
        <v>0.26243093922651933</v>
      </c>
      <c r="N8" s="27">
        <v>53</v>
      </c>
      <c r="O8" s="32">
        <f t="shared" ref="O8:P8" si="16">D8/7</f>
        <v>13.571428571428571</v>
      </c>
      <c r="P8" s="32">
        <f t="shared" si="16"/>
        <v>0</v>
      </c>
      <c r="Q8" s="27">
        <f t="shared" si="8"/>
        <v>3</v>
      </c>
      <c r="R8" s="27"/>
      <c r="S8" s="33">
        <v>1.69766115231032</v>
      </c>
      <c r="T8" s="26">
        <v>558</v>
      </c>
      <c r="U8" s="34" t="s">
        <v>34</v>
      </c>
      <c r="V8" s="35" t="s">
        <v>34</v>
      </c>
      <c r="W8" s="26">
        <v>11</v>
      </c>
      <c r="X8" s="36">
        <f t="shared" si="9"/>
        <v>0.11578947368421053</v>
      </c>
      <c r="Y8" s="37">
        <f t="shared" si="10"/>
        <v>5.543333333333333</v>
      </c>
      <c r="Z8" s="26">
        <v>16</v>
      </c>
      <c r="AA8" s="26" t="s">
        <v>250</v>
      </c>
      <c r="AB8" s="38">
        <f t="shared" si="11"/>
        <v>-0.48</v>
      </c>
      <c r="AC8" s="39">
        <v>0.32403790509259262</v>
      </c>
      <c r="AD8" s="37">
        <f t="shared" si="12"/>
        <v>-29.552256944444444</v>
      </c>
      <c r="AE8" s="37">
        <v>-10.16</v>
      </c>
      <c r="AF8" s="37">
        <v>-5.4</v>
      </c>
      <c r="AG8" s="37">
        <v>0</v>
      </c>
    </row>
    <row r="9" spans="1:33" ht="15.75" customHeight="1" x14ac:dyDescent="0.2">
      <c r="A9" s="26" t="s">
        <v>45</v>
      </c>
      <c r="B9" s="26" t="s">
        <v>317</v>
      </c>
      <c r="C9" s="14">
        <f t="shared" si="4"/>
        <v>26.009484536082446</v>
      </c>
      <c r="D9" s="27">
        <v>97</v>
      </c>
      <c r="E9" s="27">
        <v>1</v>
      </c>
      <c r="F9" s="28">
        <v>2522.9199999999973</v>
      </c>
      <c r="G9" s="28">
        <v>-132.34</v>
      </c>
      <c r="H9" s="29">
        <f t="shared" si="1"/>
        <v>5.2455091719119169E-2</v>
      </c>
      <c r="I9" s="29">
        <f t="shared" si="2"/>
        <v>0.17788576036913731</v>
      </c>
      <c r="J9" s="30">
        <f t="shared" si="5"/>
        <v>448.79154255050344</v>
      </c>
      <c r="K9" s="30">
        <f t="shared" si="3"/>
        <v>4.6267169335103446</v>
      </c>
      <c r="L9" s="27">
        <v>431</v>
      </c>
      <c r="M9" s="31">
        <f t="shared" si="6"/>
        <v>0.22505800464037123</v>
      </c>
      <c r="N9" s="27">
        <v>1141</v>
      </c>
      <c r="O9" s="32">
        <f t="shared" ref="O9:P9" si="17">D9/7</f>
        <v>13.857142857142858</v>
      </c>
      <c r="P9" s="32">
        <f t="shared" si="17"/>
        <v>0.14285714285714285</v>
      </c>
      <c r="Q9" s="27">
        <f t="shared" si="8"/>
        <v>81</v>
      </c>
      <c r="R9" s="27"/>
      <c r="S9" s="33">
        <v>1.17638209853328</v>
      </c>
      <c r="T9" s="26">
        <v>558</v>
      </c>
      <c r="U9" s="34" t="s">
        <v>34</v>
      </c>
      <c r="V9" s="35" t="s">
        <v>34</v>
      </c>
      <c r="W9" s="26">
        <v>20</v>
      </c>
      <c r="X9" s="36">
        <f t="shared" si="9"/>
        <v>0.20618556701030927</v>
      </c>
      <c r="Y9" s="37">
        <f t="shared" si="10"/>
        <v>4.4113333333333333</v>
      </c>
      <c r="Z9" s="26">
        <v>10</v>
      </c>
      <c r="AA9" s="26" t="s">
        <v>250</v>
      </c>
      <c r="AB9" s="38">
        <f t="shared" si="11"/>
        <v>-0.48</v>
      </c>
      <c r="AC9" s="39">
        <v>0.32403790509259262</v>
      </c>
      <c r="AD9" s="37">
        <f t="shared" si="12"/>
        <v>-30.174409722222222</v>
      </c>
      <c r="AE9" s="37">
        <v>-10.16</v>
      </c>
      <c r="AF9" s="37">
        <v>-5.6459386363636304</v>
      </c>
      <c r="AG9" s="37">
        <v>0</v>
      </c>
    </row>
    <row r="10" spans="1:33" ht="15.75" customHeight="1" x14ac:dyDescent="0.2">
      <c r="A10" s="26" t="s">
        <v>48</v>
      </c>
      <c r="B10" s="26" t="s">
        <v>318</v>
      </c>
      <c r="C10" s="14">
        <f t="shared" si="4"/>
        <v>24.737108433734942</v>
      </c>
      <c r="D10" s="27">
        <v>83</v>
      </c>
      <c r="E10" s="27">
        <v>1</v>
      </c>
      <c r="F10" s="28">
        <v>2053.1800000000003</v>
      </c>
      <c r="G10" s="28">
        <v>-134.15</v>
      </c>
      <c r="H10" s="29">
        <f t="shared" si="1"/>
        <v>6.5337671319611518E-2</v>
      </c>
      <c r="I10" s="29">
        <f t="shared" si="2"/>
        <v>0.13313043810286534</v>
      </c>
      <c r="J10" s="30">
        <f t="shared" si="5"/>
        <v>273.3407529040411</v>
      </c>
      <c r="K10" s="30">
        <f t="shared" si="3"/>
        <v>3.2932620831812178</v>
      </c>
      <c r="L10" s="27">
        <v>449</v>
      </c>
      <c r="M10" s="31">
        <f t="shared" si="6"/>
        <v>0.18485523385300667</v>
      </c>
      <c r="N10" s="27">
        <v>1067</v>
      </c>
      <c r="O10" s="32">
        <f t="shared" ref="O10:P10" si="18">D10/7</f>
        <v>11.857142857142858</v>
      </c>
      <c r="P10" s="32">
        <f t="shared" si="18"/>
        <v>0.14285714285714285</v>
      </c>
      <c r="Q10" s="27">
        <f t="shared" si="8"/>
        <v>88</v>
      </c>
      <c r="R10" s="27"/>
      <c r="S10" s="33">
        <v>1.3035789473684201</v>
      </c>
      <c r="T10" s="26">
        <v>558</v>
      </c>
      <c r="U10" s="34" t="s">
        <v>34</v>
      </c>
      <c r="V10" s="35" t="s">
        <v>34</v>
      </c>
      <c r="W10" s="26">
        <v>15</v>
      </c>
      <c r="X10" s="36">
        <f t="shared" si="9"/>
        <v>0.18072289156626506</v>
      </c>
      <c r="Y10" s="37">
        <f t="shared" si="10"/>
        <v>4.1921875000000002</v>
      </c>
      <c r="Z10" s="26">
        <v>17</v>
      </c>
      <c r="AA10" s="26" t="s">
        <v>250</v>
      </c>
      <c r="AB10" s="38">
        <f t="shared" si="11"/>
        <v>-0.48</v>
      </c>
      <c r="AC10" s="39">
        <v>0.32403790509259262</v>
      </c>
      <c r="AD10" s="37">
        <f t="shared" si="12"/>
        <v>-25.819340277777776</v>
      </c>
      <c r="AE10" s="37">
        <v>-10.16</v>
      </c>
      <c r="AF10" s="37">
        <v>-5.6459386363636304</v>
      </c>
      <c r="AG10" s="37">
        <v>0</v>
      </c>
    </row>
    <row r="11" spans="1:33" ht="15.75" customHeight="1" x14ac:dyDescent="0.2">
      <c r="A11" s="26" t="s">
        <v>50</v>
      </c>
      <c r="B11" s="26" t="s">
        <v>260</v>
      </c>
      <c r="C11" s="14">
        <f t="shared" si="4"/>
        <v>24.311678321678247</v>
      </c>
      <c r="D11" s="27">
        <v>143</v>
      </c>
      <c r="E11" s="27">
        <v>0</v>
      </c>
      <c r="F11" s="28">
        <v>3476.5699999999892</v>
      </c>
      <c r="G11" s="28">
        <v>-98.47</v>
      </c>
      <c r="H11" s="29">
        <f t="shared" si="1"/>
        <v>2.8323893952947963E-2</v>
      </c>
      <c r="I11" s="29">
        <f t="shared" si="2"/>
        <v>0.15874305749312759</v>
      </c>
      <c r="J11" s="30">
        <f t="shared" si="5"/>
        <v>551.88135138888083</v>
      </c>
      <c r="K11" s="30">
        <f t="shared" si="3"/>
        <v>3.8593101495725932</v>
      </c>
      <c r="L11" s="27">
        <v>513</v>
      </c>
      <c r="M11" s="31">
        <f t="shared" si="6"/>
        <v>0.27875243664717347</v>
      </c>
      <c r="N11" s="27">
        <v>926</v>
      </c>
      <c r="O11" s="32">
        <f t="shared" ref="O11:P11" si="19">D11/7</f>
        <v>20.428571428571427</v>
      </c>
      <c r="P11" s="32">
        <f t="shared" si="19"/>
        <v>0</v>
      </c>
      <c r="Q11" s="27">
        <f t="shared" si="8"/>
        <v>45</v>
      </c>
      <c r="R11" s="27"/>
      <c r="S11" s="33">
        <v>1.5895953757225401</v>
      </c>
      <c r="T11" s="26">
        <v>558</v>
      </c>
      <c r="U11" s="34" t="s">
        <v>34</v>
      </c>
      <c r="V11" s="35" t="s">
        <v>34</v>
      </c>
      <c r="W11" s="26">
        <v>19</v>
      </c>
      <c r="X11" s="36">
        <f t="shared" si="9"/>
        <v>0.13286713286713286</v>
      </c>
      <c r="Y11" s="37">
        <f t="shared" si="10"/>
        <v>2.9839393939393939</v>
      </c>
      <c r="Z11" s="26">
        <v>14</v>
      </c>
      <c r="AA11" s="26" t="s">
        <v>250</v>
      </c>
      <c r="AB11" s="38">
        <f t="shared" si="11"/>
        <v>-0.48</v>
      </c>
      <c r="AC11" s="39">
        <v>0.32403790509259262</v>
      </c>
      <c r="AD11" s="37">
        <f t="shared" si="12"/>
        <v>-44.483923611111109</v>
      </c>
      <c r="AE11" s="37">
        <v>-10.16</v>
      </c>
      <c r="AF11" s="37">
        <v>-5.6459386363636304</v>
      </c>
      <c r="AG11" s="37">
        <v>0</v>
      </c>
    </row>
    <row r="12" spans="1:33" ht="15.75" customHeight="1" x14ac:dyDescent="0.2">
      <c r="A12" s="26" t="s">
        <v>52</v>
      </c>
      <c r="B12" s="26" t="s">
        <v>319</v>
      </c>
      <c r="C12" s="14">
        <f t="shared" si="4"/>
        <v>25.659732142857088</v>
      </c>
      <c r="D12" s="27">
        <v>112</v>
      </c>
      <c r="E12" s="27">
        <v>3</v>
      </c>
      <c r="F12" s="28">
        <v>2873.889999999994</v>
      </c>
      <c r="G12" s="28">
        <v>-56.860000000000014</v>
      </c>
      <c r="H12" s="29">
        <f t="shared" si="1"/>
        <v>1.978503004638317E-2</v>
      </c>
      <c r="I12" s="29">
        <f t="shared" si="2"/>
        <v>0.20210962046971653</v>
      </c>
      <c r="J12" s="30">
        <f t="shared" si="5"/>
        <v>580.84081717171239</v>
      </c>
      <c r="K12" s="30">
        <f t="shared" si="3"/>
        <v>5.186078724747432</v>
      </c>
      <c r="L12" s="27">
        <v>474</v>
      </c>
      <c r="M12" s="31">
        <f t="shared" si="6"/>
        <v>0.23628691983122363</v>
      </c>
      <c r="N12" s="27">
        <v>811</v>
      </c>
      <c r="O12" s="32">
        <f t="shared" ref="O12:P12" si="20">D12/7</f>
        <v>16</v>
      </c>
      <c r="P12" s="32">
        <f t="shared" si="20"/>
        <v>0.42857142857142855</v>
      </c>
      <c r="Q12" s="27">
        <f t="shared" si="8"/>
        <v>49</v>
      </c>
      <c r="R12" s="27"/>
      <c r="S12" s="33">
        <v>1.9567867036011</v>
      </c>
      <c r="T12" s="26">
        <v>558</v>
      </c>
      <c r="U12" s="34" t="s">
        <v>34</v>
      </c>
      <c r="V12" s="35" t="s">
        <v>34</v>
      </c>
      <c r="W12" s="26">
        <v>5</v>
      </c>
      <c r="X12" s="36">
        <f t="shared" si="9"/>
        <v>4.4642857142857144E-2</v>
      </c>
      <c r="Y12" s="37">
        <f t="shared" si="10"/>
        <v>5.6860000000000017</v>
      </c>
      <c r="Z12" s="26">
        <v>5</v>
      </c>
      <c r="AA12" s="26" t="s">
        <v>250</v>
      </c>
      <c r="AB12" s="38">
        <f t="shared" si="11"/>
        <v>-0.48</v>
      </c>
      <c r="AC12" s="39">
        <v>0.32403790509259262</v>
      </c>
      <c r="AD12" s="37">
        <f t="shared" si="12"/>
        <v>-34.840555555555554</v>
      </c>
      <c r="AE12" s="37">
        <v>-10.16</v>
      </c>
      <c r="AF12" s="37">
        <v>-5.6459386363636304</v>
      </c>
      <c r="AG12" s="37">
        <v>0</v>
      </c>
    </row>
    <row r="13" spans="1:33" ht="15.75" customHeight="1" x14ac:dyDescent="0.2">
      <c r="A13" s="26" t="s">
        <v>54</v>
      </c>
      <c r="B13" s="26" t="s">
        <v>320</v>
      </c>
      <c r="C13" s="14">
        <f t="shared" si="4"/>
        <v>26.270898876404477</v>
      </c>
      <c r="D13" s="27">
        <v>89</v>
      </c>
      <c r="E13" s="27">
        <v>2</v>
      </c>
      <c r="F13" s="30">
        <v>2338.1099999999983</v>
      </c>
      <c r="G13" s="28">
        <v>-69.210000000000008</v>
      </c>
      <c r="H13" s="29">
        <f t="shared" si="1"/>
        <v>2.9600831440779116E-2</v>
      </c>
      <c r="I13" s="29">
        <f t="shared" si="2"/>
        <v>0.20191459429655007</v>
      </c>
      <c r="J13" s="30">
        <f t="shared" si="5"/>
        <v>472.09853207070631</v>
      </c>
      <c r="K13" s="30">
        <f t="shared" si="3"/>
        <v>5.304477888434902</v>
      </c>
      <c r="L13" s="27">
        <v>293</v>
      </c>
      <c r="M13" s="31">
        <f t="shared" si="6"/>
        <v>0.30375426621160412</v>
      </c>
      <c r="N13" s="27">
        <v>715</v>
      </c>
      <c r="O13" s="32">
        <f t="shared" ref="O13:P13" si="21">D13/7</f>
        <v>12.714285714285714</v>
      </c>
      <c r="P13" s="32">
        <f t="shared" si="21"/>
        <v>0.2857142857142857</v>
      </c>
      <c r="Q13" s="27">
        <f t="shared" si="8"/>
        <v>55</v>
      </c>
      <c r="R13" s="27"/>
      <c r="S13" s="33">
        <v>1.9013933547695601</v>
      </c>
      <c r="T13" s="26">
        <v>558</v>
      </c>
      <c r="U13" s="34" t="s">
        <v>34</v>
      </c>
      <c r="V13" s="35" t="s">
        <v>34</v>
      </c>
      <c r="W13" s="26">
        <v>7</v>
      </c>
      <c r="X13" s="36">
        <f t="shared" si="9"/>
        <v>7.8651685393258425E-2</v>
      </c>
      <c r="Y13" s="37">
        <f t="shared" si="10"/>
        <v>6.9210000000000012</v>
      </c>
      <c r="Z13" s="26">
        <v>3</v>
      </c>
      <c r="AA13" s="26" t="s">
        <v>250</v>
      </c>
      <c r="AB13" s="38">
        <f t="shared" si="11"/>
        <v>-0.48</v>
      </c>
      <c r="AC13" s="39">
        <v>0.32403790509259262</v>
      </c>
      <c r="AD13" s="37">
        <f t="shared" si="12"/>
        <v>-27.68579861111111</v>
      </c>
      <c r="AE13" s="37">
        <v>-10.16</v>
      </c>
      <c r="AF13" s="37">
        <v>-5.7770693181818098</v>
      </c>
      <c r="AG13" s="37">
        <v>0</v>
      </c>
    </row>
    <row r="14" spans="1:33" ht="15.75" customHeight="1" x14ac:dyDescent="0.2">
      <c r="A14" s="26" t="s">
        <v>56</v>
      </c>
      <c r="B14" s="26" t="s">
        <v>321</v>
      </c>
      <c r="C14" s="14">
        <f t="shared" si="4"/>
        <v>25.727474747474716</v>
      </c>
      <c r="D14" s="27">
        <v>99</v>
      </c>
      <c r="E14" s="27">
        <v>0</v>
      </c>
      <c r="F14" s="30">
        <v>2547.0199999999968</v>
      </c>
      <c r="G14" s="28">
        <v>-48.569999999999993</v>
      </c>
      <c r="H14" s="29">
        <f t="shared" si="1"/>
        <v>1.9069343782145431E-2</v>
      </c>
      <c r="I14" s="29">
        <f t="shared" si="2"/>
        <v>0.19938224866706919</v>
      </c>
      <c r="J14" s="30">
        <f t="shared" si="5"/>
        <v>507.83057499999796</v>
      </c>
      <c r="K14" s="30">
        <f t="shared" si="3"/>
        <v>5.1296017676767471</v>
      </c>
      <c r="L14" s="27">
        <v>377</v>
      </c>
      <c r="M14" s="31">
        <f t="shared" si="6"/>
        <v>0.2625994694960212</v>
      </c>
      <c r="N14" s="27">
        <v>617</v>
      </c>
      <c r="O14" s="32">
        <f t="shared" ref="O14:P14" si="22">D14/7</f>
        <v>14.142857142857142</v>
      </c>
      <c r="P14" s="32">
        <f t="shared" si="22"/>
        <v>0</v>
      </c>
      <c r="Q14" s="27">
        <f t="shared" si="8"/>
        <v>43</v>
      </c>
      <c r="R14" s="27"/>
      <c r="S14" s="33">
        <v>1.6167364016736401</v>
      </c>
      <c r="T14" s="26">
        <v>558</v>
      </c>
      <c r="U14" s="34" t="s">
        <v>34</v>
      </c>
      <c r="V14" s="35" t="s">
        <v>34</v>
      </c>
      <c r="W14" s="26">
        <v>3</v>
      </c>
      <c r="X14" s="36">
        <f t="shared" si="9"/>
        <v>3.0303030303030304E-2</v>
      </c>
      <c r="Y14" s="37">
        <f t="shared" si="10"/>
        <v>12.142499999999998</v>
      </c>
      <c r="Z14" s="26">
        <v>1</v>
      </c>
      <c r="AA14" s="26" t="s">
        <v>250</v>
      </c>
      <c r="AB14" s="38">
        <f t="shared" si="11"/>
        <v>-0.48</v>
      </c>
      <c r="AC14" s="39">
        <v>0.32403790509259262</v>
      </c>
      <c r="AD14" s="37">
        <f t="shared" si="12"/>
        <v>-30.7965625</v>
      </c>
      <c r="AE14" s="37">
        <v>-10.16</v>
      </c>
      <c r="AF14" s="37">
        <v>-5.7770693181818098</v>
      </c>
      <c r="AG14" s="37">
        <v>0</v>
      </c>
    </row>
    <row r="15" spans="1:33" ht="15.75" customHeight="1" x14ac:dyDescent="0.2">
      <c r="A15" s="26" t="s">
        <v>58</v>
      </c>
      <c r="B15" s="26" t="s">
        <v>322</v>
      </c>
      <c r="C15" s="14">
        <f t="shared" si="4"/>
        <v>26.827209302325571</v>
      </c>
      <c r="D15" s="27">
        <v>86</v>
      </c>
      <c r="E15" s="27">
        <v>0</v>
      </c>
      <c r="F15" s="30">
        <v>2307.139999999999</v>
      </c>
      <c r="G15" s="28">
        <v>-49.11</v>
      </c>
      <c r="H15" s="29">
        <f t="shared" si="1"/>
        <v>2.1286094471943628E-2</v>
      </c>
      <c r="I15" s="29">
        <f t="shared" si="2"/>
        <v>0.22305472107974339</v>
      </c>
      <c r="J15" s="30">
        <f t="shared" si="5"/>
        <v>514.61846919191896</v>
      </c>
      <c r="K15" s="30">
        <f t="shared" si="3"/>
        <v>5.9839356882781276</v>
      </c>
      <c r="L15" s="27">
        <v>331</v>
      </c>
      <c r="M15" s="31">
        <f t="shared" si="6"/>
        <v>0.25981873111782477</v>
      </c>
      <c r="N15" s="27">
        <v>522</v>
      </c>
      <c r="O15" s="32">
        <f t="shared" ref="O15:P15" si="23">D15/7</f>
        <v>12.285714285714286</v>
      </c>
      <c r="P15" s="32">
        <f t="shared" si="23"/>
        <v>0</v>
      </c>
      <c r="Q15" s="27">
        <f t="shared" si="8"/>
        <v>42</v>
      </c>
      <c r="R15" s="27"/>
      <c r="S15" s="33">
        <v>1.9007092198581499</v>
      </c>
      <c r="T15" s="26">
        <v>1458</v>
      </c>
      <c r="U15" s="34" t="s">
        <v>34</v>
      </c>
      <c r="V15" s="35" t="s">
        <v>34</v>
      </c>
      <c r="W15" s="26">
        <v>8</v>
      </c>
      <c r="X15" s="36">
        <f t="shared" si="9"/>
        <v>9.3023255813953487E-2</v>
      </c>
      <c r="Y15" s="37">
        <f t="shared" si="10"/>
        <v>4.9109999999999996</v>
      </c>
      <c r="Z15" s="26">
        <v>2</v>
      </c>
      <c r="AA15" s="26" t="s">
        <v>250</v>
      </c>
      <c r="AB15" s="38">
        <f t="shared" si="11"/>
        <v>-0.48</v>
      </c>
      <c r="AC15" s="39">
        <v>0.32403790509259262</v>
      </c>
      <c r="AD15" s="37">
        <f t="shared" si="12"/>
        <v>-26.752569444444443</v>
      </c>
      <c r="AE15" s="37">
        <v>-10.16</v>
      </c>
      <c r="AF15" s="37">
        <v>-5.7770693181818098</v>
      </c>
      <c r="AG15" s="37">
        <v>0</v>
      </c>
    </row>
    <row r="16" spans="1:33" ht="15.75" customHeight="1" x14ac:dyDescent="0.2">
      <c r="A16" s="26" t="s">
        <v>60</v>
      </c>
      <c r="B16" s="26" t="s">
        <v>209</v>
      </c>
      <c r="C16" s="14">
        <f t="shared" si="4"/>
        <v>26.989999999999981</v>
      </c>
      <c r="D16" s="27">
        <v>85</v>
      </c>
      <c r="E16" s="27">
        <v>1</v>
      </c>
      <c r="F16" s="30">
        <v>2294.1499999999983</v>
      </c>
      <c r="G16" s="28">
        <v>-43.9</v>
      </c>
      <c r="H16" s="29">
        <f t="shared" si="1"/>
        <v>1.9135627574482939E-2</v>
      </c>
      <c r="I16" s="29">
        <f t="shared" si="2"/>
        <v>0.22885823285268597</v>
      </c>
      <c r="J16" s="30">
        <f t="shared" si="5"/>
        <v>525.03511489898915</v>
      </c>
      <c r="K16" s="30">
        <f t="shared" si="3"/>
        <v>6.1768837046939904</v>
      </c>
      <c r="L16" s="27">
        <v>304</v>
      </c>
      <c r="M16" s="31">
        <f t="shared" si="6"/>
        <v>0.27960526315789475</v>
      </c>
      <c r="N16" s="27">
        <v>443</v>
      </c>
      <c r="O16" s="32">
        <f t="shared" ref="O16:P16" si="24">D16/7</f>
        <v>12.142857142857142</v>
      </c>
      <c r="P16" s="32">
        <f t="shared" si="24"/>
        <v>0.14285714285714285</v>
      </c>
      <c r="Q16" s="27">
        <f t="shared" si="8"/>
        <v>36</v>
      </c>
      <c r="R16" s="27"/>
      <c r="S16" s="33">
        <v>2.37458193979933</v>
      </c>
      <c r="T16" s="26">
        <v>1458</v>
      </c>
      <c r="U16" s="34" t="s">
        <v>34</v>
      </c>
      <c r="V16" s="35" t="s">
        <v>34</v>
      </c>
      <c r="W16" s="26">
        <v>4</v>
      </c>
      <c r="X16" s="36">
        <f t="shared" si="9"/>
        <v>4.7058823529411764E-2</v>
      </c>
      <c r="Y16" s="37">
        <f t="shared" si="10"/>
        <v>7.3166666666666664</v>
      </c>
      <c r="Z16" s="26">
        <v>2</v>
      </c>
      <c r="AA16" s="26" t="s">
        <v>250</v>
      </c>
      <c r="AB16" s="38">
        <f t="shared" si="11"/>
        <v>-0.48</v>
      </c>
      <c r="AC16" s="39">
        <v>0.32403790509259262</v>
      </c>
      <c r="AD16" s="37">
        <f t="shared" si="12"/>
        <v>-26.441493055555554</v>
      </c>
      <c r="AE16" s="37">
        <v>-10.16</v>
      </c>
      <c r="AF16" s="37">
        <v>-5.7770693181818098</v>
      </c>
      <c r="AG16" s="37">
        <v>0</v>
      </c>
    </row>
    <row r="17" spans="1:33" ht="15.75" customHeight="1" x14ac:dyDescent="0.2">
      <c r="A17" s="26" t="s">
        <v>61</v>
      </c>
      <c r="B17" s="26" t="s">
        <v>322</v>
      </c>
      <c r="C17" s="14">
        <f t="shared" si="4"/>
        <v>27.734186046511631</v>
      </c>
      <c r="D17" s="27">
        <v>43</v>
      </c>
      <c r="E17" s="27">
        <v>4</v>
      </c>
      <c r="F17" s="30">
        <v>1192.5700000000002</v>
      </c>
      <c r="G17" s="28">
        <v>-35.1</v>
      </c>
      <c r="H17" s="29">
        <f t="shared" si="1"/>
        <v>2.9432234585810475E-2</v>
      </c>
      <c r="I17" s="29">
        <f t="shared" si="2"/>
        <v>0.23471514007224725</v>
      </c>
      <c r="J17" s="30">
        <f t="shared" si="5"/>
        <v>279.91423459595995</v>
      </c>
      <c r="K17" s="30">
        <f t="shared" si="3"/>
        <v>6.5096333626967429</v>
      </c>
      <c r="L17" s="27">
        <v>257</v>
      </c>
      <c r="M17" s="31">
        <f t="shared" si="6"/>
        <v>0.16731517509727625</v>
      </c>
      <c r="N17" s="27">
        <v>389</v>
      </c>
      <c r="O17" s="32">
        <f t="shared" ref="O17:P17" si="25">D17/7</f>
        <v>6.1428571428571432</v>
      </c>
      <c r="P17" s="32">
        <f t="shared" si="25"/>
        <v>0.5714285714285714</v>
      </c>
      <c r="Q17" s="27">
        <f t="shared" si="8"/>
        <v>57</v>
      </c>
      <c r="R17" s="27"/>
      <c r="S17" s="33">
        <v>1.65744203440538</v>
      </c>
      <c r="T17" s="26">
        <v>1458</v>
      </c>
      <c r="U17" s="34" t="s">
        <v>34</v>
      </c>
      <c r="V17" s="35" t="s">
        <v>34</v>
      </c>
      <c r="W17" s="26">
        <v>4</v>
      </c>
      <c r="X17" s="36">
        <f t="shared" si="9"/>
        <v>9.3023255813953487E-2</v>
      </c>
      <c r="Y17" s="37">
        <f t="shared" si="10"/>
        <v>7.0200000000000005</v>
      </c>
      <c r="Z17" s="26">
        <v>1</v>
      </c>
      <c r="AA17" s="26" t="s">
        <v>250</v>
      </c>
      <c r="AB17" s="38">
        <f t="shared" si="11"/>
        <v>-0.48</v>
      </c>
      <c r="AC17" s="39">
        <v>0.32403790509259262</v>
      </c>
      <c r="AD17" s="37">
        <f t="shared" si="12"/>
        <v>-13.376284722222222</v>
      </c>
      <c r="AE17" s="37">
        <v>-10.16</v>
      </c>
      <c r="AF17" s="37">
        <v>-5.7770693181818098</v>
      </c>
      <c r="AG17" s="37">
        <v>0</v>
      </c>
    </row>
    <row r="18" spans="1:33" ht="15.75" customHeight="1" x14ac:dyDescent="0.2">
      <c r="A18" s="26" t="s">
        <v>62</v>
      </c>
      <c r="B18" s="26" t="s">
        <v>191</v>
      </c>
      <c r="C18" s="14">
        <f t="shared" si="4"/>
        <v>27.990000000000006</v>
      </c>
      <c r="D18" s="27">
        <v>64</v>
      </c>
      <c r="E18" s="27">
        <v>2</v>
      </c>
      <c r="F18" s="30">
        <v>1791.3600000000004</v>
      </c>
      <c r="G18" s="28">
        <v>-34.08</v>
      </c>
      <c r="H18" s="29">
        <f t="shared" si="1"/>
        <v>1.9024651661307606E-2</v>
      </c>
      <c r="I18" s="29">
        <f t="shared" si="2"/>
        <v>0.25047710942941426</v>
      </c>
      <c r="J18" s="30">
        <f t="shared" si="5"/>
        <v>448.69467474747557</v>
      </c>
      <c r="K18" s="30">
        <f t="shared" si="3"/>
        <v>7.0108542929293058</v>
      </c>
      <c r="L18" s="27">
        <v>253</v>
      </c>
      <c r="M18" s="31">
        <f t="shared" si="6"/>
        <v>0.25296442687747034</v>
      </c>
      <c r="N18" s="27">
        <v>325</v>
      </c>
      <c r="O18" s="32">
        <f t="shared" ref="O18:P18" si="26">D18/7</f>
        <v>9.1428571428571423</v>
      </c>
      <c r="P18" s="32">
        <f t="shared" si="26"/>
        <v>0.2857142857142857</v>
      </c>
      <c r="Q18" s="27">
        <f t="shared" si="8"/>
        <v>34</v>
      </c>
      <c r="R18" s="27"/>
      <c r="S18" s="33">
        <v>1.8397328881469099</v>
      </c>
      <c r="T18" s="26">
        <v>1458</v>
      </c>
      <c r="U18" s="34" t="s">
        <v>34</v>
      </c>
      <c r="V18" s="35" t="s">
        <v>34</v>
      </c>
      <c r="W18" s="26">
        <v>1</v>
      </c>
      <c r="X18" s="36">
        <f t="shared" si="9"/>
        <v>1.5625E-2</v>
      </c>
      <c r="Y18" s="37">
        <f t="shared" si="10"/>
        <v>17.04</v>
      </c>
      <c r="Z18" s="26">
        <v>1</v>
      </c>
      <c r="AA18" s="26" t="s">
        <v>250</v>
      </c>
      <c r="AB18" s="38">
        <f t="shared" si="11"/>
        <v>-0.48</v>
      </c>
      <c r="AC18" s="39">
        <v>0.32403790509259262</v>
      </c>
      <c r="AD18" s="37">
        <f t="shared" si="12"/>
        <v>-19.908888888888889</v>
      </c>
      <c r="AE18" s="37">
        <v>-10.16</v>
      </c>
      <c r="AF18" s="37">
        <v>-5.7770693181818098</v>
      </c>
      <c r="AG18" s="37">
        <v>0</v>
      </c>
    </row>
    <row r="19" spans="1:33" ht="15.75" customHeight="1" x14ac:dyDescent="0.2">
      <c r="A19" s="26" t="s">
        <v>64</v>
      </c>
      <c r="B19" s="26" t="s">
        <v>323</v>
      </c>
      <c r="C19" s="14">
        <f t="shared" si="4"/>
        <v>28.79645161290323</v>
      </c>
      <c r="D19" s="27">
        <v>62</v>
      </c>
      <c r="E19" s="27">
        <v>1</v>
      </c>
      <c r="F19" s="30">
        <v>1785.3800000000003</v>
      </c>
      <c r="G19" s="28">
        <v>-40.199999999999996</v>
      </c>
      <c r="H19" s="29">
        <f t="shared" si="1"/>
        <v>2.2516215035454631E-2</v>
      </c>
      <c r="I19" s="29">
        <f t="shared" si="2"/>
        <v>0.26324254005400338</v>
      </c>
      <c r="J19" s="30">
        <f t="shared" si="5"/>
        <v>469.98796616161661</v>
      </c>
      <c r="K19" s="30">
        <f t="shared" si="3"/>
        <v>7.5804510671228487</v>
      </c>
      <c r="L19" s="27">
        <v>280</v>
      </c>
      <c r="M19" s="31">
        <f t="shared" si="6"/>
        <v>0.22142857142857142</v>
      </c>
      <c r="N19" s="27">
        <v>263</v>
      </c>
      <c r="O19" s="32">
        <f t="shared" ref="O19:P19" si="27">D19/7</f>
        <v>8.8571428571428577</v>
      </c>
      <c r="P19" s="32">
        <f t="shared" si="27"/>
        <v>0.14285714285714285</v>
      </c>
      <c r="Q19" s="27">
        <f t="shared" si="8"/>
        <v>29</v>
      </c>
      <c r="R19" s="27"/>
      <c r="S19" s="33">
        <v>2.0302891234511198</v>
      </c>
      <c r="T19" s="26">
        <v>3238</v>
      </c>
      <c r="U19" s="34">
        <v>558</v>
      </c>
      <c r="V19" s="35" t="s">
        <v>324</v>
      </c>
      <c r="W19" s="26">
        <v>3</v>
      </c>
      <c r="X19" s="36">
        <f t="shared" si="9"/>
        <v>4.8387096774193547E-2</v>
      </c>
      <c r="Y19" s="37">
        <f t="shared" si="10"/>
        <v>13.399999999999999</v>
      </c>
      <c r="Z19" s="26">
        <v>0</v>
      </c>
      <c r="AA19" s="26" t="s">
        <v>250</v>
      </c>
      <c r="AB19" s="38">
        <f t="shared" si="11"/>
        <v>-0.48</v>
      </c>
      <c r="AC19" s="39">
        <v>0.32403790509259262</v>
      </c>
      <c r="AD19" s="37">
        <f t="shared" si="12"/>
        <v>-19.286736111111111</v>
      </c>
      <c r="AE19" s="37">
        <v>-10.16</v>
      </c>
      <c r="AF19" s="37">
        <v>-5.7770693181818178</v>
      </c>
      <c r="AG19" s="37">
        <v>0</v>
      </c>
    </row>
    <row r="20" spans="1:33" ht="15.75" customHeight="1" x14ac:dyDescent="0.2">
      <c r="A20" s="26" t="s">
        <v>65</v>
      </c>
      <c r="B20" s="26" t="s">
        <v>322</v>
      </c>
      <c r="C20" s="14">
        <f t="shared" si="4"/>
        <v>28.990000000000006</v>
      </c>
      <c r="D20" s="27">
        <v>58</v>
      </c>
      <c r="E20" s="27">
        <v>2</v>
      </c>
      <c r="F20" s="30">
        <v>1681.4200000000003</v>
      </c>
      <c r="G20" s="28">
        <v>-40.580000000000005</v>
      </c>
      <c r="H20" s="29">
        <f t="shared" si="1"/>
        <v>2.4134362622069441E-2</v>
      </c>
      <c r="I20" s="29">
        <f t="shared" si="2"/>
        <v>0.26539148397776835</v>
      </c>
      <c r="J20" s="30">
        <f t="shared" si="5"/>
        <v>446.23454898989934</v>
      </c>
      <c r="K20" s="30">
        <f t="shared" si="3"/>
        <v>7.6936991205155056</v>
      </c>
      <c r="L20" s="27">
        <v>231</v>
      </c>
      <c r="M20" s="31">
        <f t="shared" si="6"/>
        <v>0.25108225108225107</v>
      </c>
      <c r="N20" s="27">
        <v>204</v>
      </c>
      <c r="O20" s="32">
        <f t="shared" ref="O20:P20" si="28">D20/7</f>
        <v>8.2857142857142865</v>
      </c>
      <c r="P20" s="32">
        <f t="shared" si="28"/>
        <v>0.2857142857142857</v>
      </c>
      <c r="Q20" s="27">
        <f t="shared" si="8"/>
        <v>23</v>
      </c>
      <c r="R20" s="27"/>
      <c r="S20" s="33">
        <v>2.48428019856591</v>
      </c>
      <c r="T20" s="26">
        <v>3238</v>
      </c>
      <c r="U20" s="34">
        <v>558</v>
      </c>
      <c r="V20" s="35" t="s">
        <v>324</v>
      </c>
      <c r="W20" s="26">
        <v>3</v>
      </c>
      <c r="X20" s="36">
        <f t="shared" si="9"/>
        <v>5.1724137931034482E-2</v>
      </c>
      <c r="Y20" s="37">
        <f t="shared" si="10"/>
        <v>8.1160000000000014</v>
      </c>
      <c r="Z20" s="26">
        <v>2</v>
      </c>
      <c r="AA20" s="26" t="s">
        <v>250</v>
      </c>
      <c r="AB20" s="38">
        <f t="shared" si="11"/>
        <v>-0.48</v>
      </c>
      <c r="AC20" s="39">
        <v>0.32403790509259262</v>
      </c>
      <c r="AD20" s="37">
        <f t="shared" si="12"/>
        <v>-18.042430555555555</v>
      </c>
      <c r="AE20" s="37">
        <v>-10.16</v>
      </c>
      <c r="AF20" s="37">
        <v>-5.7770693181818178</v>
      </c>
      <c r="AG20" s="37">
        <v>0</v>
      </c>
    </row>
    <row r="21" spans="1:33" ht="15.75" customHeight="1" x14ac:dyDescent="0.2">
      <c r="A21" s="26" t="s">
        <v>66</v>
      </c>
      <c r="B21" s="26" t="s">
        <v>322</v>
      </c>
      <c r="C21" s="14">
        <f t="shared" si="4"/>
        <v>28.373191489361705</v>
      </c>
      <c r="D21" s="27">
        <v>47</v>
      </c>
      <c r="E21" s="27">
        <v>2</v>
      </c>
      <c r="F21" s="30">
        <v>1333.5400000000002</v>
      </c>
      <c r="G21" s="28">
        <v>-44.779999999999994</v>
      </c>
      <c r="H21" s="29">
        <f t="shared" si="1"/>
        <v>3.3579795131754568E-2</v>
      </c>
      <c r="I21" s="29">
        <f t="shared" si="2"/>
        <v>0.24376183074199276</v>
      </c>
      <c r="J21" s="30">
        <f t="shared" si="5"/>
        <v>325.06615176767707</v>
      </c>
      <c r="K21" s="30">
        <f t="shared" si="3"/>
        <v>6.916301101439938</v>
      </c>
      <c r="L21" s="27">
        <v>128</v>
      </c>
      <c r="M21" s="31">
        <f t="shared" si="6"/>
        <v>0.3671875</v>
      </c>
      <c r="N21" s="27">
        <v>153</v>
      </c>
      <c r="O21" s="32">
        <f t="shared" ref="O21:P21" si="29">D21/7</f>
        <v>6.7142857142857144</v>
      </c>
      <c r="P21" s="32">
        <f t="shared" si="29"/>
        <v>0.2857142857142857</v>
      </c>
      <c r="Q21" s="27">
        <f t="shared" si="8"/>
        <v>21</v>
      </c>
      <c r="R21" s="27"/>
      <c r="S21" s="33">
        <v>2.7005579665220001</v>
      </c>
      <c r="T21" s="26" t="s">
        <v>34</v>
      </c>
      <c r="U21" s="34" t="s">
        <v>34</v>
      </c>
      <c r="V21" s="35" t="s">
        <v>34</v>
      </c>
      <c r="W21" s="26">
        <v>2</v>
      </c>
      <c r="X21" s="36">
        <f t="shared" si="9"/>
        <v>4.2553191489361701E-2</v>
      </c>
      <c r="Y21" s="37">
        <f t="shared" si="10"/>
        <v>6.3971428571428559</v>
      </c>
      <c r="Z21" s="26">
        <v>5</v>
      </c>
      <c r="AA21" s="26" t="s">
        <v>250</v>
      </c>
      <c r="AB21" s="38">
        <f t="shared" si="11"/>
        <v>-0.48</v>
      </c>
      <c r="AC21" s="39">
        <v>0.32403790509259262</v>
      </c>
      <c r="AD21" s="37">
        <f t="shared" si="12"/>
        <v>-14.620590277777778</v>
      </c>
      <c r="AE21" s="37">
        <v>-10.16</v>
      </c>
      <c r="AF21" s="37">
        <v>-5.7770693181818178</v>
      </c>
      <c r="AG21" s="37">
        <v>0</v>
      </c>
    </row>
    <row r="22" spans="1:33" ht="15.75" customHeight="1" x14ac:dyDescent="0.2">
      <c r="A22" s="26" t="s">
        <v>67</v>
      </c>
      <c r="B22" s="26" t="s">
        <v>325</v>
      </c>
      <c r="C22" s="14">
        <f t="shared" si="4"/>
        <v>28.331136363636368</v>
      </c>
      <c r="D22" s="27">
        <v>44</v>
      </c>
      <c r="E22" s="27">
        <v>1</v>
      </c>
      <c r="F22" s="28">
        <v>1246.5700000000002</v>
      </c>
      <c r="G22" s="28">
        <v>-45.780000000000008</v>
      </c>
      <c r="H22" s="29">
        <f t="shared" si="1"/>
        <v>3.6724772776498715E-2</v>
      </c>
      <c r="I22" s="29">
        <f t="shared" si="2"/>
        <v>0.23976679118612593</v>
      </c>
      <c r="J22" s="30">
        <f t="shared" si="5"/>
        <v>298.88608888888905</v>
      </c>
      <c r="K22" s="30">
        <f t="shared" si="3"/>
        <v>6.7928656565656604</v>
      </c>
      <c r="L22" s="27">
        <v>186</v>
      </c>
      <c r="M22" s="31">
        <f t="shared" si="6"/>
        <v>0.23655913978494625</v>
      </c>
      <c r="N22" s="27">
        <v>103</v>
      </c>
      <c r="O22" s="32">
        <f t="shared" ref="O22:P22" si="30">D22/7</f>
        <v>6.2857142857142856</v>
      </c>
      <c r="P22" s="32">
        <f t="shared" si="30"/>
        <v>0.14285714285714285</v>
      </c>
      <c r="Q22" s="27">
        <f t="shared" si="8"/>
        <v>16</v>
      </c>
      <c r="R22" s="27"/>
      <c r="S22" s="33">
        <v>1.7348581109699199</v>
      </c>
      <c r="T22" s="26" t="s">
        <v>34</v>
      </c>
      <c r="U22" s="34" t="s">
        <v>34</v>
      </c>
      <c r="V22" s="35" t="s">
        <v>34</v>
      </c>
      <c r="W22" s="26">
        <v>3</v>
      </c>
      <c r="X22" s="36">
        <f t="shared" si="9"/>
        <v>6.8181818181818177E-2</v>
      </c>
      <c r="Y22" s="37">
        <f t="shared" si="10"/>
        <v>6.5400000000000009</v>
      </c>
      <c r="Z22" s="26">
        <v>4</v>
      </c>
      <c r="AA22" s="26" t="s">
        <v>250</v>
      </c>
      <c r="AB22" s="38">
        <f t="shared" si="11"/>
        <v>-0.48</v>
      </c>
      <c r="AC22" s="39">
        <v>0.32403790509259262</v>
      </c>
      <c r="AD22" s="37">
        <f t="shared" si="12"/>
        <v>-13.687361111111111</v>
      </c>
      <c r="AE22" s="37">
        <v>-10.16</v>
      </c>
      <c r="AF22" s="37">
        <v>-5.7770693181818178</v>
      </c>
      <c r="AG22" s="37">
        <v>0</v>
      </c>
    </row>
    <row r="23" spans="1:33" ht="15.75" customHeight="1" x14ac:dyDescent="0.2">
      <c r="A23" s="26" t="s">
        <v>68</v>
      </c>
      <c r="B23" s="26" t="s">
        <v>326</v>
      </c>
      <c r="C23" s="14">
        <f t="shared" si="4"/>
        <v>28.4574358974359</v>
      </c>
      <c r="D23" s="27">
        <v>39</v>
      </c>
      <c r="E23" s="27">
        <v>2</v>
      </c>
      <c r="F23" s="30">
        <v>1109.8400000000001</v>
      </c>
      <c r="G23" s="28">
        <v>-54.26</v>
      </c>
      <c r="H23" s="29">
        <f t="shared" si="1"/>
        <v>4.8889930080011523E-2</v>
      </c>
      <c r="I23" s="29">
        <f t="shared" si="2"/>
        <v>0.23014697381986829</v>
      </c>
      <c r="J23" s="30">
        <f t="shared" si="5"/>
        <v>255.42631742424265</v>
      </c>
      <c r="K23" s="30">
        <f t="shared" si="3"/>
        <v>6.5493927544677604</v>
      </c>
      <c r="L23" s="27">
        <v>178</v>
      </c>
      <c r="M23" s="31">
        <f t="shared" si="6"/>
        <v>0.21910112359550563</v>
      </c>
      <c r="N23" s="27">
        <v>66</v>
      </c>
      <c r="O23" s="32">
        <f t="shared" ref="O23:P23" si="31">D23/7</f>
        <v>5.5714285714285712</v>
      </c>
      <c r="P23" s="32">
        <f t="shared" si="31"/>
        <v>0.2857142857142857</v>
      </c>
      <c r="Q23" s="27">
        <f t="shared" si="8"/>
        <v>11</v>
      </c>
      <c r="R23" s="27"/>
      <c r="S23" s="33">
        <v>1.8761726078799199</v>
      </c>
      <c r="T23" s="26">
        <v>3580</v>
      </c>
      <c r="U23" s="34">
        <v>558</v>
      </c>
      <c r="V23" s="35" t="s">
        <v>327</v>
      </c>
      <c r="W23" s="26">
        <v>3</v>
      </c>
      <c r="X23" s="36">
        <f t="shared" si="9"/>
        <v>7.6923076923076927E-2</v>
      </c>
      <c r="Y23" s="37">
        <f t="shared" si="10"/>
        <v>10.852</v>
      </c>
      <c r="Z23" s="26">
        <v>2</v>
      </c>
      <c r="AA23" s="26" t="s">
        <v>250</v>
      </c>
      <c r="AB23" s="38">
        <f t="shared" si="11"/>
        <v>-0.48</v>
      </c>
      <c r="AC23" s="39">
        <v>0.32403790509259262</v>
      </c>
      <c r="AD23" s="37">
        <f t="shared" si="12"/>
        <v>-12.131979166666667</v>
      </c>
      <c r="AE23" s="37">
        <v>-10.16</v>
      </c>
      <c r="AF23" s="37">
        <v>-5.7770693181818178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25.689230769230772</v>
      </c>
      <c r="D24" s="27">
        <v>39</v>
      </c>
      <c r="E24" s="27">
        <v>1</v>
      </c>
      <c r="F24" s="30">
        <v>1001.8800000000001</v>
      </c>
      <c r="G24" s="30">
        <v>-45.34</v>
      </c>
      <c r="H24" s="29">
        <f t="shared" si="1"/>
        <v>4.5254920748991893E-2</v>
      </c>
      <c r="I24" s="29">
        <f t="shared" si="2"/>
        <v>0.17225647525077095</v>
      </c>
      <c r="J24" s="30">
        <f t="shared" si="5"/>
        <v>172.58031742424242</v>
      </c>
      <c r="K24" s="30">
        <f t="shared" si="3"/>
        <v>4.4251363442113441</v>
      </c>
      <c r="L24" s="27">
        <v>183</v>
      </c>
      <c r="M24" s="31">
        <f t="shared" si="6"/>
        <v>0.21311475409836064</v>
      </c>
      <c r="N24" s="27">
        <v>25</v>
      </c>
      <c r="O24" s="32">
        <f t="shared" ref="O24:P24" si="32">D24/7</f>
        <v>5.5714285714285712</v>
      </c>
      <c r="P24" s="32">
        <f t="shared" si="32"/>
        <v>0.14285714285714285</v>
      </c>
      <c r="Q24" s="27">
        <f t="shared" si="8"/>
        <v>4</v>
      </c>
      <c r="R24" s="27"/>
      <c r="S24" s="33">
        <v>2.0065789473684199</v>
      </c>
      <c r="T24" s="26">
        <v>3580</v>
      </c>
      <c r="U24" s="34">
        <v>558</v>
      </c>
      <c r="V24" s="35" t="s">
        <v>328</v>
      </c>
      <c r="W24" s="26">
        <v>5</v>
      </c>
      <c r="X24" s="36">
        <f t="shared" si="9"/>
        <v>0.12820512820512819</v>
      </c>
      <c r="Y24" s="37">
        <f t="shared" si="10"/>
        <v>5.0377777777777784</v>
      </c>
      <c r="Z24" s="26">
        <v>4</v>
      </c>
      <c r="AA24" s="26" t="s">
        <v>250</v>
      </c>
      <c r="AB24" s="38">
        <f t="shared" si="11"/>
        <v>-0.48</v>
      </c>
      <c r="AC24" s="39">
        <v>0.32403790509259262</v>
      </c>
      <c r="AD24" s="37">
        <f t="shared" si="12"/>
        <v>-12.131979166666667</v>
      </c>
      <c r="AE24" s="37">
        <v>-10.16</v>
      </c>
      <c r="AF24" s="37">
        <v>-5.7770693181818178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24.990000000000002</v>
      </c>
      <c r="D25" s="15">
        <v>15</v>
      </c>
      <c r="E25" s="15">
        <v>1</v>
      </c>
      <c r="F25" s="16">
        <v>374.85</v>
      </c>
      <c r="G25" s="16">
        <v>-7.13</v>
      </c>
      <c r="H25" s="29">
        <f t="shared" si="1"/>
        <v>1.902094171001734E-2</v>
      </c>
      <c r="I25" s="29">
        <f t="shared" si="2"/>
        <v>0.18067588146369662</v>
      </c>
      <c r="J25" s="30">
        <f t="shared" si="5"/>
        <v>67.726354166666681</v>
      </c>
      <c r="K25" s="30">
        <f t="shared" si="3"/>
        <v>4.5150902777777784</v>
      </c>
      <c r="L25" s="15">
        <v>177</v>
      </c>
      <c r="M25" s="31">
        <f t="shared" si="6"/>
        <v>8.4745762711864403E-2</v>
      </c>
      <c r="N25" s="15">
        <v>3</v>
      </c>
      <c r="O25" s="32">
        <f t="shared" ref="O25:P25" si="33">D25/7</f>
        <v>2.1428571428571428</v>
      </c>
      <c r="P25" s="32">
        <f t="shared" si="33"/>
        <v>0.14285714285714285</v>
      </c>
      <c r="Q25" s="27">
        <f t="shared" si="8"/>
        <v>1</v>
      </c>
      <c r="R25" s="27"/>
      <c r="S25" s="41">
        <v>0</v>
      </c>
      <c r="T25" s="26">
        <v>3580</v>
      </c>
      <c r="U25" s="34">
        <v>558</v>
      </c>
      <c r="V25" s="35" t="s">
        <v>329</v>
      </c>
      <c r="W25" s="40">
        <v>1</v>
      </c>
      <c r="X25" s="36">
        <f t="shared" si="9"/>
        <v>6.6666666666666666E-2</v>
      </c>
      <c r="Y25" s="37">
        <f t="shared" si="10"/>
        <v>3.5649999999999999</v>
      </c>
      <c r="Z25" s="40">
        <v>1</v>
      </c>
      <c r="AA25" s="26" t="s">
        <v>250</v>
      </c>
      <c r="AB25" s="38">
        <f t="shared" si="11"/>
        <v>-0.48</v>
      </c>
      <c r="AC25" s="39">
        <v>0.32403790509259262</v>
      </c>
      <c r="AD25" s="37">
        <f t="shared" si="12"/>
        <v>-4.6661458333333332</v>
      </c>
      <c r="AE25" s="42">
        <v>-10.16</v>
      </c>
      <c r="AF25" s="42">
        <v>-5.78</v>
      </c>
      <c r="AG25" s="42">
        <v>0</v>
      </c>
    </row>
    <row r="26" spans="1:33" ht="15.75" customHeight="1" x14ac:dyDescent="0.2">
      <c r="A26" s="40" t="s">
        <v>75</v>
      </c>
      <c r="B26" s="26" t="s">
        <v>76</v>
      </c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3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3580</v>
      </c>
      <c r="U26" s="34">
        <v>558</v>
      </c>
      <c r="V26" s="35" t="s">
        <v>330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0.32403790509259262</v>
      </c>
      <c r="AD26" s="37">
        <f t="shared" si="12"/>
        <v>0</v>
      </c>
      <c r="AE26" s="42">
        <v>-10.16</v>
      </c>
      <c r="AF26" s="42">
        <v>-5.7770693181818098</v>
      </c>
      <c r="AG26" s="42">
        <v>0</v>
      </c>
    </row>
    <row r="27" spans="1:33" ht="15.75" customHeight="1" x14ac:dyDescent="0.2">
      <c r="A27" s="40" t="s">
        <v>77</v>
      </c>
      <c r="B27" s="40" t="s">
        <v>331</v>
      </c>
      <c r="C27" s="14">
        <f t="shared" si="4"/>
        <v>24.99</v>
      </c>
      <c r="D27" s="15">
        <v>4</v>
      </c>
      <c r="E27" s="15">
        <v>0</v>
      </c>
      <c r="F27" s="16">
        <v>99.96</v>
      </c>
      <c r="G27" s="16">
        <v>-22.45</v>
      </c>
      <c r="H27" s="29">
        <f t="shared" si="1"/>
        <v>0.22458983593437376</v>
      </c>
      <c r="I27" s="29">
        <f t="shared" si="2"/>
        <v>-4.0782141139283738E-2</v>
      </c>
      <c r="J27" s="30">
        <f t="shared" si="5"/>
        <v>-4.0765828282828025</v>
      </c>
      <c r="K27" s="30">
        <f t="shared" si="3"/>
        <v>-1.0191457070707006</v>
      </c>
      <c r="L27" s="15">
        <v>129</v>
      </c>
      <c r="M27" s="31">
        <f t="shared" si="6"/>
        <v>3.1007751937984496E-2</v>
      </c>
      <c r="N27" s="15">
        <v>559</v>
      </c>
      <c r="O27" s="32">
        <f t="shared" ref="O27:P27" si="35">D27/7</f>
        <v>0.5714285714285714</v>
      </c>
      <c r="P27" s="32">
        <f t="shared" si="35"/>
        <v>0</v>
      </c>
      <c r="Q27" s="27">
        <f t="shared" si="8"/>
        <v>978</v>
      </c>
      <c r="R27" s="27"/>
      <c r="S27" s="41">
        <v>1.5141800246609129</v>
      </c>
      <c r="T27" s="26">
        <v>3022</v>
      </c>
      <c r="U27" s="34">
        <v>900</v>
      </c>
      <c r="V27" s="35" t="s">
        <v>332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0.32403790509259262</v>
      </c>
      <c r="AD27" s="37">
        <f t="shared" si="12"/>
        <v>-1.2443055555555556</v>
      </c>
      <c r="AE27" s="42">
        <v>-10.56</v>
      </c>
      <c r="AF27" s="42">
        <v>-5.7770693181818098</v>
      </c>
      <c r="AG27" s="42">
        <v>0</v>
      </c>
    </row>
    <row r="28" spans="1:33" ht="15.75" customHeight="1" x14ac:dyDescent="0.2">
      <c r="A28" s="40" t="s">
        <v>79</v>
      </c>
      <c r="B28" s="40" t="s">
        <v>333</v>
      </c>
      <c r="C28" s="14">
        <f t="shared" si="4"/>
        <v>24.99</v>
      </c>
      <c r="D28" s="15">
        <v>23</v>
      </c>
      <c r="E28" s="15">
        <v>3</v>
      </c>
      <c r="F28" s="16">
        <v>574.77</v>
      </c>
      <c r="G28" s="16">
        <v>-88.569999999999979</v>
      </c>
      <c r="H28" s="29">
        <f t="shared" si="1"/>
        <v>0.15409642117716649</v>
      </c>
      <c r="I28" s="29">
        <f t="shared" si="2"/>
        <v>2.9711273617923525E-2</v>
      </c>
      <c r="J28" s="30">
        <f t="shared" si="5"/>
        <v>17.077148737373903</v>
      </c>
      <c r="K28" s="30">
        <f t="shared" si="3"/>
        <v>0.74248472771190888</v>
      </c>
      <c r="L28" s="15">
        <v>181</v>
      </c>
      <c r="M28" s="31">
        <f t="shared" si="6"/>
        <v>0.1270718232044199</v>
      </c>
      <c r="N28" s="15">
        <v>533</v>
      </c>
      <c r="O28" s="32">
        <f t="shared" ref="O28:P28" si="36">D28/7</f>
        <v>3.2857142857142856</v>
      </c>
      <c r="P28" s="32">
        <f t="shared" si="36"/>
        <v>0.42857142857142855</v>
      </c>
      <c r="Q28" s="27">
        <f t="shared" si="8"/>
        <v>143</v>
      </c>
      <c r="R28" s="27"/>
      <c r="S28" s="41">
        <v>1.5427380125086869</v>
      </c>
      <c r="T28" s="40">
        <v>1222</v>
      </c>
      <c r="U28" s="22">
        <v>900</v>
      </c>
      <c r="V28" s="1" t="s">
        <v>334</v>
      </c>
      <c r="W28" s="40">
        <v>4</v>
      </c>
      <c r="X28" s="36">
        <f t="shared" si="9"/>
        <v>0.17391304347826086</v>
      </c>
      <c r="Y28" s="37">
        <f t="shared" si="10"/>
        <v>9.8411111111111094</v>
      </c>
      <c r="Z28" s="40">
        <v>5</v>
      </c>
      <c r="AA28" s="26" t="s">
        <v>250</v>
      </c>
      <c r="AB28" s="38">
        <f t="shared" si="11"/>
        <v>-0.48</v>
      </c>
      <c r="AC28" s="39">
        <v>0.32403790509259262</v>
      </c>
      <c r="AD28" s="37">
        <f t="shared" si="12"/>
        <v>-7.1547569444444443</v>
      </c>
      <c r="AE28" s="42">
        <v>-10.56</v>
      </c>
      <c r="AF28" s="42">
        <v>-5.7770693181818098</v>
      </c>
      <c r="AG28" s="42">
        <v>0</v>
      </c>
    </row>
    <row r="29" spans="1:33" ht="15.75" customHeight="1" x14ac:dyDescent="0.2">
      <c r="A29" s="26" t="s">
        <v>82</v>
      </c>
      <c r="B29" s="26" t="s">
        <v>105</v>
      </c>
      <c r="C29" s="14">
        <f t="shared" si="4"/>
        <v>24.990000000000002</v>
      </c>
      <c r="D29" s="27">
        <v>56</v>
      </c>
      <c r="E29" s="27">
        <v>2</v>
      </c>
      <c r="F29" s="30">
        <v>1399.44</v>
      </c>
      <c r="G29" s="30">
        <v>-144.27000000000001</v>
      </c>
      <c r="H29" s="29">
        <f t="shared" si="1"/>
        <v>0.10309123649459784</v>
      </c>
      <c r="I29" s="29">
        <f t="shared" si="2"/>
        <v>8.0716458300492316E-2</v>
      </c>
      <c r="J29" s="30">
        <f t="shared" si="5"/>
        <v>112.95784040404098</v>
      </c>
      <c r="K29" s="30">
        <f t="shared" si="3"/>
        <v>2.0171042929293033</v>
      </c>
      <c r="L29" s="27">
        <v>255</v>
      </c>
      <c r="M29" s="31">
        <f t="shared" si="6"/>
        <v>0.2196078431372549</v>
      </c>
      <c r="N29" s="15">
        <v>481</v>
      </c>
      <c r="O29" s="32">
        <f t="shared" ref="O29:P29" si="37">D29/7</f>
        <v>8</v>
      </c>
      <c r="P29" s="32">
        <f t="shared" si="37"/>
        <v>0.2857142857142857</v>
      </c>
      <c r="Q29" s="27">
        <f t="shared" si="8"/>
        <v>58</v>
      </c>
      <c r="R29" s="27"/>
      <c r="S29" s="41">
        <v>1.7743850720949961</v>
      </c>
      <c r="T29" s="40" t="s">
        <v>34</v>
      </c>
      <c r="U29" s="22" t="s">
        <v>34</v>
      </c>
      <c r="V29" s="1" t="s">
        <v>34</v>
      </c>
      <c r="W29" s="40">
        <v>10</v>
      </c>
      <c r="X29" s="36">
        <f t="shared" si="9"/>
        <v>0.17857142857142858</v>
      </c>
      <c r="Y29" s="37">
        <f t="shared" si="10"/>
        <v>6.87</v>
      </c>
      <c r="Z29" s="40">
        <v>11</v>
      </c>
      <c r="AA29" s="26" t="s">
        <v>250</v>
      </c>
      <c r="AB29" s="38">
        <f t="shared" si="11"/>
        <v>-0.48</v>
      </c>
      <c r="AC29" s="39">
        <v>0.32403790509259262</v>
      </c>
      <c r="AD29" s="37">
        <f t="shared" si="12"/>
        <v>-17.420277777777777</v>
      </c>
      <c r="AE29" s="37">
        <v>-10.56</v>
      </c>
      <c r="AF29" s="42">
        <v>-5.7770693181818098</v>
      </c>
      <c r="AG29" s="37">
        <v>0</v>
      </c>
    </row>
    <row r="30" spans="1:33" ht="15.75" customHeight="1" x14ac:dyDescent="0.2">
      <c r="A30" s="40" t="s">
        <v>84</v>
      </c>
      <c r="B30" s="40" t="s">
        <v>335</v>
      </c>
      <c r="C30" s="14">
        <f t="shared" si="4"/>
        <v>24.990000000000006</v>
      </c>
      <c r="D30" s="15">
        <v>49</v>
      </c>
      <c r="E30" s="15">
        <v>0</v>
      </c>
      <c r="F30" s="16">
        <v>1224.5100000000002</v>
      </c>
      <c r="G30" s="16">
        <v>-123.36</v>
      </c>
      <c r="H30" s="29">
        <f t="shared" si="1"/>
        <v>0.10074233775142709</v>
      </c>
      <c r="I30" s="29">
        <f t="shared" si="2"/>
        <v>1.0392879601387114E-2</v>
      </c>
      <c r="J30" s="30">
        <f t="shared" si="5"/>
        <v>12.726185000694537</v>
      </c>
      <c r="K30" s="30">
        <f t="shared" si="3"/>
        <v>0.25971806123866403</v>
      </c>
      <c r="L30" s="15">
        <v>197</v>
      </c>
      <c r="M30" s="31">
        <f t="shared" si="6"/>
        <v>0.24873096446700507</v>
      </c>
      <c r="N30" s="15">
        <v>403</v>
      </c>
      <c r="O30" s="32">
        <f t="shared" ref="O30:P30" si="38">D30/7</f>
        <v>7</v>
      </c>
      <c r="P30" s="32">
        <f t="shared" si="38"/>
        <v>0</v>
      </c>
      <c r="Q30" s="27">
        <f t="shared" si="8"/>
        <v>57</v>
      </c>
      <c r="R30" s="27"/>
      <c r="S30" s="41">
        <v>2.167550371155885</v>
      </c>
      <c r="T30" s="26">
        <v>2122</v>
      </c>
      <c r="U30" s="34">
        <v>900</v>
      </c>
      <c r="V30" s="35" t="s">
        <v>336</v>
      </c>
      <c r="W30" s="40">
        <v>13</v>
      </c>
      <c r="X30" s="36">
        <f t="shared" si="9"/>
        <v>0.26530612244897961</v>
      </c>
      <c r="Y30" s="37">
        <f t="shared" si="10"/>
        <v>6.1680000000000001</v>
      </c>
      <c r="Z30" s="40">
        <v>7</v>
      </c>
      <c r="AA30" s="26" t="s">
        <v>250</v>
      </c>
      <c r="AB30" s="38">
        <f t="shared" si="11"/>
        <v>-0.48</v>
      </c>
      <c r="AC30" s="39">
        <v>0.32403790509259262</v>
      </c>
      <c r="AD30" s="37">
        <f t="shared" si="12"/>
        <v>-15.242743055555556</v>
      </c>
      <c r="AE30" s="42">
        <v>-10.56</v>
      </c>
      <c r="AF30" s="42">
        <v>-7.3074402437500003</v>
      </c>
      <c r="AG30" s="42">
        <v>-14</v>
      </c>
    </row>
    <row r="31" spans="1:33" ht="15.75" customHeight="1" x14ac:dyDescent="0.2">
      <c r="A31" s="40" t="s">
        <v>87</v>
      </c>
      <c r="B31" s="40" t="s">
        <v>105</v>
      </c>
      <c r="C31" s="14">
        <f t="shared" si="4"/>
        <v>24.990000000000006</v>
      </c>
      <c r="D31" s="15">
        <v>45</v>
      </c>
      <c r="E31" s="15">
        <v>1</v>
      </c>
      <c r="F31" s="16">
        <v>1124.5500000000002</v>
      </c>
      <c r="G31" s="43">
        <v>-134.59999999999997</v>
      </c>
      <c r="H31" s="29">
        <f t="shared" si="1"/>
        <v>0.1196923213729936</v>
      </c>
      <c r="I31" s="29">
        <f t="shared" si="2"/>
        <v>-1.4908851068204955E-2</v>
      </c>
      <c r="J31" s="30">
        <f t="shared" si="5"/>
        <v>-16.765748468749884</v>
      </c>
      <c r="K31" s="30">
        <f t="shared" si="3"/>
        <v>-0.37257218819444188</v>
      </c>
      <c r="L31" s="15">
        <v>252</v>
      </c>
      <c r="M31" s="31">
        <f t="shared" si="6"/>
        <v>0.17857142857142858</v>
      </c>
      <c r="N31" s="15">
        <v>383</v>
      </c>
      <c r="O31" s="32">
        <f t="shared" ref="O31:P31" si="39">D31/7</f>
        <v>6.4285714285714288</v>
      </c>
      <c r="P31" s="32">
        <f t="shared" si="39"/>
        <v>0.14285714285714285</v>
      </c>
      <c r="Q31" s="27">
        <f t="shared" si="8"/>
        <v>58</v>
      </c>
      <c r="R31" s="27"/>
      <c r="S31" s="41">
        <v>2.1806311207834601</v>
      </c>
      <c r="T31" s="40">
        <v>1222</v>
      </c>
      <c r="U31" s="22">
        <v>900</v>
      </c>
      <c r="V31" s="1" t="s">
        <v>337</v>
      </c>
      <c r="W31" s="40">
        <v>8</v>
      </c>
      <c r="X31" s="36">
        <f t="shared" si="9"/>
        <v>0.17777777777777778</v>
      </c>
      <c r="Y31" s="37">
        <f t="shared" si="10"/>
        <v>6.1181818181818164</v>
      </c>
      <c r="Z31" s="40">
        <v>14</v>
      </c>
      <c r="AA31" s="40" t="s">
        <v>250</v>
      </c>
      <c r="AB31" s="38">
        <f t="shared" si="11"/>
        <v>-0.48</v>
      </c>
      <c r="AC31" s="44">
        <v>0.32403790509259262</v>
      </c>
      <c r="AD31" s="37">
        <f t="shared" si="12"/>
        <v>-13.9984375</v>
      </c>
      <c r="AE31" s="45">
        <v>-10.56</v>
      </c>
      <c r="AF31" s="45">
        <v>-7.3074402437500003</v>
      </c>
      <c r="AG31" s="42">
        <v>-20</v>
      </c>
    </row>
    <row r="32" spans="1:33" ht="15.75" customHeight="1" x14ac:dyDescent="0.2">
      <c r="A32" s="40" t="s">
        <v>90</v>
      </c>
      <c r="B32" s="50" t="s">
        <v>338</v>
      </c>
      <c r="C32" s="14">
        <f t="shared" si="4"/>
        <v>25.661851851851853</v>
      </c>
      <c r="D32" s="15">
        <v>54</v>
      </c>
      <c r="E32" s="15">
        <v>0</v>
      </c>
      <c r="F32" s="16">
        <v>1385.74</v>
      </c>
      <c r="G32" s="16">
        <v>-146.13</v>
      </c>
      <c r="H32" s="29">
        <f t="shared" si="1"/>
        <v>0.10545268232135899</v>
      </c>
      <c r="I32" s="29">
        <f t="shared" si="2"/>
        <v>2.9652761971941501E-3</v>
      </c>
      <c r="J32" s="30">
        <f t="shared" si="5"/>
        <v>4.1091018374998214</v>
      </c>
      <c r="K32" s="30">
        <f t="shared" si="3"/>
        <v>7.609447847221891E-2</v>
      </c>
      <c r="L32" s="15">
        <v>302</v>
      </c>
      <c r="M32" s="31">
        <f t="shared" si="6"/>
        <v>0.17880794701986755</v>
      </c>
      <c r="N32" s="15">
        <v>329</v>
      </c>
      <c r="O32" s="32">
        <f t="shared" ref="O32:P32" si="40">D32/7</f>
        <v>7.7142857142857144</v>
      </c>
      <c r="P32" s="32">
        <f t="shared" si="40"/>
        <v>0</v>
      </c>
      <c r="Q32" s="27">
        <f t="shared" si="8"/>
        <v>42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1.5502392344497611</v>
      </c>
      <c r="T32" s="40">
        <f ca="1">IFERROR(__xludf.DUMMYFUNCTION("IFERROR(VLOOKUP($B$2,IMPORTRANGE(""https://docs.google.com/spreadsheets/d/1KiWZV1ko8G7lnRucBRBd29jj3Be6ltMfljMDqzOkQmI/edit#gid=1381463014"",""Lookup!A:D""),4,FALSE),"""")"),1222)</f>
        <v>1222</v>
      </c>
      <c r="U32" s="22">
        <f ca="1">IFERROR(__xludf.DUMMYFUNCTION("IFERROR(VLOOKUP($B$2,IMPORTRANGE(""https://docs.google.com/spreadsheets/d/1KiWZV1ko8G7lnRucBRBd29jj3Be6ltMfljMDqzOkQmI/edit#gid=1381463014"",""Lookup!A:D""),3,FALSE),"""")"),900)</f>
        <v>900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- 900 units 07/22")</f>
        <v>| AGL232  - 900 units 07/22</v>
      </c>
      <c r="W32" s="40">
        <v>10</v>
      </c>
      <c r="X32" s="36">
        <f t="shared" si="9"/>
        <v>0.18518518518518517</v>
      </c>
      <c r="Y32" s="37">
        <f t="shared" si="10"/>
        <v>9.1331249999999997</v>
      </c>
      <c r="Z32" s="40">
        <v>6</v>
      </c>
      <c r="AA32" s="40" t="s">
        <v>250</v>
      </c>
      <c r="AB32" s="38">
        <f t="shared" si="11"/>
        <v>-0.48</v>
      </c>
      <c r="AC32" s="44">
        <v>0.32403790509259262</v>
      </c>
      <c r="AD32" s="37">
        <f t="shared" si="12"/>
        <v>-16.798124999999999</v>
      </c>
      <c r="AE32" s="42">
        <v>-10.56</v>
      </c>
      <c r="AF32" s="42">
        <v>-7.3074402437500003</v>
      </c>
      <c r="AG32" s="42">
        <v>-46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3.5" customWidth="1"/>
    <col min="28" max="28" width="11.1640625" customWidth="1"/>
    <col min="29" max="29" width="8.1640625" customWidth="1"/>
    <col min="30" max="30" width="12.5" customWidth="1"/>
    <col min="31" max="31" width="9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Info!B1:BJ5000""),3,FALSE),"""")"),"36x48"" Office Chair Mat Hardwood - w/Lip")</f>
        <v>36x48" Office Chair Mat Hardwood - w/Lip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Info!B1:BJ5000""),2,FALSE),"""")"),"B07DRLNWFW")</f>
        <v>B07DRLNWFW</v>
      </c>
      <c r="B2" s="3" t="s">
        <v>339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20.770979772058826</v>
      </c>
      <c r="D3" s="5">
        <f>SUM(D4:D99767)</f>
        <v>565</v>
      </c>
      <c r="E3" s="5"/>
      <c r="F3" s="6">
        <f t="shared" ref="F3:G3" si="0">SUM(F4:F99767)</f>
        <v>14492.199999999999</v>
      </c>
      <c r="G3" s="6">
        <f t="shared" si="0"/>
        <v>-1341.06</v>
      </c>
      <c r="H3" s="7">
        <f t="shared" ref="H3:H32" si="1">G3/F3*-1</f>
        <v>9.253667490098122E-2</v>
      </c>
      <c r="I3" s="8">
        <f t="shared" ref="I3:I32" si="2">J3/F3</f>
        <v>9.8098155660001241E-2</v>
      </c>
      <c r="J3" s="6">
        <f>SUM(J4:J99767)</f>
        <v>1421.6580914558699</v>
      </c>
      <c r="K3" s="6">
        <f t="shared" ref="K3:K32" si="3">J3/D3</f>
        <v>2.5162090114263185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Sheet!a1:g5000""),2,FALSE),"""")"),"5.0 - March
5.0 - April
5.0 - May
5.0 - June
5.0 - July
5.0 - Aug
5.0 - Sept
5.0 - Oct
5.0 - Nov
5.0 - Dec
5.0 - Jan
5.0 - Feb")</f>
        <v>5.0 - March
5.0 - April
5.0 - May
5.0 - June
5.0 - July
5.0 - Aug
5.0 - Sept
5.0 - Oct
5.0 - Nov
5.0 - Dec
5.0 - Jan
5.0 -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QTY-2")</f>
        <v>Del QTY-2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81</v>
      </c>
      <c r="X3" s="7">
        <f>W3/D3</f>
        <v>0.14336283185840709</v>
      </c>
      <c r="Y3" s="6"/>
      <c r="Z3" s="5"/>
      <c r="AA3" s="5"/>
      <c r="AB3" s="5"/>
      <c r="AC3" s="5"/>
      <c r="AD3" s="6">
        <f>SUM(AD4:AD99767)</f>
        <v>-184.56969486288139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Info!B2:BZ3000""),37,FALSE)),"""")*-1"),-7.47533280625)</f>
        <v>-7.47533280625</v>
      </c>
      <c r="AG3" s="6">
        <f>SUM(AG4:AG99767)</f>
        <v>-37.04</v>
      </c>
    </row>
    <row r="4" spans="1:33" x14ac:dyDescent="0.2">
      <c r="A4" s="1" t="s">
        <v>32</v>
      </c>
      <c r="B4" s="2" t="s">
        <v>340</v>
      </c>
      <c r="C4" s="14">
        <f t="shared" ref="C4:C32" si="4">IFERROR(F4/D4," - ")</f>
        <v>30.802999999999997</v>
      </c>
      <c r="D4" s="15">
        <v>10</v>
      </c>
      <c r="E4" s="15">
        <v>0</v>
      </c>
      <c r="F4" s="16">
        <v>308.02999999999997</v>
      </c>
      <c r="G4" s="16">
        <v>-75.050000000000011</v>
      </c>
      <c r="H4" s="17">
        <f t="shared" si="1"/>
        <v>0.24364509950329519</v>
      </c>
      <c r="I4" s="17">
        <f t="shared" si="2"/>
        <v>7.6764911967448946E-2</v>
      </c>
      <c r="J4" s="16">
        <f t="shared" ref="J4:J32" si="5">F4*0.85+G4+AF4*D4+D4*AE4+AG4+AD4</f>
        <v>23.645895833333299</v>
      </c>
      <c r="K4" s="16">
        <f t="shared" si="3"/>
        <v>2.3645895833333297</v>
      </c>
      <c r="L4" s="15">
        <v>128</v>
      </c>
      <c r="M4" s="18">
        <f t="shared" ref="M4:M32" si="6">IFERROR(D4/L4,"-")</f>
        <v>7.8125E-2</v>
      </c>
      <c r="N4" s="15">
        <v>460</v>
      </c>
      <c r="O4" s="19">
        <f t="shared" ref="O4:P4" si="7">D4/7</f>
        <v>1.4285714285714286</v>
      </c>
      <c r="P4" s="19">
        <f t="shared" si="7"/>
        <v>0</v>
      </c>
      <c r="Q4" s="15">
        <f t="shared" ref="Q4:Q32" si="8">ROUNDDOWN(N4/(O4+P4),0)</f>
        <v>322</v>
      </c>
      <c r="R4" s="15"/>
      <c r="S4" s="20">
        <v>0.611309220580743</v>
      </c>
      <c r="T4" s="2">
        <v>737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0.2</v>
      </c>
      <c r="Y4" s="24">
        <f t="shared" ref="Y4:Y32" si="10">IFERROR(G4/(W4+Z4)*-1,0)</f>
        <v>25.016666666666669</v>
      </c>
      <c r="Z4" s="22">
        <v>1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0.34027777777777779</v>
      </c>
      <c r="AD4" s="24">
        <f t="shared" ref="AD4:AD32" si="12">IFERROR(AB4*AC4*D4*2,0)</f>
        <v>-3.2666666666666666</v>
      </c>
      <c r="AE4" s="24">
        <v>-9.7799999999999994</v>
      </c>
      <c r="AF4" s="24">
        <v>-6.2062937500000004</v>
      </c>
      <c r="AG4" s="24">
        <v>0</v>
      </c>
    </row>
    <row r="5" spans="1:33" ht="15.75" customHeight="1" x14ac:dyDescent="0.2">
      <c r="A5" s="26" t="s">
        <v>35</v>
      </c>
      <c r="B5" s="26" t="s">
        <v>341</v>
      </c>
      <c r="C5" s="14">
        <f t="shared" si="4"/>
        <v>29.296250000000001</v>
      </c>
      <c r="D5" s="27">
        <v>8</v>
      </c>
      <c r="E5" s="27">
        <v>1</v>
      </c>
      <c r="F5" s="28">
        <v>234.37</v>
      </c>
      <c r="G5" s="28">
        <v>-52.44</v>
      </c>
      <c r="H5" s="29">
        <f t="shared" si="1"/>
        <v>0.22374877330716386</v>
      </c>
      <c r="I5" s="29">
        <f t="shared" si="2"/>
        <v>6.941071156910826E-2</v>
      </c>
      <c r="J5" s="30">
        <f t="shared" si="5"/>
        <v>16.267788470451904</v>
      </c>
      <c r="K5" s="30">
        <f t="shared" si="3"/>
        <v>2.0334735588064881</v>
      </c>
      <c r="L5" s="27">
        <v>215</v>
      </c>
      <c r="M5" s="31">
        <f t="shared" si="6"/>
        <v>3.7209302325581395E-2</v>
      </c>
      <c r="N5" s="27">
        <v>448</v>
      </c>
      <c r="O5" s="32">
        <f t="shared" ref="O5:P5" si="13">D5/7</f>
        <v>1.1428571428571428</v>
      </c>
      <c r="P5" s="32">
        <f t="shared" si="13"/>
        <v>0.14285714285714285</v>
      </c>
      <c r="Q5" s="27">
        <f t="shared" si="8"/>
        <v>348</v>
      </c>
      <c r="R5" s="27"/>
      <c r="S5" s="33">
        <v>0.63872679045092795</v>
      </c>
      <c r="T5" s="26">
        <v>737</v>
      </c>
      <c r="U5" s="34" t="s">
        <v>34</v>
      </c>
      <c r="V5" s="35" t="s">
        <v>34</v>
      </c>
      <c r="W5" s="26">
        <v>1</v>
      </c>
      <c r="X5" s="36">
        <f t="shared" si="9"/>
        <v>0.125</v>
      </c>
      <c r="Y5" s="37">
        <f t="shared" si="10"/>
        <v>26.22</v>
      </c>
      <c r="Z5" s="26">
        <v>1</v>
      </c>
      <c r="AA5" s="26" t="s">
        <v>250</v>
      </c>
      <c r="AB5" s="38">
        <f t="shared" si="11"/>
        <v>-0.48</v>
      </c>
      <c r="AC5" s="39">
        <v>0.3406720741599073</v>
      </c>
      <c r="AD5" s="37">
        <f t="shared" si="12"/>
        <v>-2.616361529548088</v>
      </c>
      <c r="AE5" s="37">
        <v>-9.7799999999999994</v>
      </c>
      <c r="AF5" s="37">
        <v>-6.2062937500000004</v>
      </c>
      <c r="AG5" s="37">
        <v>0</v>
      </c>
    </row>
    <row r="6" spans="1:33" ht="15.75" customHeight="1" x14ac:dyDescent="0.2">
      <c r="A6" s="26" t="s">
        <v>38</v>
      </c>
      <c r="B6" s="26" t="s">
        <v>342</v>
      </c>
      <c r="C6" s="14">
        <f t="shared" si="4"/>
        <v>27.323333333333338</v>
      </c>
      <c r="D6" s="27">
        <v>12</v>
      </c>
      <c r="E6" s="27">
        <v>0</v>
      </c>
      <c r="F6" s="28">
        <v>327.88000000000005</v>
      </c>
      <c r="G6" s="28">
        <v>-32.46</v>
      </c>
      <c r="H6" s="29">
        <f t="shared" si="1"/>
        <v>9.8999634012443563E-2</v>
      </c>
      <c r="I6" s="29">
        <f t="shared" si="2"/>
        <v>0.15396631389532764</v>
      </c>
      <c r="J6" s="30">
        <f t="shared" si="5"/>
        <v>50.482475000000036</v>
      </c>
      <c r="K6" s="30">
        <f t="shared" si="3"/>
        <v>4.2068729166666694</v>
      </c>
      <c r="L6" s="27">
        <v>177</v>
      </c>
      <c r="M6" s="31">
        <f t="shared" si="6"/>
        <v>6.7796610169491525E-2</v>
      </c>
      <c r="N6" s="27">
        <v>438</v>
      </c>
      <c r="O6" s="32">
        <f t="shared" ref="O6:P6" si="14">D6/7</f>
        <v>1.7142857142857142</v>
      </c>
      <c r="P6" s="32">
        <f t="shared" si="14"/>
        <v>0</v>
      </c>
      <c r="Q6" s="27">
        <f t="shared" si="8"/>
        <v>255</v>
      </c>
      <c r="R6" s="27"/>
      <c r="S6" s="33">
        <v>0.53348339898705599</v>
      </c>
      <c r="T6" s="26">
        <v>737</v>
      </c>
      <c r="U6" s="34" t="s">
        <v>34</v>
      </c>
      <c r="V6" s="35"/>
      <c r="W6" s="26">
        <v>1</v>
      </c>
      <c r="X6" s="36">
        <f t="shared" si="9"/>
        <v>8.3333333333333329E-2</v>
      </c>
      <c r="Y6" s="37">
        <f t="shared" si="10"/>
        <v>16.23</v>
      </c>
      <c r="Z6" s="26">
        <v>1</v>
      </c>
      <c r="AA6" s="26" t="s">
        <v>250</v>
      </c>
      <c r="AB6" s="38">
        <f t="shared" si="11"/>
        <v>-0.48</v>
      </c>
      <c r="AC6" s="39">
        <v>0.34027777777777779</v>
      </c>
      <c r="AD6" s="37">
        <f t="shared" si="12"/>
        <v>-3.92</v>
      </c>
      <c r="AE6" s="37">
        <v>-9.7799999999999994</v>
      </c>
      <c r="AF6" s="37">
        <v>-6.2062937500000004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26.240000000000002</v>
      </c>
      <c r="D7" s="27">
        <v>8</v>
      </c>
      <c r="E7" s="27">
        <v>0</v>
      </c>
      <c r="F7" s="28">
        <v>209.92000000000002</v>
      </c>
      <c r="G7" s="28">
        <v>-9.02</v>
      </c>
      <c r="H7" s="29">
        <f t="shared" si="1"/>
        <v>4.2968749999999993E-2</v>
      </c>
      <c r="I7" s="29">
        <f t="shared" si="2"/>
        <v>0.18534830729166671</v>
      </c>
      <c r="J7" s="30">
        <f t="shared" si="5"/>
        <v>38.908316666666678</v>
      </c>
      <c r="K7" s="30">
        <f t="shared" si="3"/>
        <v>4.8635395833333348</v>
      </c>
      <c r="L7" s="27">
        <v>198</v>
      </c>
      <c r="M7" s="31">
        <f t="shared" si="6"/>
        <v>4.0404040404040407E-2</v>
      </c>
      <c r="N7" s="27">
        <v>424</v>
      </c>
      <c r="O7" s="32">
        <f t="shared" ref="O7:P7" si="15">D7/7</f>
        <v>1.1428571428571428</v>
      </c>
      <c r="P7" s="32">
        <f t="shared" si="15"/>
        <v>0</v>
      </c>
      <c r="Q7" s="27">
        <f t="shared" si="8"/>
        <v>371</v>
      </c>
      <c r="R7" s="27"/>
      <c r="S7" s="33">
        <v>0.41231343283582</v>
      </c>
      <c r="T7" s="26">
        <v>737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0.34027777777777779</v>
      </c>
      <c r="AD7" s="37">
        <f t="shared" si="12"/>
        <v>-2.6133333333333333</v>
      </c>
      <c r="AE7" s="37">
        <v>-9.7799999999999994</v>
      </c>
      <c r="AF7" s="37">
        <v>-6.2062937500000004</v>
      </c>
      <c r="AG7" s="37">
        <v>0</v>
      </c>
    </row>
    <row r="8" spans="1:33" ht="15.75" customHeight="1" x14ac:dyDescent="0.2">
      <c r="A8" s="26" t="s">
        <v>43</v>
      </c>
      <c r="B8" s="26" t="s">
        <v>343</v>
      </c>
      <c r="C8" s="14">
        <f t="shared" si="4"/>
        <v>25.990000000000006</v>
      </c>
      <c r="D8" s="27">
        <v>18</v>
      </c>
      <c r="E8" s="27">
        <v>1</v>
      </c>
      <c r="F8" s="28">
        <v>467.82000000000011</v>
      </c>
      <c r="G8" s="28">
        <v>-39.490000000000009</v>
      </c>
      <c r="H8" s="29">
        <f t="shared" si="1"/>
        <v>8.441280834508999E-2</v>
      </c>
      <c r="I8" s="29">
        <f t="shared" si="2"/>
        <v>0.13778162541148326</v>
      </c>
      <c r="J8" s="30">
        <f t="shared" si="5"/>
        <v>64.457000000000107</v>
      </c>
      <c r="K8" s="30">
        <f t="shared" si="3"/>
        <v>3.5809444444444503</v>
      </c>
      <c r="L8" s="27">
        <v>183</v>
      </c>
      <c r="M8" s="31">
        <f t="shared" si="6"/>
        <v>9.8360655737704916E-2</v>
      </c>
      <c r="N8" s="27">
        <v>409</v>
      </c>
      <c r="O8" s="32">
        <f t="shared" ref="O8:P8" si="16">D8/7</f>
        <v>2.5714285714285716</v>
      </c>
      <c r="P8" s="32">
        <f t="shared" si="16"/>
        <v>0.14285714285714285</v>
      </c>
      <c r="Q8" s="27">
        <f t="shared" si="8"/>
        <v>150</v>
      </c>
      <c r="R8" s="27"/>
      <c r="S8" s="33">
        <v>0.42553191489361702</v>
      </c>
      <c r="T8" s="26">
        <v>737</v>
      </c>
      <c r="U8" s="34" t="s">
        <v>34</v>
      </c>
      <c r="V8" s="35" t="s">
        <v>34</v>
      </c>
      <c r="W8" s="26">
        <v>3</v>
      </c>
      <c r="X8" s="36">
        <f t="shared" si="9"/>
        <v>0.16666666666666666</v>
      </c>
      <c r="Y8" s="37">
        <f t="shared" si="10"/>
        <v>4.9362500000000011</v>
      </c>
      <c r="Z8" s="26">
        <v>5</v>
      </c>
      <c r="AA8" s="26" t="s">
        <v>250</v>
      </c>
      <c r="AB8" s="38">
        <f t="shared" si="11"/>
        <v>-0.48</v>
      </c>
      <c r="AC8" s="39">
        <v>0.34027777777777779</v>
      </c>
      <c r="AD8" s="37">
        <f t="shared" si="12"/>
        <v>-5.88</v>
      </c>
      <c r="AE8" s="37">
        <v>-9.7799999999999994</v>
      </c>
      <c r="AF8" s="37">
        <v>-6.21</v>
      </c>
      <c r="AG8" s="37">
        <v>0</v>
      </c>
    </row>
    <row r="9" spans="1:33" ht="15.75" customHeight="1" x14ac:dyDescent="0.2">
      <c r="A9" s="26" t="s">
        <v>45</v>
      </c>
      <c r="B9" s="26" t="s">
        <v>344</v>
      </c>
      <c r="C9" s="14">
        <f t="shared" si="4"/>
        <v>23.170909090909092</v>
      </c>
      <c r="D9" s="27">
        <v>11</v>
      </c>
      <c r="E9" s="27">
        <v>0</v>
      </c>
      <c r="F9" s="28">
        <v>254.88</v>
      </c>
      <c r="G9" s="28">
        <v>-37.919999999999995</v>
      </c>
      <c r="H9" s="29">
        <f t="shared" si="1"/>
        <v>0.14877589453860637</v>
      </c>
      <c r="I9" s="29">
        <f t="shared" si="2"/>
        <v>-1.5610810315965663E-2</v>
      </c>
      <c r="J9" s="30">
        <f t="shared" si="5"/>
        <v>-3.9788833333333282</v>
      </c>
      <c r="K9" s="30">
        <f t="shared" si="3"/>
        <v>-0.36171666666666619</v>
      </c>
      <c r="L9" s="27">
        <v>165</v>
      </c>
      <c r="M9" s="31">
        <f t="shared" si="6"/>
        <v>6.6666666666666666E-2</v>
      </c>
      <c r="N9" s="27">
        <v>395</v>
      </c>
      <c r="O9" s="32">
        <f t="shared" ref="O9:P9" si="17">D9/7</f>
        <v>1.5714285714285714</v>
      </c>
      <c r="P9" s="32">
        <f t="shared" si="17"/>
        <v>0</v>
      </c>
      <c r="Q9" s="27">
        <f t="shared" si="8"/>
        <v>251</v>
      </c>
      <c r="R9" s="27"/>
      <c r="S9" s="33">
        <v>0.45449974861739501</v>
      </c>
      <c r="T9" s="26">
        <v>737</v>
      </c>
      <c r="U9" s="34" t="s">
        <v>34</v>
      </c>
      <c r="V9" s="35" t="s">
        <v>34</v>
      </c>
      <c r="W9" s="26">
        <v>1</v>
      </c>
      <c r="X9" s="36">
        <f t="shared" si="9"/>
        <v>9.0909090909090912E-2</v>
      </c>
      <c r="Y9" s="37">
        <f t="shared" si="10"/>
        <v>12.639999999999999</v>
      </c>
      <c r="Z9" s="26">
        <v>2</v>
      </c>
      <c r="AA9" s="26" t="s">
        <v>250</v>
      </c>
      <c r="AB9" s="38">
        <f t="shared" si="11"/>
        <v>-0.48</v>
      </c>
      <c r="AC9" s="39">
        <v>0.34027777777777779</v>
      </c>
      <c r="AD9" s="37">
        <f t="shared" si="12"/>
        <v>-3.5933333333333333</v>
      </c>
      <c r="AE9" s="37">
        <v>-9.7799999999999994</v>
      </c>
      <c r="AF9" s="37">
        <v>-6.50305</v>
      </c>
      <c r="AG9" s="37">
        <v>0</v>
      </c>
    </row>
    <row r="10" spans="1:33" ht="15.75" customHeight="1" x14ac:dyDescent="0.2">
      <c r="A10" s="26" t="s">
        <v>48</v>
      </c>
      <c r="B10" s="26" t="s">
        <v>345</v>
      </c>
      <c r="C10" s="14">
        <f t="shared" si="4"/>
        <v>24.078780487804881</v>
      </c>
      <c r="D10" s="27">
        <v>41</v>
      </c>
      <c r="E10" s="27">
        <v>0</v>
      </c>
      <c r="F10" s="28">
        <v>987.23000000000013</v>
      </c>
      <c r="G10" s="28">
        <v>-69.41</v>
      </c>
      <c r="H10" s="29">
        <f t="shared" si="1"/>
        <v>7.030783100189418E-2</v>
      </c>
      <c r="I10" s="29">
        <f t="shared" si="2"/>
        <v>8.9884947445546454E-2</v>
      </c>
      <c r="J10" s="30">
        <f t="shared" si="5"/>
        <v>88.737116666666836</v>
      </c>
      <c r="K10" s="30">
        <f t="shared" si="3"/>
        <v>2.1643199186991913</v>
      </c>
      <c r="L10" s="27">
        <v>238</v>
      </c>
      <c r="M10" s="31">
        <f t="shared" si="6"/>
        <v>0.17226890756302521</v>
      </c>
      <c r="N10" s="27">
        <v>356</v>
      </c>
      <c r="O10" s="32">
        <f t="shared" ref="O10:P10" si="18">D10/7</f>
        <v>5.8571428571428568</v>
      </c>
      <c r="P10" s="32">
        <f t="shared" si="18"/>
        <v>0</v>
      </c>
      <c r="Q10" s="27">
        <f t="shared" si="8"/>
        <v>60</v>
      </c>
      <c r="R10" s="27"/>
      <c r="S10" s="33">
        <v>0.51378055122204802</v>
      </c>
      <c r="T10" s="26">
        <v>737</v>
      </c>
      <c r="U10" s="34" t="s">
        <v>34</v>
      </c>
      <c r="V10" s="35" t="s">
        <v>34</v>
      </c>
      <c r="W10" s="26">
        <v>6</v>
      </c>
      <c r="X10" s="36">
        <f t="shared" si="9"/>
        <v>0.14634146341463414</v>
      </c>
      <c r="Y10" s="37">
        <f t="shared" si="10"/>
        <v>9.9157142857142855</v>
      </c>
      <c r="Z10" s="26">
        <v>1</v>
      </c>
      <c r="AA10" s="26" t="s">
        <v>250</v>
      </c>
      <c r="AB10" s="38">
        <f t="shared" si="11"/>
        <v>-0.48</v>
      </c>
      <c r="AC10" s="39">
        <v>0.34027777777777779</v>
      </c>
      <c r="AD10" s="37">
        <f t="shared" si="12"/>
        <v>-13.393333333333333</v>
      </c>
      <c r="AE10" s="37">
        <v>-9.7799999999999994</v>
      </c>
      <c r="AF10" s="37">
        <v>-6.50305</v>
      </c>
      <c r="AG10" s="37">
        <v>0</v>
      </c>
    </row>
    <row r="11" spans="1:33" ht="15.75" customHeight="1" x14ac:dyDescent="0.2">
      <c r="A11" s="26" t="s">
        <v>50</v>
      </c>
      <c r="B11" s="26" t="s">
        <v>346</v>
      </c>
      <c r="C11" s="14">
        <f t="shared" si="4"/>
        <v>24.075714285714291</v>
      </c>
      <c r="D11" s="27">
        <v>35</v>
      </c>
      <c r="E11" s="27">
        <v>0</v>
      </c>
      <c r="F11" s="28">
        <v>842.6500000000002</v>
      </c>
      <c r="G11" s="28">
        <v>-69.740000000000009</v>
      </c>
      <c r="H11" s="29">
        <f t="shared" si="1"/>
        <v>8.2762712870112137E-2</v>
      </c>
      <c r="I11" s="29">
        <f t="shared" si="2"/>
        <v>7.7342214046955224E-2</v>
      </c>
      <c r="J11" s="30">
        <f t="shared" si="5"/>
        <v>65.172416666666834</v>
      </c>
      <c r="K11" s="30">
        <f t="shared" si="3"/>
        <v>1.8620690476190525</v>
      </c>
      <c r="L11" s="27">
        <v>173</v>
      </c>
      <c r="M11" s="31">
        <f t="shared" si="6"/>
        <v>0.20231213872832371</v>
      </c>
      <c r="N11" s="27">
        <v>329</v>
      </c>
      <c r="O11" s="32">
        <f t="shared" ref="O11:P11" si="19">D11/7</f>
        <v>5</v>
      </c>
      <c r="P11" s="32">
        <f t="shared" si="19"/>
        <v>0</v>
      </c>
      <c r="Q11" s="27">
        <f t="shared" si="8"/>
        <v>65</v>
      </c>
      <c r="R11" s="27"/>
      <c r="S11" s="33">
        <v>0.53116531165311598</v>
      </c>
      <c r="T11" s="26">
        <v>737</v>
      </c>
      <c r="U11" s="34" t="s">
        <v>34</v>
      </c>
      <c r="V11" s="35" t="s">
        <v>34</v>
      </c>
      <c r="W11" s="26">
        <v>7</v>
      </c>
      <c r="X11" s="36">
        <f t="shared" si="9"/>
        <v>0.2</v>
      </c>
      <c r="Y11" s="37">
        <f t="shared" si="10"/>
        <v>4.6493333333333338</v>
      </c>
      <c r="Z11" s="26">
        <v>8</v>
      </c>
      <c r="AA11" s="26" t="s">
        <v>250</v>
      </c>
      <c r="AB11" s="38">
        <f t="shared" si="11"/>
        <v>-0.48</v>
      </c>
      <c r="AC11" s="39">
        <v>0.34027777777777779</v>
      </c>
      <c r="AD11" s="37">
        <f t="shared" si="12"/>
        <v>-11.433333333333334</v>
      </c>
      <c r="AE11" s="37">
        <v>-9.7799999999999994</v>
      </c>
      <c r="AF11" s="37">
        <v>-6.50305</v>
      </c>
      <c r="AG11" s="37">
        <v>0</v>
      </c>
    </row>
    <row r="12" spans="1:33" ht="15.75" customHeight="1" x14ac:dyDescent="0.2">
      <c r="A12" s="26" t="s">
        <v>52</v>
      </c>
      <c r="B12" s="26" t="s">
        <v>347</v>
      </c>
      <c r="C12" s="14">
        <f t="shared" si="4"/>
        <v>24.990000000000006</v>
      </c>
      <c r="D12" s="27">
        <v>40</v>
      </c>
      <c r="E12" s="27">
        <v>0</v>
      </c>
      <c r="F12" s="28">
        <v>999.60000000000025</v>
      </c>
      <c r="G12" s="28">
        <v>-73.58</v>
      </c>
      <c r="H12" s="29">
        <f t="shared" si="1"/>
        <v>7.3609443777510983E-2</v>
      </c>
      <c r="I12" s="29">
        <f t="shared" si="2"/>
        <v>0.11173602774443117</v>
      </c>
      <c r="J12" s="30">
        <f t="shared" si="5"/>
        <v>111.69133333333343</v>
      </c>
      <c r="K12" s="30">
        <f t="shared" si="3"/>
        <v>2.7922833333333359</v>
      </c>
      <c r="L12" s="27">
        <v>180</v>
      </c>
      <c r="M12" s="31">
        <f t="shared" si="6"/>
        <v>0.22222222222222221</v>
      </c>
      <c r="N12" s="27">
        <v>279</v>
      </c>
      <c r="O12" s="32">
        <f t="shared" ref="O12:P12" si="20">D12/7</f>
        <v>5.7142857142857144</v>
      </c>
      <c r="P12" s="32">
        <f t="shared" si="20"/>
        <v>0</v>
      </c>
      <c r="Q12" s="27">
        <f t="shared" si="8"/>
        <v>48</v>
      </c>
      <c r="R12" s="27"/>
      <c r="S12" s="33">
        <v>0.57638888888888795</v>
      </c>
      <c r="T12" s="26">
        <v>737</v>
      </c>
      <c r="U12" s="34" t="s">
        <v>34</v>
      </c>
      <c r="V12" s="35" t="s">
        <v>34</v>
      </c>
      <c r="W12" s="26">
        <v>9</v>
      </c>
      <c r="X12" s="36">
        <f t="shared" si="9"/>
        <v>0.22500000000000001</v>
      </c>
      <c r="Y12" s="37">
        <f t="shared" si="10"/>
        <v>4.5987499999999999</v>
      </c>
      <c r="Z12" s="26">
        <v>7</v>
      </c>
      <c r="AA12" s="26" t="s">
        <v>250</v>
      </c>
      <c r="AB12" s="38">
        <f t="shared" si="11"/>
        <v>-0.48</v>
      </c>
      <c r="AC12" s="39">
        <v>0.34027777777777779</v>
      </c>
      <c r="AD12" s="37">
        <f t="shared" si="12"/>
        <v>-13.066666666666666</v>
      </c>
      <c r="AE12" s="37">
        <v>-9.7799999999999994</v>
      </c>
      <c r="AF12" s="37">
        <v>-6.50305</v>
      </c>
      <c r="AG12" s="37">
        <v>0</v>
      </c>
    </row>
    <row r="13" spans="1:33" ht="15.75" customHeight="1" x14ac:dyDescent="0.2">
      <c r="A13" s="26" t="s">
        <v>54</v>
      </c>
      <c r="B13" s="26" t="s">
        <v>348</v>
      </c>
      <c r="C13" s="14">
        <f t="shared" si="4"/>
        <v>27.856666666666673</v>
      </c>
      <c r="D13" s="27">
        <v>30</v>
      </c>
      <c r="E13" s="27">
        <v>0</v>
      </c>
      <c r="F13" s="30">
        <v>835.70000000000016</v>
      </c>
      <c r="G13" s="28">
        <v>-75.77000000000001</v>
      </c>
      <c r="H13" s="29">
        <f t="shared" si="1"/>
        <v>9.0666507119779818E-2</v>
      </c>
      <c r="I13" s="29">
        <f t="shared" si="2"/>
        <v>0.15747023453392389</v>
      </c>
      <c r="J13" s="30">
        <f t="shared" si="5"/>
        <v>131.59787500000022</v>
      </c>
      <c r="K13" s="30">
        <f t="shared" si="3"/>
        <v>4.3865958333333408</v>
      </c>
      <c r="L13" s="27">
        <v>104</v>
      </c>
      <c r="M13" s="31">
        <f t="shared" si="6"/>
        <v>0.28846153846153844</v>
      </c>
      <c r="N13" s="27">
        <v>252</v>
      </c>
      <c r="O13" s="32">
        <f t="shared" ref="O13:P13" si="21">D13/7</f>
        <v>4.2857142857142856</v>
      </c>
      <c r="P13" s="32">
        <f t="shared" si="21"/>
        <v>0</v>
      </c>
      <c r="Q13" s="27">
        <f t="shared" si="8"/>
        <v>58</v>
      </c>
      <c r="R13" s="27"/>
      <c r="S13" s="33">
        <v>0.60212514757969304</v>
      </c>
      <c r="T13" s="26">
        <v>737</v>
      </c>
      <c r="U13" s="34" t="s">
        <v>34</v>
      </c>
      <c r="V13" s="35" t="s">
        <v>34</v>
      </c>
      <c r="W13" s="26">
        <v>2</v>
      </c>
      <c r="X13" s="36">
        <f t="shared" si="9"/>
        <v>6.6666666666666666E-2</v>
      </c>
      <c r="Y13" s="37">
        <f t="shared" si="10"/>
        <v>7.5770000000000008</v>
      </c>
      <c r="Z13" s="26">
        <v>8</v>
      </c>
      <c r="AA13" s="26" t="s">
        <v>250</v>
      </c>
      <c r="AB13" s="38">
        <f t="shared" si="11"/>
        <v>-0.48</v>
      </c>
      <c r="AC13" s="39">
        <v>0.34027777777777779</v>
      </c>
      <c r="AD13" s="37">
        <f t="shared" si="12"/>
        <v>-9.8000000000000007</v>
      </c>
      <c r="AE13" s="37">
        <v>-9.7799999999999994</v>
      </c>
      <c r="AF13" s="37">
        <v>-6.6592374999999997</v>
      </c>
      <c r="AG13" s="37">
        <v>0</v>
      </c>
    </row>
    <row r="14" spans="1:33" ht="15.75" customHeight="1" x14ac:dyDescent="0.2">
      <c r="A14" s="26" t="s">
        <v>56</v>
      </c>
      <c r="B14" s="26" t="s">
        <v>348</v>
      </c>
      <c r="C14" s="14">
        <f t="shared" si="4"/>
        <v>27.990000000000002</v>
      </c>
      <c r="D14" s="27">
        <v>21</v>
      </c>
      <c r="E14" s="27">
        <v>1</v>
      </c>
      <c r="F14" s="30">
        <v>587.79000000000008</v>
      </c>
      <c r="G14" s="28">
        <v>-72.47999999999999</v>
      </c>
      <c r="H14" s="29">
        <f t="shared" si="1"/>
        <v>0.12330934517429691</v>
      </c>
      <c r="I14" s="29">
        <f t="shared" si="2"/>
        <v>0.12769443593800514</v>
      </c>
      <c r="J14" s="30">
        <f t="shared" si="5"/>
        <v>75.057512500000044</v>
      </c>
      <c r="K14" s="30">
        <f t="shared" si="3"/>
        <v>3.5741672619047642</v>
      </c>
      <c r="L14" s="27">
        <v>139</v>
      </c>
      <c r="M14" s="31">
        <f t="shared" si="6"/>
        <v>0.15107913669064749</v>
      </c>
      <c r="N14" s="27">
        <v>243</v>
      </c>
      <c r="O14" s="32">
        <f t="shared" ref="O14:P14" si="22">D14/7</f>
        <v>3</v>
      </c>
      <c r="P14" s="32">
        <f t="shared" si="22"/>
        <v>0.14285714285714285</v>
      </c>
      <c r="Q14" s="27">
        <f t="shared" si="8"/>
        <v>77</v>
      </c>
      <c r="R14" s="27"/>
      <c r="S14" s="33">
        <v>0.61459667093469905</v>
      </c>
      <c r="T14" s="26">
        <v>737</v>
      </c>
      <c r="U14" s="34" t="s">
        <v>34</v>
      </c>
      <c r="V14" s="35" t="s">
        <v>34</v>
      </c>
      <c r="W14" s="26">
        <v>3</v>
      </c>
      <c r="X14" s="36">
        <f t="shared" si="9"/>
        <v>0.14285714285714285</v>
      </c>
      <c r="Y14" s="37">
        <f t="shared" si="10"/>
        <v>7.2479999999999993</v>
      </c>
      <c r="Z14" s="26">
        <v>7</v>
      </c>
      <c r="AA14" s="26" t="s">
        <v>250</v>
      </c>
      <c r="AB14" s="38">
        <f t="shared" si="11"/>
        <v>-0.48</v>
      </c>
      <c r="AC14" s="39">
        <v>0.34027777777777779</v>
      </c>
      <c r="AD14" s="37">
        <f t="shared" si="12"/>
        <v>-6.8599999999999994</v>
      </c>
      <c r="AE14" s="37">
        <v>-9.7799999999999994</v>
      </c>
      <c r="AF14" s="37">
        <v>-6.6592374999999997</v>
      </c>
      <c r="AG14" s="37">
        <v>0</v>
      </c>
    </row>
    <row r="15" spans="1:33" ht="15.75" customHeight="1" x14ac:dyDescent="0.2">
      <c r="A15" s="26" t="s">
        <v>58</v>
      </c>
      <c r="B15" s="26" t="s">
        <v>348</v>
      </c>
      <c r="C15" s="14">
        <f t="shared" si="4"/>
        <v>27.990000000000002</v>
      </c>
      <c r="D15" s="27">
        <v>21</v>
      </c>
      <c r="E15" s="27">
        <v>0</v>
      </c>
      <c r="F15" s="30">
        <v>587.79000000000008</v>
      </c>
      <c r="G15" s="28">
        <v>-71.489999999999995</v>
      </c>
      <c r="H15" s="29">
        <f t="shared" si="1"/>
        <v>0.12162507017812482</v>
      </c>
      <c r="I15" s="29">
        <f t="shared" si="2"/>
        <v>0.12937871093417724</v>
      </c>
      <c r="J15" s="30">
        <f t="shared" si="5"/>
        <v>76.047512500000053</v>
      </c>
      <c r="K15" s="30">
        <f t="shared" si="3"/>
        <v>3.6213101190476218</v>
      </c>
      <c r="L15" s="27">
        <v>122</v>
      </c>
      <c r="M15" s="31">
        <f t="shared" si="6"/>
        <v>0.1721311475409836</v>
      </c>
      <c r="N15" s="27">
        <v>261</v>
      </c>
      <c r="O15" s="32">
        <f t="shared" ref="O15:P15" si="23">D15/7</f>
        <v>3</v>
      </c>
      <c r="P15" s="32">
        <f t="shared" si="23"/>
        <v>0</v>
      </c>
      <c r="Q15" s="27">
        <f t="shared" si="8"/>
        <v>87</v>
      </c>
      <c r="R15" s="27"/>
      <c r="S15" s="33">
        <v>0.66884389288046997</v>
      </c>
      <c r="T15" s="26">
        <v>737</v>
      </c>
      <c r="U15" s="34" t="s">
        <v>34</v>
      </c>
      <c r="V15" s="35" t="s">
        <v>34</v>
      </c>
      <c r="W15" s="26">
        <v>5</v>
      </c>
      <c r="X15" s="36">
        <f t="shared" si="9"/>
        <v>0.23809523809523808</v>
      </c>
      <c r="Y15" s="37">
        <f t="shared" si="10"/>
        <v>5.4992307692307687</v>
      </c>
      <c r="Z15" s="26">
        <v>8</v>
      </c>
      <c r="AA15" s="26" t="s">
        <v>250</v>
      </c>
      <c r="AB15" s="38">
        <f t="shared" si="11"/>
        <v>-0.48</v>
      </c>
      <c r="AC15" s="39">
        <v>0.34027777777777779</v>
      </c>
      <c r="AD15" s="37">
        <f t="shared" si="12"/>
        <v>-6.8599999999999994</v>
      </c>
      <c r="AE15" s="37">
        <v>-9.7799999999999994</v>
      </c>
      <c r="AF15" s="37">
        <v>-6.6592374999999997</v>
      </c>
      <c r="AG15" s="37">
        <v>0</v>
      </c>
    </row>
    <row r="16" spans="1:33" ht="15.75" customHeight="1" x14ac:dyDescent="0.2">
      <c r="A16" s="26" t="s">
        <v>60</v>
      </c>
      <c r="B16" s="26" t="s">
        <v>349</v>
      </c>
      <c r="C16" s="14">
        <f t="shared" si="4"/>
        <v>27.990000000000006</v>
      </c>
      <c r="D16" s="27">
        <v>14</v>
      </c>
      <c r="E16" s="27">
        <v>3</v>
      </c>
      <c r="F16" s="30">
        <v>391.86000000000007</v>
      </c>
      <c r="G16" s="28">
        <v>-69.19</v>
      </c>
      <c r="H16" s="29">
        <f t="shared" si="1"/>
        <v>0.17656816209870868</v>
      </c>
      <c r="I16" s="29">
        <f t="shared" si="2"/>
        <v>7.4435619013593524E-2</v>
      </c>
      <c r="J16" s="30">
        <f t="shared" si="5"/>
        <v>29.168341666666766</v>
      </c>
      <c r="K16" s="30">
        <f t="shared" si="3"/>
        <v>2.0834529761904834</v>
      </c>
      <c r="L16" s="27">
        <v>99</v>
      </c>
      <c r="M16" s="31">
        <f t="shared" si="6"/>
        <v>0.14141414141414141</v>
      </c>
      <c r="N16" s="27">
        <v>240</v>
      </c>
      <c r="O16" s="32">
        <f t="shared" ref="O16:P16" si="24">D16/7</f>
        <v>2</v>
      </c>
      <c r="P16" s="32">
        <f t="shared" si="24"/>
        <v>0.42857142857142855</v>
      </c>
      <c r="Q16" s="27">
        <f t="shared" si="8"/>
        <v>98</v>
      </c>
      <c r="R16" s="27"/>
      <c r="S16" s="33">
        <v>0.74828060522696005</v>
      </c>
      <c r="T16" s="26">
        <v>737</v>
      </c>
      <c r="U16" s="34" t="s">
        <v>34</v>
      </c>
      <c r="V16" s="35" t="s">
        <v>34</v>
      </c>
      <c r="W16" s="26">
        <v>1</v>
      </c>
      <c r="X16" s="36">
        <f t="shared" si="9"/>
        <v>7.1428571428571425E-2</v>
      </c>
      <c r="Y16" s="37">
        <f t="shared" si="10"/>
        <v>34.594999999999999</v>
      </c>
      <c r="Z16" s="26">
        <v>1</v>
      </c>
      <c r="AA16" s="26" t="s">
        <v>250</v>
      </c>
      <c r="AB16" s="38">
        <f t="shared" si="11"/>
        <v>-0.48</v>
      </c>
      <c r="AC16" s="39">
        <v>0.34027777777777779</v>
      </c>
      <c r="AD16" s="37">
        <f t="shared" si="12"/>
        <v>-4.5733333333333333</v>
      </c>
      <c r="AE16" s="37">
        <v>-9.7799999999999994</v>
      </c>
      <c r="AF16" s="37">
        <v>-6.6592374999999997</v>
      </c>
      <c r="AG16" s="37">
        <v>0</v>
      </c>
    </row>
    <row r="17" spans="1:33" ht="15.75" customHeight="1" x14ac:dyDescent="0.2">
      <c r="A17" s="26" t="s">
        <v>61</v>
      </c>
      <c r="B17" s="26" t="s">
        <v>105</v>
      </c>
      <c r="C17" s="14">
        <f t="shared" si="4"/>
        <v>27.990000000000006</v>
      </c>
      <c r="D17" s="27">
        <v>11</v>
      </c>
      <c r="E17" s="27">
        <v>1</v>
      </c>
      <c r="F17" s="30">
        <v>307.89000000000004</v>
      </c>
      <c r="G17" s="28">
        <v>-67.610000000000014</v>
      </c>
      <c r="H17" s="29">
        <f t="shared" si="1"/>
        <v>0.21959141251745753</v>
      </c>
      <c r="I17" s="29">
        <f t="shared" si="2"/>
        <v>3.1412368594844475E-2</v>
      </c>
      <c r="J17" s="30">
        <f t="shared" si="5"/>
        <v>9.6715541666666667</v>
      </c>
      <c r="K17" s="30">
        <f t="shared" si="3"/>
        <v>0.87923219696969701</v>
      </c>
      <c r="L17" s="27">
        <v>107</v>
      </c>
      <c r="M17" s="31">
        <f t="shared" si="6"/>
        <v>0.10280373831775701</v>
      </c>
      <c r="N17" s="27">
        <v>230</v>
      </c>
      <c r="O17" s="32">
        <f t="shared" ref="O17:P17" si="25">D17/7</f>
        <v>1.5714285714285714</v>
      </c>
      <c r="P17" s="32">
        <f t="shared" si="25"/>
        <v>0.14285714285714285</v>
      </c>
      <c r="Q17" s="27">
        <f t="shared" si="8"/>
        <v>134</v>
      </c>
      <c r="R17" s="27"/>
      <c r="S17" s="33">
        <v>0.80289855072463701</v>
      </c>
      <c r="T17" s="26">
        <v>737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9.658571428571431</v>
      </c>
      <c r="Z17" s="26">
        <v>7</v>
      </c>
      <c r="AA17" s="26" t="s">
        <v>250</v>
      </c>
      <c r="AB17" s="38">
        <f t="shared" si="11"/>
        <v>-0.48</v>
      </c>
      <c r="AC17" s="39">
        <v>0.34027777777777779</v>
      </c>
      <c r="AD17" s="37">
        <f t="shared" si="12"/>
        <v>-3.5933333333333333</v>
      </c>
      <c r="AE17" s="37">
        <v>-9.7799999999999994</v>
      </c>
      <c r="AF17" s="37">
        <v>-6.6592374999999997</v>
      </c>
      <c r="AG17" s="37">
        <v>0</v>
      </c>
    </row>
    <row r="18" spans="1:33" ht="15.75" customHeight="1" x14ac:dyDescent="0.2">
      <c r="A18" s="26" t="s">
        <v>62</v>
      </c>
      <c r="B18" s="26" t="s">
        <v>46</v>
      </c>
      <c r="C18" s="14">
        <f t="shared" si="4"/>
        <v>27.990000000000002</v>
      </c>
      <c r="D18" s="27">
        <v>18</v>
      </c>
      <c r="E18" s="27">
        <v>3</v>
      </c>
      <c r="F18" s="30">
        <v>503.82000000000005</v>
      </c>
      <c r="G18" s="28">
        <v>-36.260000000000005</v>
      </c>
      <c r="H18" s="29">
        <f t="shared" si="1"/>
        <v>7.1970148068754722E-2</v>
      </c>
      <c r="I18" s="29">
        <f t="shared" si="2"/>
        <v>0.1790336330435473</v>
      </c>
      <c r="J18" s="30">
        <f t="shared" si="5"/>
        <v>90.200725000000006</v>
      </c>
      <c r="K18" s="30">
        <f t="shared" si="3"/>
        <v>5.011151388888889</v>
      </c>
      <c r="L18" s="27">
        <v>103</v>
      </c>
      <c r="M18" s="31">
        <f t="shared" si="6"/>
        <v>0.17475728155339806</v>
      </c>
      <c r="N18" s="27">
        <v>209</v>
      </c>
      <c r="O18" s="32">
        <f t="shared" ref="O18:P18" si="26">D18/7</f>
        <v>2.5714285714285716</v>
      </c>
      <c r="P18" s="32">
        <f t="shared" si="26"/>
        <v>0.42857142857142855</v>
      </c>
      <c r="Q18" s="27">
        <f t="shared" si="8"/>
        <v>69</v>
      </c>
      <c r="R18" s="27"/>
      <c r="S18" s="33">
        <v>0.86322188449848003</v>
      </c>
      <c r="T18" s="26">
        <v>737</v>
      </c>
      <c r="U18" s="34" t="s">
        <v>34</v>
      </c>
      <c r="V18" s="35" t="s">
        <v>34</v>
      </c>
      <c r="W18" s="26">
        <v>4</v>
      </c>
      <c r="X18" s="36">
        <f t="shared" si="9"/>
        <v>0.22222222222222221</v>
      </c>
      <c r="Y18" s="37">
        <f t="shared" si="10"/>
        <v>5.1800000000000006</v>
      </c>
      <c r="Z18" s="26">
        <v>3</v>
      </c>
      <c r="AA18" s="26" t="s">
        <v>250</v>
      </c>
      <c r="AB18" s="38">
        <f t="shared" si="11"/>
        <v>-0.48</v>
      </c>
      <c r="AC18" s="39">
        <v>0.34027777777777779</v>
      </c>
      <c r="AD18" s="37">
        <f t="shared" si="12"/>
        <v>-5.88</v>
      </c>
      <c r="AE18" s="37">
        <v>-9.7799999999999994</v>
      </c>
      <c r="AF18" s="37">
        <v>-6.6592374999999997</v>
      </c>
      <c r="AG18" s="37">
        <v>0</v>
      </c>
    </row>
    <row r="19" spans="1:33" ht="15.75" customHeight="1" x14ac:dyDescent="0.2">
      <c r="A19" s="26" t="s">
        <v>64</v>
      </c>
      <c r="B19" s="26" t="s">
        <v>350</v>
      </c>
      <c r="C19" s="14">
        <f t="shared" si="4"/>
        <v>27.990000000000006</v>
      </c>
      <c r="D19" s="27">
        <v>12</v>
      </c>
      <c r="E19" s="27">
        <v>1</v>
      </c>
      <c r="F19" s="30">
        <v>335.88000000000005</v>
      </c>
      <c r="G19" s="28">
        <v>-35.290000000000006</v>
      </c>
      <c r="H19" s="29">
        <f t="shared" si="1"/>
        <v>0.10506728593545314</v>
      </c>
      <c r="I19" s="29">
        <f t="shared" si="2"/>
        <v>0.14593649517684895</v>
      </c>
      <c r="J19" s="30">
        <f t="shared" si="5"/>
        <v>49.017150000000029</v>
      </c>
      <c r="K19" s="30">
        <f t="shared" si="3"/>
        <v>4.0847625000000027</v>
      </c>
      <c r="L19" s="27">
        <v>70</v>
      </c>
      <c r="M19" s="31">
        <f t="shared" si="6"/>
        <v>0.17142857142857143</v>
      </c>
      <c r="N19" s="27">
        <v>196</v>
      </c>
      <c r="O19" s="32">
        <f t="shared" ref="O19:P19" si="27">D19/7</f>
        <v>1.7142857142857142</v>
      </c>
      <c r="P19" s="32">
        <f t="shared" si="27"/>
        <v>0.14285714285714285</v>
      </c>
      <c r="Q19" s="27">
        <f t="shared" si="8"/>
        <v>105</v>
      </c>
      <c r="R19" s="27"/>
      <c r="S19" s="33">
        <v>0.88958009331259702</v>
      </c>
      <c r="T19" s="26">
        <v>1017</v>
      </c>
      <c r="U19" s="34">
        <v>280</v>
      </c>
      <c r="V19" s="35" t="s">
        <v>351</v>
      </c>
      <c r="W19" s="26">
        <v>2</v>
      </c>
      <c r="X19" s="36">
        <f t="shared" si="9"/>
        <v>0.16666666666666666</v>
      </c>
      <c r="Y19" s="37">
        <f t="shared" si="10"/>
        <v>11.763333333333335</v>
      </c>
      <c r="Z19" s="26">
        <v>1</v>
      </c>
      <c r="AA19" s="26" t="s">
        <v>250</v>
      </c>
      <c r="AB19" s="38">
        <f t="shared" si="11"/>
        <v>-0.48</v>
      </c>
      <c r="AC19" s="39">
        <v>0.34027777777777779</v>
      </c>
      <c r="AD19" s="37">
        <f t="shared" si="12"/>
        <v>-3.92</v>
      </c>
      <c r="AE19" s="37">
        <v>-9.7799999999999994</v>
      </c>
      <c r="AF19" s="37">
        <v>-6.6592375000000006</v>
      </c>
      <c r="AG19" s="37">
        <v>0</v>
      </c>
    </row>
    <row r="20" spans="1:33" ht="15.75" customHeight="1" x14ac:dyDescent="0.2">
      <c r="A20" s="26" t="s">
        <v>65</v>
      </c>
      <c r="B20" s="26" t="s">
        <v>352</v>
      </c>
      <c r="C20" s="14">
        <f t="shared" si="4"/>
        <v>26.535454545454549</v>
      </c>
      <c r="D20" s="27">
        <v>11</v>
      </c>
      <c r="E20" s="27">
        <v>0</v>
      </c>
      <c r="F20" s="30">
        <v>291.89000000000004</v>
      </c>
      <c r="G20" s="28">
        <v>-30.43</v>
      </c>
      <c r="H20" s="29">
        <f t="shared" si="1"/>
        <v>0.1042516016307513</v>
      </c>
      <c r="I20" s="29">
        <f t="shared" si="2"/>
        <v>0.11391809985496822</v>
      </c>
      <c r="J20" s="30">
        <f t="shared" si="5"/>
        <v>33.251554166666679</v>
      </c>
      <c r="K20" s="30">
        <f t="shared" si="3"/>
        <v>3.0228685606060619</v>
      </c>
      <c r="L20" s="27">
        <v>88</v>
      </c>
      <c r="M20" s="31">
        <f t="shared" si="6"/>
        <v>0.125</v>
      </c>
      <c r="N20" s="27">
        <v>187</v>
      </c>
      <c r="O20" s="32">
        <f t="shared" ref="O20:P20" si="28">D20/7</f>
        <v>1.5714285714285714</v>
      </c>
      <c r="P20" s="32">
        <f t="shared" si="28"/>
        <v>0</v>
      </c>
      <c r="Q20" s="27">
        <f t="shared" si="8"/>
        <v>119</v>
      </c>
      <c r="R20" s="27"/>
      <c r="S20" s="33">
        <v>0.94389438943894299</v>
      </c>
      <c r="T20" s="26">
        <v>1017</v>
      </c>
      <c r="U20" s="34">
        <v>280</v>
      </c>
      <c r="V20" s="35" t="s">
        <v>351</v>
      </c>
      <c r="W20" s="26">
        <v>1</v>
      </c>
      <c r="X20" s="36">
        <f t="shared" si="9"/>
        <v>9.0909090909090912E-2</v>
      </c>
      <c r="Y20" s="37">
        <f t="shared" si="10"/>
        <v>15.215</v>
      </c>
      <c r="Z20" s="26">
        <v>1</v>
      </c>
      <c r="AA20" s="26" t="s">
        <v>250</v>
      </c>
      <c r="AB20" s="38">
        <f t="shared" si="11"/>
        <v>-0.48</v>
      </c>
      <c r="AC20" s="39">
        <v>0.34027777777777779</v>
      </c>
      <c r="AD20" s="37">
        <f t="shared" si="12"/>
        <v>-3.5933333333333333</v>
      </c>
      <c r="AE20" s="37">
        <v>-9.7799999999999994</v>
      </c>
      <c r="AF20" s="37">
        <v>-6.6592375000000006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24.703846153846161</v>
      </c>
      <c r="D21" s="27">
        <v>26</v>
      </c>
      <c r="E21" s="27">
        <v>4</v>
      </c>
      <c r="F21" s="30">
        <v>642.30000000000018</v>
      </c>
      <c r="G21" s="28">
        <v>-27.08</v>
      </c>
      <c r="H21" s="29">
        <f t="shared" si="1"/>
        <v>4.2160983963879795E-2</v>
      </c>
      <c r="I21" s="29">
        <f t="shared" si="2"/>
        <v>0.12916315065649506</v>
      </c>
      <c r="J21" s="30">
        <f t="shared" si="5"/>
        <v>82.961491666666802</v>
      </c>
      <c r="K21" s="30">
        <f t="shared" si="3"/>
        <v>3.1908266025641079</v>
      </c>
      <c r="L21" s="27">
        <v>32</v>
      </c>
      <c r="M21" s="31">
        <f t="shared" si="6"/>
        <v>0.8125</v>
      </c>
      <c r="N21" s="27">
        <v>165</v>
      </c>
      <c r="O21" s="32">
        <f t="shared" ref="O21:P21" si="29">D21/7</f>
        <v>3.7142857142857144</v>
      </c>
      <c r="P21" s="32">
        <f t="shared" si="29"/>
        <v>0.5714285714285714</v>
      </c>
      <c r="Q21" s="27">
        <f t="shared" si="8"/>
        <v>38</v>
      </c>
      <c r="R21" s="27"/>
      <c r="S21" s="33">
        <v>1.06233062330623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3.8461538461538464E-2</v>
      </c>
      <c r="Y21" s="37">
        <f t="shared" si="10"/>
        <v>6.77</v>
      </c>
      <c r="Z21" s="26">
        <v>3</v>
      </c>
      <c r="AA21" s="26" t="s">
        <v>250</v>
      </c>
      <c r="AB21" s="38">
        <f t="shared" si="11"/>
        <v>-0.48</v>
      </c>
      <c r="AC21" s="39">
        <v>0.34027777777777779</v>
      </c>
      <c r="AD21" s="37">
        <f t="shared" si="12"/>
        <v>-8.4933333333333323</v>
      </c>
      <c r="AE21" s="37">
        <v>-9.7799999999999994</v>
      </c>
      <c r="AF21" s="37">
        <v>-6.6592375000000006</v>
      </c>
      <c r="AG21" s="37">
        <v>0</v>
      </c>
    </row>
    <row r="22" spans="1:33" ht="15.75" customHeight="1" x14ac:dyDescent="0.2">
      <c r="A22" s="26" t="s">
        <v>67</v>
      </c>
      <c r="B22" s="26" t="s">
        <v>353</v>
      </c>
      <c r="C22" s="14">
        <f t="shared" si="4"/>
        <v>24.09866666666667</v>
      </c>
      <c r="D22" s="27">
        <v>30</v>
      </c>
      <c r="E22" s="27">
        <v>4</v>
      </c>
      <c r="F22" s="28">
        <v>722.96000000000015</v>
      </c>
      <c r="G22" s="28">
        <v>-38.460000000000008</v>
      </c>
      <c r="H22" s="29">
        <f t="shared" si="1"/>
        <v>5.3197963926081664E-2</v>
      </c>
      <c r="I22" s="29">
        <f t="shared" si="2"/>
        <v>0.10108287457120731</v>
      </c>
      <c r="J22" s="30">
        <f t="shared" si="5"/>
        <v>73.078875000000053</v>
      </c>
      <c r="K22" s="30">
        <f t="shared" si="3"/>
        <v>2.4359625000000018</v>
      </c>
      <c r="L22" s="27">
        <v>116</v>
      </c>
      <c r="M22" s="31">
        <f t="shared" si="6"/>
        <v>0.25862068965517243</v>
      </c>
      <c r="N22" s="27">
        <v>124</v>
      </c>
      <c r="O22" s="32">
        <f t="shared" ref="O22:P22" si="30">D22/7</f>
        <v>4.2857142857142856</v>
      </c>
      <c r="P22" s="32">
        <f t="shared" si="30"/>
        <v>0.5714285714285714</v>
      </c>
      <c r="Q22" s="27">
        <f t="shared" si="8"/>
        <v>25</v>
      </c>
      <c r="R22" s="27"/>
      <c r="S22" s="33">
        <v>1.23346303501945</v>
      </c>
      <c r="T22" s="26" t="s">
        <v>34</v>
      </c>
      <c r="U22" s="34" t="s">
        <v>34</v>
      </c>
      <c r="V22" s="35" t="s">
        <v>34</v>
      </c>
      <c r="W22" s="26">
        <v>5</v>
      </c>
      <c r="X22" s="36">
        <f t="shared" si="9"/>
        <v>0.16666666666666666</v>
      </c>
      <c r="Y22" s="37">
        <f t="shared" si="10"/>
        <v>7.6920000000000019</v>
      </c>
      <c r="Z22" s="26">
        <v>0</v>
      </c>
      <c r="AA22" s="26" t="s">
        <v>250</v>
      </c>
      <c r="AB22" s="38">
        <f t="shared" si="11"/>
        <v>-0.48</v>
      </c>
      <c r="AC22" s="39">
        <v>0.34027777777777779</v>
      </c>
      <c r="AD22" s="37">
        <f t="shared" si="12"/>
        <v>-9.8000000000000007</v>
      </c>
      <c r="AE22" s="37">
        <v>-9.7799999999999994</v>
      </c>
      <c r="AF22" s="37">
        <v>-6.6592375000000006</v>
      </c>
      <c r="AG22" s="37">
        <v>0</v>
      </c>
    </row>
    <row r="23" spans="1:33" ht="15.75" customHeight="1" x14ac:dyDescent="0.2">
      <c r="A23" s="26" t="s">
        <v>68</v>
      </c>
      <c r="B23" s="26" t="s">
        <v>354</v>
      </c>
      <c r="C23" s="14">
        <f t="shared" si="4"/>
        <v>23.636400000000002</v>
      </c>
      <c r="D23" s="27">
        <v>25</v>
      </c>
      <c r="E23" s="27">
        <v>3</v>
      </c>
      <c r="F23" s="30">
        <v>590.91000000000008</v>
      </c>
      <c r="G23" s="28">
        <v>-51.300000000000004</v>
      </c>
      <c r="H23" s="29">
        <f t="shared" si="1"/>
        <v>8.6815251053459913E-2</v>
      </c>
      <c r="I23" s="29">
        <f t="shared" si="2"/>
        <v>5.3859125473140472E-2</v>
      </c>
      <c r="J23" s="30">
        <f t="shared" si="5"/>
        <v>31.825895833333441</v>
      </c>
      <c r="K23" s="30">
        <f t="shared" si="3"/>
        <v>1.2730358333333376</v>
      </c>
      <c r="L23" s="27">
        <v>107</v>
      </c>
      <c r="M23" s="31">
        <f t="shared" si="6"/>
        <v>0.23364485981308411</v>
      </c>
      <c r="N23" s="27">
        <v>96</v>
      </c>
      <c r="O23" s="32">
        <f t="shared" ref="O23:P23" si="31">D23/7</f>
        <v>3.5714285714285716</v>
      </c>
      <c r="P23" s="32">
        <f t="shared" si="31"/>
        <v>0.42857142857142855</v>
      </c>
      <c r="Q23" s="27">
        <f t="shared" si="8"/>
        <v>24</v>
      </c>
      <c r="R23" s="27"/>
      <c r="S23" s="33">
        <v>1.3403141361256501</v>
      </c>
      <c r="T23" s="26">
        <v>987</v>
      </c>
      <c r="U23" s="34">
        <v>280</v>
      </c>
      <c r="V23" s="35" t="s">
        <v>355</v>
      </c>
      <c r="W23" s="26">
        <v>9</v>
      </c>
      <c r="X23" s="36">
        <f t="shared" si="9"/>
        <v>0.36</v>
      </c>
      <c r="Y23" s="37">
        <f t="shared" si="10"/>
        <v>2.7</v>
      </c>
      <c r="Z23" s="26">
        <v>10</v>
      </c>
      <c r="AA23" s="26" t="s">
        <v>250</v>
      </c>
      <c r="AB23" s="38">
        <f t="shared" si="11"/>
        <v>-0.48</v>
      </c>
      <c r="AC23" s="39">
        <v>0.34027777777777779</v>
      </c>
      <c r="AD23" s="37">
        <f t="shared" si="12"/>
        <v>-8.1666666666666661</v>
      </c>
      <c r="AE23" s="37">
        <v>-9.7799999999999994</v>
      </c>
      <c r="AF23" s="37">
        <v>-6.6592375000000006</v>
      </c>
      <c r="AG23" s="37">
        <v>0</v>
      </c>
    </row>
    <row r="24" spans="1:33" ht="15.75" customHeight="1" x14ac:dyDescent="0.2">
      <c r="A24" s="26" t="s">
        <v>71</v>
      </c>
      <c r="B24" s="26" t="s">
        <v>356</v>
      </c>
      <c r="C24" s="14">
        <f t="shared" si="4"/>
        <v>22.247777777777774</v>
      </c>
      <c r="D24" s="27">
        <v>27</v>
      </c>
      <c r="E24" s="27">
        <v>2</v>
      </c>
      <c r="F24" s="30">
        <v>600.68999999999994</v>
      </c>
      <c r="G24" s="30">
        <v>-77.460000000000008</v>
      </c>
      <c r="H24" s="29">
        <f t="shared" si="1"/>
        <v>0.12895170553863061</v>
      </c>
      <c r="I24" s="29">
        <f t="shared" si="2"/>
        <v>-3.2550754132747432E-2</v>
      </c>
      <c r="J24" s="30">
        <f t="shared" si="5"/>
        <v>-19.552912500000055</v>
      </c>
      <c r="K24" s="30">
        <f t="shared" si="3"/>
        <v>-0.7241819444444465</v>
      </c>
      <c r="L24" s="27">
        <v>115</v>
      </c>
      <c r="M24" s="31">
        <f t="shared" si="6"/>
        <v>0.23478260869565218</v>
      </c>
      <c r="N24" s="27">
        <v>65</v>
      </c>
      <c r="O24" s="32">
        <f t="shared" ref="O24:P24" si="32">D24/7</f>
        <v>3.8571428571428572</v>
      </c>
      <c r="P24" s="32">
        <f t="shared" si="32"/>
        <v>0.2857142857142857</v>
      </c>
      <c r="Q24" s="27">
        <f t="shared" si="8"/>
        <v>15</v>
      </c>
      <c r="R24" s="27"/>
      <c r="S24" s="33">
        <v>1.40044742729306</v>
      </c>
      <c r="T24" s="26">
        <v>987</v>
      </c>
      <c r="U24" s="34">
        <v>280</v>
      </c>
      <c r="V24" s="35" t="s">
        <v>357</v>
      </c>
      <c r="W24" s="26">
        <v>8</v>
      </c>
      <c r="X24" s="36">
        <f t="shared" si="9"/>
        <v>0.29629629629629628</v>
      </c>
      <c r="Y24" s="37">
        <f t="shared" si="10"/>
        <v>6.455000000000001</v>
      </c>
      <c r="Z24" s="26">
        <v>4</v>
      </c>
      <c r="AA24" s="26" t="s">
        <v>250</v>
      </c>
      <c r="AB24" s="38">
        <f t="shared" si="11"/>
        <v>-0.48</v>
      </c>
      <c r="AC24" s="39">
        <v>0.34027777777777779</v>
      </c>
      <c r="AD24" s="37">
        <f t="shared" si="12"/>
        <v>-8.82</v>
      </c>
      <c r="AE24" s="37">
        <v>-9.7799999999999994</v>
      </c>
      <c r="AF24" s="37">
        <v>-6.6592375000000006</v>
      </c>
      <c r="AG24" s="37">
        <v>0</v>
      </c>
    </row>
    <row r="25" spans="1:33" ht="15.75" customHeight="1" x14ac:dyDescent="0.2">
      <c r="A25" s="40" t="s">
        <v>73</v>
      </c>
      <c r="B25" s="40" t="s">
        <v>358</v>
      </c>
      <c r="C25" s="14">
        <f t="shared" si="4"/>
        <v>22.496666666666666</v>
      </c>
      <c r="D25" s="15">
        <v>33</v>
      </c>
      <c r="E25" s="15">
        <v>3</v>
      </c>
      <c r="F25" s="16">
        <v>742.39</v>
      </c>
      <c r="G25" s="16">
        <v>-30.70999999999999</v>
      </c>
      <c r="H25" s="29">
        <f t="shared" si="1"/>
        <v>4.1366397715486454E-2</v>
      </c>
      <c r="I25" s="29">
        <f t="shared" si="2"/>
        <v>6.333800293646194E-2</v>
      </c>
      <c r="J25" s="30">
        <f t="shared" si="5"/>
        <v>47.021499999999975</v>
      </c>
      <c r="K25" s="30">
        <f t="shared" si="3"/>
        <v>1.4248939393939386</v>
      </c>
      <c r="L25" s="15">
        <v>141</v>
      </c>
      <c r="M25" s="31">
        <f t="shared" si="6"/>
        <v>0.23404255319148937</v>
      </c>
      <c r="N25" s="15">
        <v>34</v>
      </c>
      <c r="O25" s="32">
        <f t="shared" ref="O25:P25" si="33">D25/7</f>
        <v>4.7142857142857144</v>
      </c>
      <c r="P25" s="32">
        <f t="shared" si="33"/>
        <v>0.42857142857142855</v>
      </c>
      <c r="Q25" s="27">
        <f t="shared" si="8"/>
        <v>6</v>
      </c>
      <c r="R25" s="27"/>
      <c r="S25" s="41">
        <v>1.5599472990777341</v>
      </c>
      <c r="T25" s="26">
        <v>987</v>
      </c>
      <c r="U25" s="34">
        <v>280</v>
      </c>
      <c r="V25" s="35" t="s">
        <v>359</v>
      </c>
      <c r="W25" s="40">
        <v>4</v>
      </c>
      <c r="X25" s="36">
        <f t="shared" si="9"/>
        <v>0.12121212121212122</v>
      </c>
      <c r="Y25" s="37">
        <f t="shared" si="10"/>
        <v>2.5591666666666657</v>
      </c>
      <c r="Z25" s="40">
        <v>8</v>
      </c>
      <c r="AA25" s="26" t="s">
        <v>250</v>
      </c>
      <c r="AB25" s="38">
        <f t="shared" si="11"/>
        <v>-0.48</v>
      </c>
      <c r="AC25" s="39">
        <v>0.34027777777777779</v>
      </c>
      <c r="AD25" s="37">
        <f t="shared" si="12"/>
        <v>-10.78</v>
      </c>
      <c r="AE25" s="42">
        <v>-9.7799999999999994</v>
      </c>
      <c r="AF25" s="42">
        <v>-6.66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24.434444444444445</v>
      </c>
      <c r="D26" s="15">
        <v>9</v>
      </c>
      <c r="E26" s="15">
        <v>6</v>
      </c>
      <c r="F26" s="16">
        <v>219.91</v>
      </c>
      <c r="G26" s="16">
        <v>-0.27</v>
      </c>
      <c r="H26" s="29">
        <f t="shared" si="1"/>
        <v>1.2277749988631715E-3</v>
      </c>
      <c r="I26" s="29">
        <f t="shared" si="2"/>
        <v>0.14624329271065425</v>
      </c>
      <c r="J26" s="30">
        <f t="shared" si="5"/>
        <v>32.160362499999977</v>
      </c>
      <c r="K26" s="30">
        <f t="shared" si="3"/>
        <v>3.5733736111111085</v>
      </c>
      <c r="L26" s="15">
        <v>76</v>
      </c>
      <c r="M26" s="31">
        <f t="shared" si="6"/>
        <v>0.11842105263157894</v>
      </c>
      <c r="N26" s="15">
        <v>15</v>
      </c>
      <c r="O26" s="32">
        <f t="shared" ref="O26:P26" si="34">D26/7</f>
        <v>1.2857142857142858</v>
      </c>
      <c r="P26" s="32">
        <f t="shared" si="34"/>
        <v>0.8571428571428571</v>
      </c>
      <c r="Q26" s="27">
        <f t="shared" si="8"/>
        <v>7</v>
      </c>
      <c r="R26" s="27"/>
      <c r="S26" s="41">
        <v>1.729569093610698</v>
      </c>
      <c r="T26" s="26">
        <v>987</v>
      </c>
      <c r="U26" s="34">
        <v>280</v>
      </c>
      <c r="V26" s="35" t="s">
        <v>360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0.34027777777777779</v>
      </c>
      <c r="AD26" s="37">
        <f t="shared" si="12"/>
        <v>-2.94</v>
      </c>
      <c r="AE26" s="42">
        <v>-10.18</v>
      </c>
      <c r="AF26" s="42">
        <v>-6.6592374999999997</v>
      </c>
      <c r="AG26" s="42">
        <v>0</v>
      </c>
    </row>
    <row r="27" spans="1:33" ht="15.75" customHeight="1" x14ac:dyDescent="0.2">
      <c r="A27" s="40" t="s">
        <v>77</v>
      </c>
      <c r="B27" s="40" t="s">
        <v>361</v>
      </c>
      <c r="C27" s="14">
        <f t="shared" si="4"/>
        <v>27.580714285714286</v>
      </c>
      <c r="D27" s="15">
        <v>14</v>
      </c>
      <c r="E27" s="15">
        <v>0</v>
      </c>
      <c r="F27" s="16">
        <v>386.13</v>
      </c>
      <c r="G27" s="16">
        <v>-0.35</v>
      </c>
      <c r="H27" s="29">
        <f t="shared" si="1"/>
        <v>9.0643047678243076E-4</v>
      </c>
      <c r="I27" s="29">
        <f t="shared" si="2"/>
        <v>0.22670562159549021</v>
      </c>
      <c r="J27" s="30">
        <f t="shared" si="5"/>
        <v>87.537841666666637</v>
      </c>
      <c r="K27" s="30">
        <f t="shared" si="3"/>
        <v>6.2527029761904744</v>
      </c>
      <c r="L27" s="15">
        <v>43</v>
      </c>
      <c r="M27" s="31">
        <f t="shared" si="6"/>
        <v>0.32558139534883723</v>
      </c>
      <c r="N27" s="15">
        <v>279</v>
      </c>
      <c r="O27" s="32">
        <f t="shared" ref="O27:P27" si="35">D27/7</f>
        <v>2</v>
      </c>
      <c r="P27" s="32">
        <f t="shared" si="35"/>
        <v>0</v>
      </c>
      <c r="Q27" s="27">
        <f t="shared" si="8"/>
        <v>139</v>
      </c>
      <c r="R27" s="27"/>
      <c r="S27" s="41">
        <v>1.324074074074074</v>
      </c>
      <c r="T27" s="26">
        <v>707</v>
      </c>
      <c r="U27" s="34">
        <v>250</v>
      </c>
      <c r="V27" s="35" t="s">
        <v>362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0.34027777777777779</v>
      </c>
      <c r="AD27" s="37">
        <f t="shared" si="12"/>
        <v>-4.5733333333333333</v>
      </c>
      <c r="AE27" s="42">
        <v>-10.18</v>
      </c>
      <c r="AF27" s="42">
        <v>-6.6592374999999997</v>
      </c>
      <c r="AG27" s="42">
        <v>0</v>
      </c>
    </row>
    <row r="28" spans="1:33" ht="15.75" customHeight="1" x14ac:dyDescent="0.2">
      <c r="A28" s="40" t="s">
        <v>79</v>
      </c>
      <c r="B28" s="40" t="s">
        <v>363</v>
      </c>
      <c r="C28" s="14">
        <f t="shared" si="4"/>
        <v>28.02</v>
      </c>
      <c r="D28" s="15">
        <v>9</v>
      </c>
      <c r="E28" s="15">
        <v>1</v>
      </c>
      <c r="F28" s="16">
        <v>252.18</v>
      </c>
      <c r="G28" s="16">
        <v>-30.34</v>
      </c>
      <c r="H28" s="29">
        <f t="shared" si="1"/>
        <v>0.12031088904750574</v>
      </c>
      <c r="I28" s="29">
        <f t="shared" si="2"/>
        <v>0.11705869815211356</v>
      </c>
      <c r="J28" s="30">
        <f t="shared" si="5"/>
        <v>29.519862499999999</v>
      </c>
      <c r="K28" s="30">
        <f t="shared" si="3"/>
        <v>3.2799847222222223</v>
      </c>
      <c r="L28" s="15">
        <v>53</v>
      </c>
      <c r="M28" s="31">
        <f t="shared" si="6"/>
        <v>0.16981132075471697</v>
      </c>
      <c r="N28" s="15">
        <v>270</v>
      </c>
      <c r="O28" s="32">
        <f t="shared" ref="O28:P28" si="36">D28/7</f>
        <v>1.2857142857142858</v>
      </c>
      <c r="P28" s="32">
        <f t="shared" si="36"/>
        <v>0.14285714285714285</v>
      </c>
      <c r="Q28" s="27">
        <f t="shared" si="8"/>
        <v>189</v>
      </c>
      <c r="R28" s="27"/>
      <c r="S28" s="41">
        <v>1.311004784688995</v>
      </c>
      <c r="T28" s="40" t="s">
        <v>34</v>
      </c>
      <c r="U28" s="22">
        <v>250</v>
      </c>
      <c r="V28" s="1" t="s">
        <v>364</v>
      </c>
      <c r="W28" s="40">
        <v>1</v>
      </c>
      <c r="X28" s="36">
        <f t="shared" si="9"/>
        <v>0.1111111111111111</v>
      </c>
      <c r="Y28" s="37">
        <f t="shared" si="10"/>
        <v>2.7581818181818183</v>
      </c>
      <c r="Z28" s="40">
        <v>10</v>
      </c>
      <c r="AA28" s="26" t="s">
        <v>250</v>
      </c>
      <c r="AB28" s="38">
        <f t="shared" si="11"/>
        <v>-0.48</v>
      </c>
      <c r="AC28" s="39">
        <v>0.34027777777777779</v>
      </c>
      <c r="AD28" s="37">
        <f t="shared" si="12"/>
        <v>-2.94</v>
      </c>
      <c r="AE28" s="42">
        <v>-10.18</v>
      </c>
      <c r="AF28" s="42">
        <v>-6.6592374999999997</v>
      </c>
      <c r="AG28" s="42">
        <v>0</v>
      </c>
    </row>
    <row r="29" spans="1:33" ht="15.75" customHeight="1" x14ac:dyDescent="0.2">
      <c r="A29" s="26" t="s">
        <v>82</v>
      </c>
      <c r="B29" s="26" t="s">
        <v>105</v>
      </c>
      <c r="C29" s="14">
        <f t="shared" si="4"/>
        <v>26.931000000000001</v>
      </c>
      <c r="D29" s="27">
        <v>10</v>
      </c>
      <c r="E29" s="27">
        <v>2</v>
      </c>
      <c r="F29" s="30">
        <v>269.31</v>
      </c>
      <c r="G29" s="30">
        <v>-58.42</v>
      </c>
      <c r="H29" s="29">
        <f t="shared" si="1"/>
        <v>0.21692473357840408</v>
      </c>
      <c r="I29" s="29">
        <f t="shared" si="2"/>
        <v>-4.3278811283156389E-3</v>
      </c>
      <c r="J29" s="30">
        <f t="shared" si="5"/>
        <v>-1.1655416666666847</v>
      </c>
      <c r="K29" s="30">
        <f t="shared" si="3"/>
        <v>-0.11655416666666847</v>
      </c>
      <c r="L29" s="27">
        <v>76</v>
      </c>
      <c r="M29" s="31">
        <f t="shared" si="6"/>
        <v>0.13157894736842105</v>
      </c>
      <c r="N29" s="15">
        <v>223</v>
      </c>
      <c r="O29" s="32">
        <f t="shared" ref="O29:P29" si="37">D29/7</f>
        <v>1.4285714285714286</v>
      </c>
      <c r="P29" s="32">
        <f t="shared" si="37"/>
        <v>0.2857142857142857</v>
      </c>
      <c r="Q29" s="27">
        <f t="shared" si="8"/>
        <v>130</v>
      </c>
      <c r="R29" s="27"/>
      <c r="S29" s="41">
        <v>1.4021164021164021</v>
      </c>
      <c r="T29" s="40" t="s">
        <v>34</v>
      </c>
      <c r="U29" s="22" t="s">
        <v>34</v>
      </c>
      <c r="V29" s="1" t="s">
        <v>34</v>
      </c>
      <c r="W29" s="40">
        <v>1</v>
      </c>
      <c r="X29" s="36">
        <f t="shared" si="9"/>
        <v>0.1</v>
      </c>
      <c r="Y29" s="37">
        <f t="shared" si="10"/>
        <v>4.1728571428571426</v>
      </c>
      <c r="Z29" s="40">
        <v>13</v>
      </c>
      <c r="AA29" s="26" t="s">
        <v>250</v>
      </c>
      <c r="AB29" s="38">
        <f t="shared" si="11"/>
        <v>-0.48</v>
      </c>
      <c r="AC29" s="39">
        <v>0.34027777777777779</v>
      </c>
      <c r="AD29" s="37">
        <f t="shared" si="12"/>
        <v>-3.2666666666666666</v>
      </c>
      <c r="AE29" s="37">
        <v>-10.18</v>
      </c>
      <c r="AF29" s="42">
        <v>-6.6592374999999997</v>
      </c>
      <c r="AG29" s="37">
        <v>0</v>
      </c>
    </row>
    <row r="30" spans="1:33" ht="15.75" customHeight="1" x14ac:dyDescent="0.2">
      <c r="A30" s="40" t="s">
        <v>84</v>
      </c>
      <c r="B30" s="40" t="s">
        <v>365</v>
      </c>
      <c r="C30" s="14">
        <f t="shared" si="4"/>
        <v>25.990000000000002</v>
      </c>
      <c r="D30" s="15">
        <v>14</v>
      </c>
      <c r="E30" s="15">
        <v>0</v>
      </c>
      <c r="F30" s="16">
        <v>363.86</v>
      </c>
      <c r="G30" s="16">
        <v>-38.85</v>
      </c>
      <c r="H30" s="29">
        <f t="shared" si="1"/>
        <v>0.10677183532127742</v>
      </c>
      <c r="I30" s="29">
        <f t="shared" si="2"/>
        <v>4.5850072498121959E-2</v>
      </c>
      <c r="J30" s="30">
        <f t="shared" si="5"/>
        <v>16.683007379166657</v>
      </c>
      <c r="K30" s="30">
        <f t="shared" si="3"/>
        <v>1.1916433842261898</v>
      </c>
      <c r="L30" s="15">
        <v>65</v>
      </c>
      <c r="M30" s="31">
        <f t="shared" si="6"/>
        <v>0.2153846153846154</v>
      </c>
      <c r="N30" s="15">
        <v>210</v>
      </c>
      <c r="O30" s="32">
        <f t="shared" ref="O30:P30" si="38">D30/7</f>
        <v>2</v>
      </c>
      <c r="P30" s="32">
        <f t="shared" si="38"/>
        <v>0</v>
      </c>
      <c r="Q30" s="27">
        <f t="shared" si="8"/>
        <v>105</v>
      </c>
      <c r="R30" s="27"/>
      <c r="S30" s="41">
        <v>1.5476190476190479</v>
      </c>
      <c r="T30" s="26">
        <v>457</v>
      </c>
      <c r="U30" s="34">
        <v>250</v>
      </c>
      <c r="V30" s="35" t="s">
        <v>366</v>
      </c>
      <c r="W30" s="40">
        <v>0</v>
      </c>
      <c r="X30" s="36">
        <f t="shared" si="9"/>
        <v>0</v>
      </c>
      <c r="Y30" s="37">
        <f t="shared" si="10"/>
        <v>19.425000000000001</v>
      </c>
      <c r="Z30" s="40">
        <v>2</v>
      </c>
      <c r="AA30" s="26" t="s">
        <v>250</v>
      </c>
      <c r="AB30" s="38">
        <f t="shared" si="11"/>
        <v>-0.48</v>
      </c>
      <c r="AC30" s="39">
        <v>0.34027777777777779</v>
      </c>
      <c r="AD30" s="37">
        <f t="shared" si="12"/>
        <v>-4.5733333333333333</v>
      </c>
      <c r="AE30" s="42">
        <v>-10.18</v>
      </c>
      <c r="AF30" s="42">
        <v>-7.47533280625</v>
      </c>
      <c r="AG30" s="42">
        <v>-2</v>
      </c>
    </row>
    <row r="31" spans="1:33" ht="15.75" customHeight="1" x14ac:dyDescent="0.2">
      <c r="A31" s="40" t="s">
        <v>87</v>
      </c>
      <c r="B31" s="26" t="s">
        <v>105</v>
      </c>
      <c r="C31" s="14">
        <f t="shared" si="4"/>
        <v>25.990000000000006</v>
      </c>
      <c r="D31" s="15">
        <v>16</v>
      </c>
      <c r="E31" s="15">
        <v>1</v>
      </c>
      <c r="F31" s="16">
        <v>415.84000000000009</v>
      </c>
      <c r="G31" s="43">
        <v>-42.7</v>
      </c>
      <c r="H31" s="29">
        <f t="shared" si="1"/>
        <v>0.10268372450942669</v>
      </c>
      <c r="I31" s="29">
        <f t="shared" si="2"/>
        <v>1.9267046059381916E-2</v>
      </c>
      <c r="J31" s="30">
        <f t="shared" si="5"/>
        <v>8.0120084333333779</v>
      </c>
      <c r="K31" s="30">
        <f t="shared" si="3"/>
        <v>0.50075052708333612</v>
      </c>
      <c r="L31" s="15">
        <v>104</v>
      </c>
      <c r="M31" s="31">
        <f t="shared" si="6"/>
        <v>0.15384615384615385</v>
      </c>
      <c r="N31" s="15">
        <v>214</v>
      </c>
      <c r="O31" s="32">
        <f t="shared" ref="O31:P31" si="39">D31/7</f>
        <v>2.2857142857142856</v>
      </c>
      <c r="P31" s="32">
        <f t="shared" si="39"/>
        <v>0.14285714285714285</v>
      </c>
      <c r="Q31" s="27">
        <f t="shared" si="8"/>
        <v>88</v>
      </c>
      <c r="R31" s="27"/>
      <c r="S31" s="41">
        <v>1.7382550335570399</v>
      </c>
      <c r="T31" s="40">
        <v>207</v>
      </c>
      <c r="U31" s="22">
        <v>250</v>
      </c>
      <c r="V31" s="1" t="s">
        <v>367</v>
      </c>
      <c r="W31" s="40">
        <v>2</v>
      </c>
      <c r="X31" s="36">
        <f t="shared" si="9"/>
        <v>0.125</v>
      </c>
      <c r="Y31" s="37">
        <f t="shared" si="10"/>
        <v>8.5400000000000009</v>
      </c>
      <c r="Z31" s="40">
        <v>3</v>
      </c>
      <c r="AA31" s="40" t="s">
        <v>250</v>
      </c>
      <c r="AB31" s="38">
        <f t="shared" si="11"/>
        <v>-0.48</v>
      </c>
      <c r="AC31" s="44">
        <v>0.34027777777777779</v>
      </c>
      <c r="AD31" s="37">
        <f t="shared" si="12"/>
        <v>-5.2266666666666666</v>
      </c>
      <c r="AE31" s="45">
        <v>-10.18</v>
      </c>
      <c r="AF31" s="45">
        <v>-7.4753328062500008</v>
      </c>
      <c r="AG31" s="42">
        <v>-15.04</v>
      </c>
    </row>
    <row r="32" spans="1:33" ht="15.75" customHeight="1" x14ac:dyDescent="0.2">
      <c r="A32" s="40" t="s">
        <v>90</v>
      </c>
      <c r="B32" s="50" t="s">
        <v>368</v>
      </c>
      <c r="C32" s="14">
        <f t="shared" si="4"/>
        <v>26.152258064516129</v>
      </c>
      <c r="D32" s="15">
        <v>31</v>
      </c>
      <c r="E32" s="15">
        <v>1</v>
      </c>
      <c r="F32" s="16">
        <v>810.72</v>
      </c>
      <c r="G32" s="16">
        <v>-27.49</v>
      </c>
      <c r="H32" s="29">
        <f t="shared" si="1"/>
        <v>3.3908131044010262E-2</v>
      </c>
      <c r="I32" s="29">
        <f t="shared" si="2"/>
        <v>0.10383364952089913</v>
      </c>
      <c r="J32" s="30">
        <f t="shared" si="5"/>
        <v>84.180016339583347</v>
      </c>
      <c r="K32" s="30">
        <f t="shared" si="3"/>
        <v>2.7154843980510757</v>
      </c>
      <c r="L32" s="15">
        <v>108</v>
      </c>
      <c r="M32" s="31">
        <f t="shared" si="6"/>
        <v>0.28703703703703703</v>
      </c>
      <c r="N32" s="15">
        <v>189</v>
      </c>
      <c r="O32" s="32">
        <f t="shared" ref="O32:P32" si="40">D32/7</f>
        <v>4.4285714285714288</v>
      </c>
      <c r="P32" s="32">
        <f t="shared" si="40"/>
        <v>0.14285714285714285</v>
      </c>
      <c r="Q32" s="27">
        <f t="shared" si="8"/>
        <v>41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1.4484536082474231</v>
      </c>
      <c r="T32" s="40">
        <f ca="1">IFERROR(__xludf.DUMMYFUNCTION("IFERROR(VLOOKUP($B$2,IMPORTRANGE(""https://docs.google.com/spreadsheets/d/1KiWZV1ko8G7lnRucBRBd29jj3Be6ltMfljMDqzOkQmI/edit#gid=1381463014"",""Lookup!A:D""),4,FALSE),"""")"),207)</f>
        <v>207</v>
      </c>
      <c r="U32" s="22">
        <f ca="1">IFERROR(__xludf.DUMMYFUNCTION("IFERROR(VLOOKUP($B$2,IMPORTRANGE(""https://docs.google.com/spreadsheets/d/1KiWZV1ko8G7lnRucBRBd29jj3Be6ltMfljMDqzOkQmI/edit#gid=1381463014"",""Lookup!A:D""),3,FALSE),"""")"),250)</f>
        <v>250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- 250 units 07/22")</f>
        <v>| AGL232  - 250 units 07/22</v>
      </c>
      <c r="W32" s="40">
        <v>2</v>
      </c>
      <c r="X32" s="36">
        <f t="shared" si="9"/>
        <v>6.4516129032258063E-2</v>
      </c>
      <c r="Y32" s="37">
        <f t="shared" si="10"/>
        <v>9.1633333333333322</v>
      </c>
      <c r="Z32" s="40">
        <v>1</v>
      </c>
      <c r="AA32" s="40" t="s">
        <v>250</v>
      </c>
      <c r="AB32" s="38">
        <f t="shared" si="11"/>
        <v>-0.48</v>
      </c>
      <c r="AC32" s="44">
        <v>0.34027777777777779</v>
      </c>
      <c r="AD32" s="37">
        <f t="shared" si="12"/>
        <v>-10.126666666666667</v>
      </c>
      <c r="AE32" s="42">
        <v>-10.18</v>
      </c>
      <c r="AF32" s="42">
        <v>-7.47533280625</v>
      </c>
      <c r="AG32" s="42">
        <v>-20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164062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8.5" customWidth="1"/>
    <col min="22" max="22" width="2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3.5" customWidth="1"/>
    <col min="28" max="28" width="11.1640625" customWidth="1"/>
    <col min="29" max="29" width="8.1640625" customWidth="1"/>
    <col min="30" max="30" width="12.5" customWidth="1"/>
    <col min="31" max="31" width="9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Chair Mat 2 Pack for Hardwood Floors 36 x 48 - Floor Mats for Desk Chairs")</f>
        <v>Office Chair Mat 2 Pack for Hardwood Floors 36 x 48 - Floor Mats for Desk Chairs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Info!B1:BJ5000""),2,FALSE),"""")"),"B07FF4PZVJ")</f>
        <v>B07FF4PZVJ</v>
      </c>
      <c r="B2" s="56" t="s">
        <v>369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31.823596183823533</v>
      </c>
      <c r="D3" s="5">
        <f>SUM(D4:D99767)</f>
        <v>994</v>
      </c>
      <c r="E3" s="5"/>
      <c r="F3" s="6">
        <f t="shared" ref="F3:G3" si="0">SUM(F4:F99767)</f>
        <v>43743.399999999972</v>
      </c>
      <c r="G3" s="6">
        <f t="shared" si="0"/>
        <v>-1353.04</v>
      </c>
      <c r="H3" s="7">
        <f t="shared" ref="H3:H32" si="1">G3/F3*-1</f>
        <v>3.09312947781837E-2</v>
      </c>
      <c r="I3" s="8">
        <f t="shared" ref="I3:I32" si="2">J3/F3</f>
        <v>0.25106132085112171</v>
      </c>
      <c r="J3" s="6">
        <f>SUM(J4:J99767)</f>
        <v>10982.275782518949</v>
      </c>
      <c r="K3" s="6">
        <f t="shared" ref="K3:K32" si="3">J3/D3</f>
        <v>11.048567185632745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Sheet!a1:g5000""),2,FALSE),"""")"),"12.0 - March
12.0 - April
12.0 - May
12.0 - June
12.0 - July
12.0 - Aug
12.0 - Sept
12.0 - Oct
12.0 - Nov
12.0 - Dec
12.0 - Jan
12.0 - Feb")</f>
        <v>12.0 - March
12.0 - April
12.0 - May
12.0 - June
12.0 - July
12.0 - Aug
12.0 - Sept
12.0 - Oct
12.0 - Nov
12.0 - Dec
12.0 - Jan
12.0 -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QTY-91")</f>
        <v>Del QTY-91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55</v>
      </c>
      <c r="X3" s="7">
        <f>W3/D3</f>
        <v>5.5331991951710263E-2</v>
      </c>
      <c r="Y3" s="6"/>
      <c r="Z3" s="5"/>
      <c r="AA3" s="5"/>
      <c r="AB3" s="5"/>
      <c r="AC3" s="5"/>
      <c r="AD3" s="6">
        <f>SUM(AD4:AD99767)</f>
        <v>-495.33194006437503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Info!B2:BZ3000""),37,FALSE)),"""")*-1"),-14.59005675625)</f>
        <v>-14.59005675625</v>
      </c>
      <c r="AG3" s="6">
        <f>SUM(AG4:AG99767)</f>
        <v>-92.56</v>
      </c>
    </row>
    <row r="4" spans="1:33" x14ac:dyDescent="0.2">
      <c r="A4" s="1" t="s">
        <v>32</v>
      </c>
      <c r="B4" s="1" t="s">
        <v>105</v>
      </c>
      <c r="C4" s="14">
        <f t="shared" ref="C4:C32" si="4">IFERROR(F4/D4," - ")</f>
        <v>50.458823529411774</v>
      </c>
      <c r="D4" s="15">
        <v>34</v>
      </c>
      <c r="E4" s="15">
        <v>0</v>
      </c>
      <c r="F4" s="16">
        <v>1715.6000000000004</v>
      </c>
      <c r="G4" s="16">
        <v>-69.98</v>
      </c>
      <c r="H4" s="17">
        <f t="shared" si="1"/>
        <v>4.079039403124271E-2</v>
      </c>
      <c r="I4" s="17">
        <f t="shared" si="2"/>
        <v>0.33342817802647606</v>
      </c>
      <c r="J4" s="16">
        <f t="shared" ref="J4:J32" si="5">F4*0.85+G4+AF4*D4+D4*AE4+AG4+AD4</f>
        <v>572.02938222222247</v>
      </c>
      <c r="K4" s="16">
        <f t="shared" si="3"/>
        <v>16.824393594771248</v>
      </c>
      <c r="L4" s="15">
        <v>130</v>
      </c>
      <c r="M4" s="18">
        <f t="shared" ref="M4:M32" si="6">IFERROR(D4/L4,"-")</f>
        <v>0.26153846153846155</v>
      </c>
      <c r="N4" s="15">
        <v>347</v>
      </c>
      <c r="O4" s="19">
        <f t="shared" ref="O4:P4" si="7">D4/7</f>
        <v>4.8571428571428568</v>
      </c>
      <c r="P4" s="19">
        <f t="shared" si="7"/>
        <v>0</v>
      </c>
      <c r="Q4" s="15">
        <f t="shared" ref="Q4:Q32" si="8">ROUNDDOWN(N4/(O4+P4),0)</f>
        <v>71</v>
      </c>
      <c r="R4" s="15"/>
      <c r="S4" s="20">
        <v>1.2045826513911599</v>
      </c>
      <c r="T4" s="2">
        <v>1530</v>
      </c>
      <c r="U4" s="2">
        <v>480</v>
      </c>
      <c r="V4" s="21" t="s">
        <v>370</v>
      </c>
      <c r="W4" s="22">
        <v>3</v>
      </c>
      <c r="X4" s="23">
        <f t="shared" ref="X4:X32" si="9">IFERROR(W4/D4,0)</f>
        <v>8.8235294117647065E-2</v>
      </c>
      <c r="Y4" s="24">
        <f t="shared" ref="Y4:Y32" si="10">IFERROR(G4/(W4+Z4)*-1,0)</f>
        <v>17.495000000000001</v>
      </c>
      <c r="Z4" s="22">
        <v>1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0.51906712962962975</v>
      </c>
      <c r="AD4" s="24">
        <f t="shared" ref="AD4:AD32" si="12">IFERROR(AB4*AC4*D4*2,0)</f>
        <v>-16.942351111111115</v>
      </c>
      <c r="AE4" s="24">
        <v>-12.06</v>
      </c>
      <c r="AF4" s="24">
        <v>-11.449066666666667</v>
      </c>
      <c r="AG4" s="24">
        <v>0</v>
      </c>
    </row>
    <row r="5" spans="1:33" ht="15.75" customHeight="1" x14ac:dyDescent="0.2">
      <c r="A5" s="26" t="s">
        <v>35</v>
      </c>
      <c r="B5" s="1" t="s">
        <v>371</v>
      </c>
      <c r="C5" s="14">
        <f t="shared" si="4"/>
        <v>52.087333333333341</v>
      </c>
      <c r="D5" s="27">
        <v>30</v>
      </c>
      <c r="E5" s="27">
        <v>0</v>
      </c>
      <c r="F5" s="28">
        <v>1562.6200000000001</v>
      </c>
      <c r="G5" s="28">
        <v>-129.63000000000002</v>
      </c>
      <c r="H5" s="29">
        <f t="shared" si="1"/>
        <v>8.2956828915539294E-2</v>
      </c>
      <c r="I5" s="29">
        <f t="shared" si="2"/>
        <v>0.30612595792967545</v>
      </c>
      <c r="J5" s="30">
        <f t="shared" si="5"/>
        <v>478.35854438006953</v>
      </c>
      <c r="K5" s="30">
        <f t="shared" si="3"/>
        <v>15.945284812668984</v>
      </c>
      <c r="L5" s="27">
        <v>224</v>
      </c>
      <c r="M5" s="31">
        <f t="shared" si="6"/>
        <v>0.13392857142857142</v>
      </c>
      <c r="N5" s="27">
        <v>299</v>
      </c>
      <c r="O5" s="32">
        <f t="shared" ref="O5:P5" si="13">D5/7</f>
        <v>4.2857142857142856</v>
      </c>
      <c r="P5" s="32">
        <f t="shared" si="13"/>
        <v>0</v>
      </c>
      <c r="Q5" s="27">
        <f t="shared" si="8"/>
        <v>69</v>
      </c>
      <c r="R5" s="27"/>
      <c r="S5" s="33">
        <v>1.35985533453887</v>
      </c>
      <c r="T5" s="26">
        <v>1530</v>
      </c>
      <c r="U5" s="34">
        <v>480</v>
      </c>
      <c r="V5" s="35" t="s">
        <v>372</v>
      </c>
      <c r="W5" s="26">
        <v>4</v>
      </c>
      <c r="X5" s="36">
        <f t="shared" si="9"/>
        <v>0.13333333333333333</v>
      </c>
      <c r="Y5" s="37">
        <f t="shared" si="10"/>
        <v>21.605000000000004</v>
      </c>
      <c r="Z5" s="26">
        <v>2</v>
      </c>
      <c r="AA5" s="26" t="s">
        <v>250</v>
      </c>
      <c r="AB5" s="38">
        <f t="shared" si="11"/>
        <v>-0.48</v>
      </c>
      <c r="AC5" s="39">
        <v>0.51966859791425268</v>
      </c>
      <c r="AD5" s="37">
        <f t="shared" si="12"/>
        <v>-14.966455619930477</v>
      </c>
      <c r="AE5" s="37">
        <v>-12.06</v>
      </c>
      <c r="AF5" s="37">
        <v>-11.449066666666667</v>
      </c>
      <c r="AG5" s="37">
        <v>0</v>
      </c>
    </row>
    <row r="6" spans="1:33" ht="15.75" customHeight="1" x14ac:dyDescent="0.2">
      <c r="A6" s="26" t="s">
        <v>38</v>
      </c>
      <c r="B6" s="26" t="s">
        <v>373</v>
      </c>
      <c r="C6" s="14">
        <f t="shared" si="4"/>
        <v>48.116315789473695</v>
      </c>
      <c r="D6" s="27">
        <v>38</v>
      </c>
      <c r="E6" s="27">
        <v>0</v>
      </c>
      <c r="F6" s="28">
        <v>1828.4200000000005</v>
      </c>
      <c r="G6" s="28">
        <v>-147.63000000000002</v>
      </c>
      <c r="H6" s="29">
        <f t="shared" si="1"/>
        <v>8.0741842683847251E-2</v>
      </c>
      <c r="I6" s="29">
        <f t="shared" si="2"/>
        <v>0.27031365757198994</v>
      </c>
      <c r="J6" s="30">
        <f t="shared" si="5"/>
        <v>494.24689777777797</v>
      </c>
      <c r="K6" s="30">
        <f t="shared" si="3"/>
        <v>13.006497309941526</v>
      </c>
      <c r="L6" s="27">
        <v>221</v>
      </c>
      <c r="M6" s="31">
        <f t="shared" si="6"/>
        <v>0.17194570135746606</v>
      </c>
      <c r="N6" s="27">
        <v>261</v>
      </c>
      <c r="O6" s="32">
        <f t="shared" ref="O6:P6" si="14">D6/7</f>
        <v>5.4285714285714288</v>
      </c>
      <c r="P6" s="32">
        <f t="shared" si="14"/>
        <v>0</v>
      </c>
      <c r="Q6" s="27">
        <f t="shared" si="8"/>
        <v>48</v>
      </c>
      <c r="R6" s="27"/>
      <c r="S6" s="33">
        <v>1.3720459149223401</v>
      </c>
      <c r="T6" s="26">
        <v>1530</v>
      </c>
      <c r="U6" s="34">
        <v>480</v>
      </c>
      <c r="V6" s="49" t="s">
        <v>374</v>
      </c>
      <c r="W6" s="26">
        <v>4</v>
      </c>
      <c r="X6" s="36">
        <f t="shared" si="9"/>
        <v>0.10526315789473684</v>
      </c>
      <c r="Y6" s="37">
        <f t="shared" si="10"/>
        <v>14.763000000000002</v>
      </c>
      <c r="Z6" s="26">
        <v>6</v>
      </c>
      <c r="AA6" s="26" t="s">
        <v>250</v>
      </c>
      <c r="AB6" s="38">
        <f t="shared" si="11"/>
        <v>-0.48</v>
      </c>
      <c r="AC6" s="39">
        <v>0.51906712962962975</v>
      </c>
      <c r="AD6" s="37">
        <f t="shared" si="12"/>
        <v>-18.935568888888891</v>
      </c>
      <c r="AE6" s="37">
        <v>-12.06</v>
      </c>
      <c r="AF6" s="37">
        <v>-11.449066666666667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47.090588235294128</v>
      </c>
      <c r="D7" s="27">
        <v>34</v>
      </c>
      <c r="E7" s="27">
        <v>0</v>
      </c>
      <c r="F7" s="28">
        <v>1601.0800000000004</v>
      </c>
      <c r="G7" s="28">
        <v>-121.33000000000003</v>
      </c>
      <c r="H7" s="29">
        <f t="shared" si="1"/>
        <v>7.5780098433557347E-2</v>
      </c>
      <c r="I7" s="29">
        <f t="shared" si="2"/>
        <v>0.2644073889013806</v>
      </c>
      <c r="J7" s="30">
        <f t="shared" si="5"/>
        <v>423.33738222222257</v>
      </c>
      <c r="K7" s="30">
        <f t="shared" si="3"/>
        <v>12.451099477124194</v>
      </c>
      <c r="L7" s="27">
        <v>229</v>
      </c>
      <c r="M7" s="31">
        <f t="shared" si="6"/>
        <v>0.14847161572052403</v>
      </c>
      <c r="N7" s="27">
        <v>227</v>
      </c>
      <c r="O7" s="32">
        <f t="shared" ref="O7:P7" si="15">D7/7</f>
        <v>4.8571428571428568</v>
      </c>
      <c r="P7" s="32">
        <f t="shared" si="15"/>
        <v>0</v>
      </c>
      <c r="Q7" s="27">
        <f t="shared" si="8"/>
        <v>46</v>
      </c>
      <c r="R7" s="27"/>
      <c r="S7" s="33">
        <v>0.99203398831651601</v>
      </c>
      <c r="T7" s="26">
        <v>1530</v>
      </c>
      <c r="U7" s="34">
        <v>480</v>
      </c>
      <c r="V7" s="49" t="s">
        <v>375</v>
      </c>
      <c r="W7" s="26">
        <v>2</v>
      </c>
      <c r="X7" s="36">
        <f t="shared" si="9"/>
        <v>5.8823529411764705E-2</v>
      </c>
      <c r="Y7" s="37">
        <f t="shared" si="10"/>
        <v>24.266000000000005</v>
      </c>
      <c r="Z7" s="26">
        <v>3</v>
      </c>
      <c r="AA7" s="26" t="s">
        <v>250</v>
      </c>
      <c r="AB7" s="38">
        <f t="shared" si="11"/>
        <v>-0.48</v>
      </c>
      <c r="AC7" s="39">
        <v>0.51906712962962975</v>
      </c>
      <c r="AD7" s="37">
        <f t="shared" si="12"/>
        <v>-16.942351111111115</v>
      </c>
      <c r="AE7" s="37">
        <v>-12.06</v>
      </c>
      <c r="AF7" s="37">
        <v>-11.449066666666667</v>
      </c>
      <c r="AG7" s="37">
        <v>0</v>
      </c>
    </row>
    <row r="8" spans="1:33" ht="15.75" customHeight="1" x14ac:dyDescent="0.2">
      <c r="A8" s="26" t="s">
        <v>43</v>
      </c>
      <c r="B8" s="26" t="s">
        <v>256</v>
      </c>
      <c r="C8" s="14">
        <f t="shared" si="4"/>
        <v>46.193676470588194</v>
      </c>
      <c r="D8" s="27">
        <v>68</v>
      </c>
      <c r="E8" s="27">
        <v>0</v>
      </c>
      <c r="F8" s="28">
        <v>3141.1699999999973</v>
      </c>
      <c r="G8" s="28">
        <v>-47.71</v>
      </c>
      <c r="H8" s="29">
        <f t="shared" si="1"/>
        <v>1.5188608066421123E-2</v>
      </c>
      <c r="I8" s="29">
        <f t="shared" si="2"/>
        <v>0.31507998541237059</v>
      </c>
      <c r="J8" s="30">
        <f t="shared" si="5"/>
        <v>989.71979777777528</v>
      </c>
      <c r="K8" s="30">
        <f t="shared" si="3"/>
        <v>14.554702908496695</v>
      </c>
      <c r="L8" s="27">
        <v>188</v>
      </c>
      <c r="M8" s="31">
        <f t="shared" si="6"/>
        <v>0.36170212765957449</v>
      </c>
      <c r="N8" s="27">
        <v>158</v>
      </c>
      <c r="O8" s="32">
        <f t="shared" ref="O8:P8" si="16">D8/7</f>
        <v>9.7142857142857135</v>
      </c>
      <c r="P8" s="32">
        <f t="shared" si="16"/>
        <v>0</v>
      </c>
      <c r="Q8" s="27">
        <f t="shared" si="8"/>
        <v>16</v>
      </c>
      <c r="R8" s="27"/>
      <c r="S8" s="33">
        <v>1.1530249110320201</v>
      </c>
      <c r="T8" s="26">
        <v>1050</v>
      </c>
      <c r="U8" s="34" t="s">
        <v>34</v>
      </c>
      <c r="V8" s="35" t="s">
        <v>34</v>
      </c>
      <c r="W8" s="26">
        <v>1</v>
      </c>
      <c r="X8" s="36">
        <f t="shared" si="9"/>
        <v>1.4705882352941176E-2</v>
      </c>
      <c r="Y8" s="37">
        <f t="shared" si="10"/>
        <v>47.71</v>
      </c>
      <c r="Z8" s="26">
        <v>0</v>
      </c>
      <c r="AA8" s="26" t="s">
        <v>250</v>
      </c>
      <c r="AB8" s="38">
        <f t="shared" si="11"/>
        <v>-0.48</v>
      </c>
      <c r="AC8" s="39">
        <v>0.51906712962962975</v>
      </c>
      <c r="AD8" s="37">
        <f t="shared" si="12"/>
        <v>-33.884702222222231</v>
      </c>
      <c r="AE8" s="37">
        <v>-12.06</v>
      </c>
      <c r="AF8" s="37">
        <v>-11.45</v>
      </c>
      <c r="AG8" s="37">
        <v>0</v>
      </c>
    </row>
    <row r="9" spans="1:33" ht="15.75" customHeight="1" x14ac:dyDescent="0.2">
      <c r="A9" s="26" t="s">
        <v>45</v>
      </c>
      <c r="B9" s="26" t="s">
        <v>376</v>
      </c>
      <c r="C9" s="14">
        <f t="shared" si="4"/>
        <v>45.746052631578948</v>
      </c>
      <c r="D9" s="27">
        <v>38</v>
      </c>
      <c r="E9" s="27">
        <v>0</v>
      </c>
      <c r="F9" s="28">
        <v>1738.35</v>
      </c>
      <c r="G9" s="28">
        <v>-43.800000000000004</v>
      </c>
      <c r="H9" s="29">
        <f t="shared" si="1"/>
        <v>2.5196306842695665E-2</v>
      </c>
      <c r="I9" s="29">
        <f t="shared" si="2"/>
        <v>0.2889314950639662</v>
      </c>
      <c r="J9" s="30">
        <f t="shared" si="5"/>
        <v>502.26406444444564</v>
      </c>
      <c r="K9" s="30">
        <f t="shared" si="3"/>
        <v>13.217475380116991</v>
      </c>
      <c r="L9" s="27">
        <v>171</v>
      </c>
      <c r="M9" s="31">
        <f t="shared" si="6"/>
        <v>0.22222222222222221</v>
      </c>
      <c r="N9" s="27">
        <v>599</v>
      </c>
      <c r="O9" s="32">
        <f t="shared" ref="O9:P9" si="17">D9/7</f>
        <v>5.4285714285714288</v>
      </c>
      <c r="P9" s="32">
        <f t="shared" si="17"/>
        <v>0</v>
      </c>
      <c r="Q9" s="27">
        <f t="shared" si="8"/>
        <v>110</v>
      </c>
      <c r="R9" s="27"/>
      <c r="S9" s="33">
        <v>0.98544907175112895</v>
      </c>
      <c r="T9" s="26">
        <v>1050</v>
      </c>
      <c r="U9" s="34" t="s">
        <v>34</v>
      </c>
      <c r="V9" s="35" t="s">
        <v>34</v>
      </c>
      <c r="W9" s="26">
        <v>1</v>
      </c>
      <c r="X9" s="36">
        <f t="shared" si="9"/>
        <v>2.6315789473684209E-2</v>
      </c>
      <c r="Y9" s="37">
        <f t="shared" si="10"/>
        <v>14.600000000000001</v>
      </c>
      <c r="Z9" s="26">
        <v>2</v>
      </c>
      <c r="AA9" s="26" t="s">
        <v>250</v>
      </c>
      <c r="AB9" s="38">
        <f t="shared" si="11"/>
        <v>-0.48</v>
      </c>
      <c r="AC9" s="39">
        <v>0.51906712962962975</v>
      </c>
      <c r="AD9" s="37">
        <f t="shared" si="12"/>
        <v>-18.935568888888891</v>
      </c>
      <c r="AE9" s="37">
        <v>-12.06</v>
      </c>
      <c r="AF9" s="37">
        <v>-11.955733333333299</v>
      </c>
      <c r="AG9" s="37">
        <v>0</v>
      </c>
    </row>
    <row r="10" spans="1:33" ht="15.75" customHeight="1" x14ac:dyDescent="0.2">
      <c r="A10" s="26" t="s">
        <v>48</v>
      </c>
      <c r="B10" s="26" t="s">
        <v>377</v>
      </c>
      <c r="C10" s="14">
        <f t="shared" si="4"/>
        <v>41.091449275362265</v>
      </c>
      <c r="D10" s="27">
        <v>69</v>
      </c>
      <c r="E10" s="27">
        <v>0</v>
      </c>
      <c r="F10" s="28">
        <v>2835.3099999999963</v>
      </c>
      <c r="G10" s="28">
        <v>-38.880000000000003</v>
      </c>
      <c r="H10" s="29">
        <f t="shared" si="1"/>
        <v>1.3712786256176591E-2</v>
      </c>
      <c r="I10" s="29">
        <f t="shared" si="2"/>
        <v>0.23971449094925534</v>
      </c>
      <c r="J10" s="30">
        <f t="shared" si="5"/>
        <v>679.66489333333232</v>
      </c>
      <c r="K10" s="30">
        <f t="shared" si="3"/>
        <v>9.850215845410613</v>
      </c>
      <c r="L10" s="27">
        <v>255</v>
      </c>
      <c r="M10" s="31">
        <f t="shared" si="6"/>
        <v>0.27058823529411763</v>
      </c>
      <c r="N10" s="27">
        <v>531</v>
      </c>
      <c r="O10" s="32">
        <f t="shared" ref="O10:P10" si="18">D10/7</f>
        <v>9.8571428571428577</v>
      </c>
      <c r="P10" s="32">
        <f t="shared" si="18"/>
        <v>0</v>
      </c>
      <c r="Q10" s="27">
        <f t="shared" si="8"/>
        <v>53</v>
      </c>
      <c r="R10" s="27"/>
      <c r="S10" s="33">
        <v>1.1168831168831099</v>
      </c>
      <c r="T10" s="26">
        <v>1050</v>
      </c>
      <c r="U10" s="34" t="s">
        <v>34</v>
      </c>
      <c r="V10" s="35" t="s">
        <v>34</v>
      </c>
      <c r="W10" s="26">
        <v>3</v>
      </c>
      <c r="X10" s="36">
        <f t="shared" si="9"/>
        <v>4.3478260869565216E-2</v>
      </c>
      <c r="Y10" s="37">
        <f t="shared" si="10"/>
        <v>4.32</v>
      </c>
      <c r="Z10" s="26">
        <v>6</v>
      </c>
      <c r="AA10" s="26" t="s">
        <v>250</v>
      </c>
      <c r="AB10" s="38">
        <f t="shared" si="11"/>
        <v>-0.48</v>
      </c>
      <c r="AC10" s="39">
        <v>0.51906712962962975</v>
      </c>
      <c r="AD10" s="37">
        <f t="shared" si="12"/>
        <v>-34.383006666666674</v>
      </c>
      <c r="AE10" s="37">
        <v>-12.06</v>
      </c>
      <c r="AF10" s="37">
        <v>-11.955733333333299</v>
      </c>
      <c r="AG10" s="37">
        <v>0</v>
      </c>
    </row>
    <row r="11" spans="1:33" ht="15.75" customHeight="1" x14ac:dyDescent="0.2">
      <c r="A11" s="26" t="s">
        <v>50</v>
      </c>
      <c r="B11" s="26" t="s">
        <v>378</v>
      </c>
      <c r="C11" s="14">
        <f t="shared" si="4"/>
        <v>39.989999999999924</v>
      </c>
      <c r="D11" s="27">
        <v>109</v>
      </c>
      <c r="E11" s="27">
        <v>0</v>
      </c>
      <c r="F11" s="28">
        <v>4358.9099999999917</v>
      </c>
      <c r="G11" s="28">
        <v>-39.120000000000005</v>
      </c>
      <c r="H11" s="29">
        <f t="shared" si="1"/>
        <v>8.9747207444063025E-3</v>
      </c>
      <c r="I11" s="29">
        <f t="shared" si="2"/>
        <v>0.22802108376227559</v>
      </c>
      <c r="J11" s="30">
        <f t="shared" si="5"/>
        <v>993.92338222221883</v>
      </c>
      <c r="K11" s="30">
        <f t="shared" si="3"/>
        <v>9.1185631396533839</v>
      </c>
      <c r="L11" s="27">
        <v>197</v>
      </c>
      <c r="M11" s="31">
        <f t="shared" si="6"/>
        <v>0.5532994923857868</v>
      </c>
      <c r="N11" s="27">
        <v>432</v>
      </c>
      <c r="O11" s="32">
        <f t="shared" ref="O11:P11" si="19">D11/7</f>
        <v>15.571428571428571</v>
      </c>
      <c r="P11" s="32">
        <f t="shared" si="19"/>
        <v>0</v>
      </c>
      <c r="Q11" s="27">
        <f t="shared" si="8"/>
        <v>27</v>
      </c>
      <c r="R11" s="27"/>
      <c r="S11" s="33">
        <v>1.40355174525413</v>
      </c>
      <c r="T11" s="26">
        <v>1050</v>
      </c>
      <c r="U11" s="34" t="s">
        <v>34</v>
      </c>
      <c r="V11" s="35" t="s">
        <v>34</v>
      </c>
      <c r="W11" s="26">
        <v>2</v>
      </c>
      <c r="X11" s="36">
        <f t="shared" si="9"/>
        <v>1.834862385321101E-2</v>
      </c>
      <c r="Y11" s="37">
        <f t="shared" si="10"/>
        <v>9.7800000000000011</v>
      </c>
      <c r="Z11" s="26">
        <v>2</v>
      </c>
      <c r="AA11" s="26" t="s">
        <v>250</v>
      </c>
      <c r="AB11" s="38">
        <f t="shared" si="11"/>
        <v>-0.48</v>
      </c>
      <c r="AC11" s="39">
        <v>0.51906712962962975</v>
      </c>
      <c r="AD11" s="37">
        <f t="shared" si="12"/>
        <v>-54.315184444444455</v>
      </c>
      <c r="AE11" s="37">
        <v>-12.06</v>
      </c>
      <c r="AF11" s="37">
        <v>-11.955733333333299</v>
      </c>
      <c r="AG11" s="37">
        <v>0</v>
      </c>
    </row>
    <row r="12" spans="1:33" ht="15.75" customHeight="1" x14ac:dyDescent="0.2">
      <c r="A12" s="26" t="s">
        <v>52</v>
      </c>
      <c r="B12" s="26" t="s">
        <v>379</v>
      </c>
      <c r="C12" s="14">
        <f t="shared" si="4"/>
        <v>40.366956521739084</v>
      </c>
      <c r="D12" s="27">
        <v>69</v>
      </c>
      <c r="E12" s="27">
        <v>0</v>
      </c>
      <c r="F12" s="28">
        <v>2785.319999999997</v>
      </c>
      <c r="G12" s="28">
        <v>-37.519999999999989</v>
      </c>
      <c r="H12" s="29">
        <f t="shared" si="1"/>
        <v>1.3470624560194171E-2</v>
      </c>
      <c r="I12" s="29">
        <f t="shared" si="2"/>
        <v>0.22924956318603734</v>
      </c>
      <c r="J12" s="30">
        <f t="shared" si="5"/>
        <v>638.53339333333281</v>
      </c>
      <c r="K12" s="30">
        <f t="shared" si="3"/>
        <v>9.2541071497584468</v>
      </c>
      <c r="L12" s="27">
        <v>184</v>
      </c>
      <c r="M12" s="31">
        <f t="shared" si="6"/>
        <v>0.375</v>
      </c>
      <c r="N12" s="27">
        <v>355</v>
      </c>
      <c r="O12" s="32">
        <f t="shared" ref="O12:P12" si="20">D12/7</f>
        <v>9.8571428571428577</v>
      </c>
      <c r="P12" s="32">
        <f t="shared" si="20"/>
        <v>0</v>
      </c>
      <c r="Q12" s="27">
        <f t="shared" si="8"/>
        <v>36</v>
      </c>
      <c r="R12" s="27"/>
      <c r="S12" s="33">
        <v>1.7150916784203101</v>
      </c>
      <c r="T12" s="26">
        <v>1050</v>
      </c>
      <c r="U12" s="34" t="s">
        <v>34</v>
      </c>
      <c r="V12" s="35" t="s">
        <v>34</v>
      </c>
      <c r="W12" s="26">
        <v>2</v>
      </c>
      <c r="X12" s="36">
        <f t="shared" si="9"/>
        <v>2.8985507246376812E-2</v>
      </c>
      <c r="Y12" s="37">
        <f t="shared" si="10"/>
        <v>7.5039999999999978</v>
      </c>
      <c r="Z12" s="26">
        <v>3</v>
      </c>
      <c r="AA12" s="26" t="s">
        <v>250</v>
      </c>
      <c r="AB12" s="38">
        <f t="shared" si="11"/>
        <v>-0.48</v>
      </c>
      <c r="AC12" s="39">
        <v>0.51906712962962975</v>
      </c>
      <c r="AD12" s="37">
        <f t="shared" si="12"/>
        <v>-34.383006666666674</v>
      </c>
      <c r="AE12" s="37">
        <v>-12.06</v>
      </c>
      <c r="AF12" s="37">
        <v>-11.955733333333299</v>
      </c>
      <c r="AG12" s="37">
        <v>0</v>
      </c>
    </row>
    <row r="13" spans="1:33" ht="15.75" customHeight="1" x14ac:dyDescent="0.2">
      <c r="A13" s="26" t="s">
        <v>54</v>
      </c>
      <c r="B13" s="26" t="s">
        <v>380</v>
      </c>
      <c r="C13" s="14">
        <f t="shared" si="4"/>
        <v>44.93897959183672</v>
      </c>
      <c r="D13" s="27">
        <v>49</v>
      </c>
      <c r="E13" s="27">
        <v>3</v>
      </c>
      <c r="F13" s="30">
        <v>2202.0099999999993</v>
      </c>
      <c r="G13" s="28">
        <v>-37.97</v>
      </c>
      <c r="H13" s="29">
        <f t="shared" si="1"/>
        <v>1.7243336769587791E-2</v>
      </c>
      <c r="I13" s="29">
        <f t="shared" si="2"/>
        <v>0.28132659807277061</v>
      </c>
      <c r="J13" s="30">
        <f t="shared" si="5"/>
        <v>619.48398222222136</v>
      </c>
      <c r="K13" s="30">
        <f t="shared" si="3"/>
        <v>12.642530249433088</v>
      </c>
      <c r="L13" s="27">
        <v>95</v>
      </c>
      <c r="M13" s="31">
        <f t="shared" si="6"/>
        <v>0.51578947368421058</v>
      </c>
      <c r="N13" s="27">
        <v>294</v>
      </c>
      <c r="O13" s="32">
        <f t="shared" ref="O13:P13" si="21">D13/7</f>
        <v>7</v>
      </c>
      <c r="P13" s="32">
        <f t="shared" si="21"/>
        <v>0.42857142857142855</v>
      </c>
      <c r="Q13" s="27">
        <f t="shared" si="8"/>
        <v>39</v>
      </c>
      <c r="R13" s="27"/>
      <c r="S13" s="33">
        <v>1.8087472201630801</v>
      </c>
      <c r="T13" s="26">
        <v>1050</v>
      </c>
      <c r="U13" s="34" t="s">
        <v>34</v>
      </c>
      <c r="V13" s="35" t="s">
        <v>34</v>
      </c>
      <c r="W13" s="26">
        <v>1</v>
      </c>
      <c r="X13" s="36">
        <f t="shared" si="9"/>
        <v>2.0408163265306121E-2</v>
      </c>
      <c r="Y13" s="37">
        <f t="shared" si="10"/>
        <v>18.984999999999999</v>
      </c>
      <c r="Z13" s="26">
        <v>1</v>
      </c>
      <c r="AA13" s="26" t="s">
        <v>250</v>
      </c>
      <c r="AB13" s="38">
        <f t="shared" si="11"/>
        <v>-0.48</v>
      </c>
      <c r="AC13" s="39">
        <v>0.51906712962962975</v>
      </c>
      <c r="AD13" s="37">
        <f t="shared" si="12"/>
        <v>-24.416917777777783</v>
      </c>
      <c r="AE13" s="37">
        <v>-12.06</v>
      </c>
      <c r="AF13" s="37">
        <v>-12.2224</v>
      </c>
      <c r="AG13" s="37">
        <v>0</v>
      </c>
    </row>
    <row r="14" spans="1:33" ht="15.75" customHeight="1" x14ac:dyDescent="0.2">
      <c r="A14" s="26" t="s">
        <v>56</v>
      </c>
      <c r="B14" s="26" t="s">
        <v>381</v>
      </c>
      <c r="C14" s="14">
        <f t="shared" si="4"/>
        <v>45.952500000000001</v>
      </c>
      <c r="D14" s="27">
        <v>40</v>
      </c>
      <c r="E14" s="27">
        <v>1</v>
      </c>
      <c r="F14" s="30">
        <v>1838.1000000000001</v>
      </c>
      <c r="G14" s="28">
        <v>-43.419999999999995</v>
      </c>
      <c r="H14" s="29">
        <f t="shared" si="1"/>
        <v>2.3622218595288607E-2</v>
      </c>
      <c r="I14" s="29">
        <f t="shared" si="2"/>
        <v>0.28710996258213489</v>
      </c>
      <c r="J14" s="30">
        <f t="shared" si="5"/>
        <v>527.73682222222214</v>
      </c>
      <c r="K14" s="30">
        <f t="shared" si="3"/>
        <v>13.193420555555553</v>
      </c>
      <c r="L14" s="27">
        <v>108</v>
      </c>
      <c r="M14" s="31">
        <f t="shared" si="6"/>
        <v>0.37037037037037035</v>
      </c>
      <c r="N14" s="27">
        <v>253</v>
      </c>
      <c r="O14" s="32">
        <f t="shared" ref="O14:P14" si="22">D14/7</f>
        <v>5.7142857142857144</v>
      </c>
      <c r="P14" s="32">
        <f t="shared" si="22"/>
        <v>0.14285714285714285</v>
      </c>
      <c r="Q14" s="27">
        <f t="shared" si="8"/>
        <v>43</v>
      </c>
      <c r="R14" s="27"/>
      <c r="S14" s="33">
        <v>1.6197274497079801</v>
      </c>
      <c r="T14" s="26">
        <v>1050</v>
      </c>
      <c r="U14" s="34" t="s">
        <v>34</v>
      </c>
      <c r="V14" s="35" t="s">
        <v>34</v>
      </c>
      <c r="W14" s="26">
        <v>2</v>
      </c>
      <c r="X14" s="36">
        <f t="shared" si="9"/>
        <v>0.05</v>
      </c>
      <c r="Y14" s="37">
        <f t="shared" si="10"/>
        <v>10.854999999999999</v>
      </c>
      <c r="Z14" s="26">
        <v>2</v>
      </c>
      <c r="AA14" s="26" t="s">
        <v>250</v>
      </c>
      <c r="AB14" s="38">
        <f t="shared" si="11"/>
        <v>-0.48</v>
      </c>
      <c r="AC14" s="39">
        <v>0.51906712962962975</v>
      </c>
      <c r="AD14" s="37">
        <f t="shared" si="12"/>
        <v>-19.932177777777781</v>
      </c>
      <c r="AE14" s="37">
        <v>-12.06</v>
      </c>
      <c r="AF14" s="37">
        <v>-12.2224</v>
      </c>
      <c r="AG14" s="37">
        <v>0</v>
      </c>
    </row>
    <row r="15" spans="1:33" ht="15.75" customHeight="1" x14ac:dyDescent="0.2">
      <c r="A15" s="26" t="s">
        <v>58</v>
      </c>
      <c r="B15" s="26" t="s">
        <v>382</v>
      </c>
      <c r="C15" s="14">
        <f t="shared" si="4"/>
        <v>46.960588235294118</v>
      </c>
      <c r="D15" s="27">
        <v>34</v>
      </c>
      <c r="E15" s="27">
        <v>2</v>
      </c>
      <c r="F15" s="30">
        <v>1596.66</v>
      </c>
      <c r="G15" s="28">
        <v>-42.629999999999995</v>
      </c>
      <c r="H15" s="29">
        <f t="shared" si="1"/>
        <v>2.669948517530344E-2</v>
      </c>
      <c r="I15" s="29">
        <f t="shared" si="2"/>
        <v>0.29560898932076257</v>
      </c>
      <c r="J15" s="30">
        <f t="shared" si="5"/>
        <v>471.98704888888881</v>
      </c>
      <c r="K15" s="30">
        <f t="shared" si="3"/>
        <v>13.881972026143789</v>
      </c>
      <c r="L15" s="27">
        <v>86</v>
      </c>
      <c r="M15" s="31">
        <f t="shared" si="6"/>
        <v>0.39534883720930231</v>
      </c>
      <c r="N15" s="27">
        <v>217</v>
      </c>
      <c r="O15" s="32">
        <f t="shared" ref="O15:P15" si="23">D15/7</f>
        <v>4.8571428571428568</v>
      </c>
      <c r="P15" s="32">
        <f t="shared" si="23"/>
        <v>0.2857142857142857</v>
      </c>
      <c r="Q15" s="27">
        <f t="shared" si="8"/>
        <v>42</v>
      </c>
      <c r="R15" s="27"/>
      <c r="S15" s="33">
        <v>1.8538745387453801</v>
      </c>
      <c r="T15" s="26">
        <v>1750</v>
      </c>
      <c r="U15" s="34" t="s">
        <v>34</v>
      </c>
      <c r="V15" s="35" t="s">
        <v>34</v>
      </c>
      <c r="W15" s="26">
        <v>2</v>
      </c>
      <c r="X15" s="36">
        <f t="shared" si="9"/>
        <v>5.8823529411764705E-2</v>
      </c>
      <c r="Y15" s="37">
        <f t="shared" si="10"/>
        <v>10.657499999999999</v>
      </c>
      <c r="Z15" s="26">
        <v>2</v>
      </c>
      <c r="AA15" s="26" t="s">
        <v>250</v>
      </c>
      <c r="AB15" s="38">
        <f t="shared" si="11"/>
        <v>-0.48</v>
      </c>
      <c r="AC15" s="39">
        <v>0.51906712962962975</v>
      </c>
      <c r="AD15" s="37">
        <f t="shared" si="12"/>
        <v>-16.942351111111115</v>
      </c>
      <c r="AE15" s="37">
        <v>-12.06</v>
      </c>
      <c r="AF15" s="37">
        <v>-12.2224</v>
      </c>
      <c r="AG15" s="37">
        <v>0</v>
      </c>
    </row>
    <row r="16" spans="1:33" ht="15.75" customHeight="1" x14ac:dyDescent="0.2">
      <c r="A16" s="26" t="s">
        <v>60</v>
      </c>
      <c r="B16" s="26" t="s">
        <v>382</v>
      </c>
      <c r="C16" s="14">
        <f t="shared" si="4"/>
        <v>46.99</v>
      </c>
      <c r="D16" s="27">
        <v>26</v>
      </c>
      <c r="E16" s="27">
        <v>4</v>
      </c>
      <c r="F16" s="30">
        <v>1221.74</v>
      </c>
      <c r="G16" s="28">
        <v>-40.83</v>
      </c>
      <c r="H16" s="29">
        <f t="shared" si="1"/>
        <v>3.3419549167580664E-2</v>
      </c>
      <c r="I16" s="29">
        <f t="shared" si="2"/>
        <v>0.28921921558142033</v>
      </c>
      <c r="J16" s="30">
        <f t="shared" si="5"/>
        <v>353.35068444444448</v>
      </c>
      <c r="K16" s="30">
        <f t="shared" si="3"/>
        <v>13.590410940170942</v>
      </c>
      <c r="L16" s="27">
        <v>98</v>
      </c>
      <c r="M16" s="31">
        <f t="shared" si="6"/>
        <v>0.26530612244897961</v>
      </c>
      <c r="N16" s="27">
        <v>189</v>
      </c>
      <c r="O16" s="32">
        <f t="shared" ref="O16:P16" si="24">D16/7</f>
        <v>3.7142857142857144</v>
      </c>
      <c r="P16" s="32">
        <f t="shared" si="24"/>
        <v>0.5714285714285714</v>
      </c>
      <c r="Q16" s="27">
        <f t="shared" si="8"/>
        <v>44</v>
      </c>
      <c r="R16" s="27"/>
      <c r="S16" s="33">
        <v>2.1685106382978701</v>
      </c>
      <c r="T16" s="26">
        <v>1750</v>
      </c>
      <c r="U16" s="34" t="s">
        <v>34</v>
      </c>
      <c r="V16" s="35" t="s">
        <v>34</v>
      </c>
      <c r="W16" s="26">
        <v>3</v>
      </c>
      <c r="X16" s="36">
        <f t="shared" si="9"/>
        <v>0.11538461538461539</v>
      </c>
      <c r="Y16" s="37">
        <f t="shared" si="10"/>
        <v>13.61</v>
      </c>
      <c r="Z16" s="26">
        <v>0</v>
      </c>
      <c r="AA16" s="26" t="s">
        <v>250</v>
      </c>
      <c r="AB16" s="38">
        <f t="shared" si="11"/>
        <v>-0.48</v>
      </c>
      <c r="AC16" s="39">
        <v>0.51906712962962975</v>
      </c>
      <c r="AD16" s="37">
        <f t="shared" si="12"/>
        <v>-12.955915555555558</v>
      </c>
      <c r="AE16" s="37">
        <v>-12.06</v>
      </c>
      <c r="AF16" s="37">
        <v>-12.2224</v>
      </c>
      <c r="AG16" s="37">
        <v>0</v>
      </c>
    </row>
    <row r="17" spans="1:33" ht="15.75" customHeight="1" x14ac:dyDescent="0.2">
      <c r="A17" s="26" t="s">
        <v>61</v>
      </c>
      <c r="B17" s="26" t="s">
        <v>383</v>
      </c>
      <c r="C17" s="14">
        <f t="shared" si="4"/>
        <v>46.99</v>
      </c>
      <c r="D17" s="27">
        <v>30</v>
      </c>
      <c r="E17" s="27">
        <v>0</v>
      </c>
      <c r="F17" s="30">
        <v>1409.7</v>
      </c>
      <c r="G17" s="28">
        <v>-38.83</v>
      </c>
      <c r="H17" s="29">
        <f t="shared" si="1"/>
        <v>2.7544867702348014E-2</v>
      </c>
      <c r="I17" s="29">
        <f t="shared" si="2"/>
        <v>0.29509389704665306</v>
      </c>
      <c r="J17" s="30">
        <f t="shared" si="5"/>
        <v>415.9938666666668</v>
      </c>
      <c r="K17" s="30">
        <f t="shared" si="3"/>
        <v>13.866462222222227</v>
      </c>
      <c r="L17" s="27">
        <v>81</v>
      </c>
      <c r="M17" s="31">
        <f t="shared" si="6"/>
        <v>0.37037037037037035</v>
      </c>
      <c r="N17" s="27">
        <v>156</v>
      </c>
      <c r="O17" s="32">
        <f t="shared" ref="O17:P17" si="25">D17/7</f>
        <v>4.2857142857142856</v>
      </c>
      <c r="P17" s="32">
        <f t="shared" si="25"/>
        <v>0</v>
      </c>
      <c r="Q17" s="27">
        <f t="shared" si="8"/>
        <v>36</v>
      </c>
      <c r="R17" s="27"/>
      <c r="S17" s="33">
        <v>1.7771739130434701</v>
      </c>
      <c r="T17" s="26">
        <v>1750</v>
      </c>
      <c r="U17" s="34" t="s">
        <v>34</v>
      </c>
      <c r="V17" s="35" t="s">
        <v>34</v>
      </c>
      <c r="W17" s="26">
        <v>1</v>
      </c>
      <c r="X17" s="36">
        <f t="shared" si="9"/>
        <v>3.3333333333333333E-2</v>
      </c>
      <c r="Y17" s="37">
        <f t="shared" si="10"/>
        <v>19.414999999999999</v>
      </c>
      <c r="Z17" s="26">
        <v>1</v>
      </c>
      <c r="AA17" s="26" t="s">
        <v>250</v>
      </c>
      <c r="AB17" s="38">
        <f t="shared" si="11"/>
        <v>-0.48</v>
      </c>
      <c r="AC17" s="39">
        <v>0.51906712962962975</v>
      </c>
      <c r="AD17" s="37">
        <f t="shared" si="12"/>
        <v>-14.949133333333336</v>
      </c>
      <c r="AE17" s="37">
        <v>-12.06</v>
      </c>
      <c r="AF17" s="37">
        <v>-12.2224</v>
      </c>
      <c r="AG17" s="37">
        <v>0</v>
      </c>
    </row>
    <row r="18" spans="1:33" ht="15.75" customHeight="1" x14ac:dyDescent="0.2">
      <c r="A18" s="26" t="s">
        <v>62</v>
      </c>
      <c r="B18" s="26" t="s">
        <v>384</v>
      </c>
      <c r="C18" s="14">
        <f t="shared" si="4"/>
        <v>39.99</v>
      </c>
      <c r="D18" s="27">
        <v>31</v>
      </c>
      <c r="E18" s="27">
        <v>0</v>
      </c>
      <c r="F18" s="30">
        <v>1239.69</v>
      </c>
      <c r="G18" s="28">
        <v>-43.000000000000007</v>
      </c>
      <c r="H18" s="29">
        <f t="shared" si="1"/>
        <v>3.4686090877558105E-2</v>
      </c>
      <c r="I18" s="29">
        <f t="shared" si="2"/>
        <v>0.19564137987901986</v>
      </c>
      <c r="J18" s="30">
        <f t="shared" si="5"/>
        <v>242.53466222222215</v>
      </c>
      <c r="K18" s="30">
        <f t="shared" si="3"/>
        <v>7.8236987813620047</v>
      </c>
      <c r="L18" s="27">
        <v>87</v>
      </c>
      <c r="M18" s="31">
        <f t="shared" si="6"/>
        <v>0.35632183908045978</v>
      </c>
      <c r="N18" s="27">
        <v>129</v>
      </c>
      <c r="O18" s="32">
        <f t="shared" ref="O18:P18" si="26">D18/7</f>
        <v>4.4285714285714288</v>
      </c>
      <c r="P18" s="32">
        <f t="shared" si="26"/>
        <v>0</v>
      </c>
      <c r="Q18" s="27">
        <f t="shared" si="8"/>
        <v>29</v>
      </c>
      <c r="R18" s="27"/>
      <c r="S18" s="33">
        <v>1.9739063699155699</v>
      </c>
      <c r="T18" s="26">
        <v>1750</v>
      </c>
      <c r="U18" s="34" t="s">
        <v>34</v>
      </c>
      <c r="V18" s="35" t="s">
        <v>34</v>
      </c>
      <c r="W18" s="26">
        <v>5</v>
      </c>
      <c r="X18" s="36">
        <f t="shared" si="9"/>
        <v>0.16129032258064516</v>
      </c>
      <c r="Y18" s="37">
        <f t="shared" si="10"/>
        <v>7.1666666666666679</v>
      </c>
      <c r="Z18" s="26">
        <v>1</v>
      </c>
      <c r="AA18" s="26" t="s">
        <v>250</v>
      </c>
      <c r="AB18" s="38">
        <f t="shared" si="11"/>
        <v>-0.48</v>
      </c>
      <c r="AC18" s="39">
        <v>0.51906712962962975</v>
      </c>
      <c r="AD18" s="37">
        <f t="shared" si="12"/>
        <v>-15.447437777777781</v>
      </c>
      <c r="AE18" s="37">
        <v>-12.06</v>
      </c>
      <c r="AF18" s="37">
        <v>-12.2224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47.99</v>
      </c>
      <c r="D19" s="27">
        <v>22</v>
      </c>
      <c r="E19" s="27">
        <v>2</v>
      </c>
      <c r="F19" s="30">
        <v>1055.78</v>
      </c>
      <c r="G19" s="28">
        <v>-41.699999999999996</v>
      </c>
      <c r="H19" s="29">
        <f t="shared" si="1"/>
        <v>3.9496864877152434E-2</v>
      </c>
      <c r="I19" s="29">
        <f t="shared" si="2"/>
        <v>0.29413088164411344</v>
      </c>
      <c r="J19" s="30">
        <f t="shared" si="5"/>
        <v>310.53750222222209</v>
      </c>
      <c r="K19" s="30">
        <f t="shared" si="3"/>
        <v>14.115341010101004</v>
      </c>
      <c r="L19" s="27">
        <v>60</v>
      </c>
      <c r="M19" s="31">
        <f t="shared" si="6"/>
        <v>0.36666666666666664</v>
      </c>
      <c r="N19" s="27">
        <v>105</v>
      </c>
      <c r="O19" s="32">
        <f t="shared" ref="O19:P19" si="27">D19/7</f>
        <v>3.1428571428571428</v>
      </c>
      <c r="P19" s="32">
        <f t="shared" si="27"/>
        <v>0.2857142857142857</v>
      </c>
      <c r="Q19" s="27">
        <f t="shared" si="8"/>
        <v>30</v>
      </c>
      <c r="R19" s="27"/>
      <c r="S19" s="33">
        <v>2.1371237458193901</v>
      </c>
      <c r="T19" s="26">
        <v>2797</v>
      </c>
      <c r="U19" s="34">
        <v>525</v>
      </c>
      <c r="V19" s="35" t="s">
        <v>385</v>
      </c>
      <c r="W19" s="26">
        <v>0</v>
      </c>
      <c r="X19" s="36">
        <f t="shared" si="9"/>
        <v>0</v>
      </c>
      <c r="Y19" s="37">
        <f t="shared" si="10"/>
        <v>41.699999999999996</v>
      </c>
      <c r="Z19" s="26">
        <v>1</v>
      </c>
      <c r="AA19" s="26" t="s">
        <v>250</v>
      </c>
      <c r="AB19" s="38">
        <f t="shared" si="11"/>
        <v>-0.48</v>
      </c>
      <c r="AC19" s="39">
        <v>0.51906712962962975</v>
      </c>
      <c r="AD19" s="37">
        <f t="shared" si="12"/>
        <v>-10.96269777777778</v>
      </c>
      <c r="AE19" s="37">
        <v>-12.06</v>
      </c>
      <c r="AF19" s="37">
        <v>-12.2224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47.99</v>
      </c>
      <c r="D20" s="27">
        <v>12</v>
      </c>
      <c r="E20" s="27">
        <v>1</v>
      </c>
      <c r="F20" s="30">
        <v>575.88</v>
      </c>
      <c r="G20" s="28">
        <v>-39.939999999999991</v>
      </c>
      <c r="H20" s="29">
        <f t="shared" si="1"/>
        <v>6.9354726679169254E-2</v>
      </c>
      <c r="I20" s="29">
        <f t="shared" si="2"/>
        <v>0.26427301984209667</v>
      </c>
      <c r="J20" s="30">
        <f t="shared" si="5"/>
        <v>152.18954666666662</v>
      </c>
      <c r="K20" s="30">
        <f t="shared" si="3"/>
        <v>12.682462222222219</v>
      </c>
      <c r="L20" s="27">
        <v>40</v>
      </c>
      <c r="M20" s="31">
        <f t="shared" si="6"/>
        <v>0.3</v>
      </c>
      <c r="N20" s="27">
        <v>89</v>
      </c>
      <c r="O20" s="32">
        <f t="shared" ref="O20:P20" si="28">D20/7</f>
        <v>1.7142857142857142</v>
      </c>
      <c r="P20" s="32">
        <f t="shared" si="28"/>
        <v>0.14285714285714285</v>
      </c>
      <c r="Q20" s="27">
        <f t="shared" si="8"/>
        <v>47</v>
      </c>
      <c r="R20" s="27"/>
      <c r="S20" s="33">
        <v>2.4984740590030499</v>
      </c>
      <c r="T20" s="26">
        <v>2797</v>
      </c>
      <c r="U20" s="34">
        <v>525</v>
      </c>
      <c r="V20" s="35" t="s">
        <v>385</v>
      </c>
      <c r="W20" s="26">
        <v>0</v>
      </c>
      <c r="X20" s="36">
        <f t="shared" si="9"/>
        <v>0</v>
      </c>
      <c r="Y20" s="37">
        <f t="shared" si="10"/>
        <v>7.9879999999999978</v>
      </c>
      <c r="Z20" s="26">
        <v>5</v>
      </c>
      <c r="AA20" s="26" t="s">
        <v>250</v>
      </c>
      <c r="AB20" s="38">
        <f t="shared" si="11"/>
        <v>-0.48</v>
      </c>
      <c r="AC20" s="39">
        <v>0.51906712962962975</v>
      </c>
      <c r="AD20" s="37">
        <f t="shared" si="12"/>
        <v>-5.979653333333335</v>
      </c>
      <c r="AE20" s="37">
        <v>-12.06</v>
      </c>
      <c r="AF20" s="37">
        <v>-12.2224</v>
      </c>
      <c r="AG20" s="37">
        <v>0</v>
      </c>
    </row>
    <row r="21" spans="1:33" ht="15.75" customHeight="1" x14ac:dyDescent="0.2">
      <c r="A21" s="26" t="s">
        <v>66</v>
      </c>
      <c r="B21" s="26" t="s">
        <v>386</v>
      </c>
      <c r="C21" s="14">
        <f t="shared" si="4"/>
        <v>47.99</v>
      </c>
      <c r="D21" s="27">
        <v>27</v>
      </c>
      <c r="E21" s="27">
        <v>1</v>
      </c>
      <c r="F21" s="30">
        <v>1295.73</v>
      </c>
      <c r="G21" s="28">
        <v>-37.120000000000005</v>
      </c>
      <c r="H21" s="29">
        <f t="shared" si="1"/>
        <v>2.8647943630231609E-2</v>
      </c>
      <c r="I21" s="29">
        <f t="shared" si="2"/>
        <v>0.30497980289103449</v>
      </c>
      <c r="J21" s="30">
        <f t="shared" si="5"/>
        <v>395.17148000000014</v>
      </c>
      <c r="K21" s="30">
        <f t="shared" si="3"/>
        <v>14.635980740740747</v>
      </c>
      <c r="L21" s="27">
        <v>28</v>
      </c>
      <c r="M21" s="31">
        <f t="shared" si="6"/>
        <v>0.9642857142857143</v>
      </c>
      <c r="N21" s="27">
        <v>61</v>
      </c>
      <c r="O21" s="32">
        <f t="shared" ref="O21:P21" si="29">D21/7</f>
        <v>3.8571428571428572</v>
      </c>
      <c r="P21" s="32">
        <f t="shared" si="29"/>
        <v>0.14285714285714285</v>
      </c>
      <c r="Q21" s="27">
        <f t="shared" si="8"/>
        <v>15</v>
      </c>
      <c r="R21" s="27"/>
      <c r="S21" s="33">
        <v>3</v>
      </c>
      <c r="T21" s="26" t="s">
        <v>34</v>
      </c>
      <c r="U21" s="34" t="s">
        <v>34</v>
      </c>
      <c r="V21" s="35" t="s">
        <v>34</v>
      </c>
      <c r="W21" s="26">
        <v>3</v>
      </c>
      <c r="X21" s="36">
        <f t="shared" si="9"/>
        <v>0.1111111111111111</v>
      </c>
      <c r="Y21" s="37">
        <f t="shared" si="10"/>
        <v>12.373333333333335</v>
      </c>
      <c r="Z21" s="26">
        <v>0</v>
      </c>
      <c r="AA21" s="26" t="s">
        <v>250</v>
      </c>
      <c r="AB21" s="38">
        <f t="shared" si="11"/>
        <v>-0.48</v>
      </c>
      <c r="AC21" s="39">
        <v>0.51906712962962975</v>
      </c>
      <c r="AD21" s="37">
        <f t="shared" si="12"/>
        <v>-13.454220000000003</v>
      </c>
      <c r="AE21" s="37">
        <v>-12.06</v>
      </c>
      <c r="AF21" s="37">
        <v>-12.2224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49.434444444444445</v>
      </c>
      <c r="D22" s="27">
        <v>18</v>
      </c>
      <c r="E22" s="27">
        <v>1</v>
      </c>
      <c r="F22" s="28">
        <v>889.82</v>
      </c>
      <c r="G22" s="28">
        <v>-31.4</v>
      </c>
      <c r="H22" s="29">
        <f t="shared" si="1"/>
        <v>3.528803578251781E-2</v>
      </c>
      <c r="I22" s="29">
        <f t="shared" si="2"/>
        <v>0.31342779438538126</v>
      </c>
      <c r="J22" s="30">
        <f t="shared" si="5"/>
        <v>278.89431999999999</v>
      </c>
      <c r="K22" s="30">
        <f t="shared" si="3"/>
        <v>15.494128888888888</v>
      </c>
      <c r="L22" s="27">
        <v>58</v>
      </c>
      <c r="M22" s="31">
        <f t="shared" si="6"/>
        <v>0.31034482758620691</v>
      </c>
      <c r="N22" s="27">
        <v>44</v>
      </c>
      <c r="O22" s="32">
        <f t="shared" ref="O22:P22" si="30">D22/7</f>
        <v>2.5714285714285716</v>
      </c>
      <c r="P22" s="32">
        <f t="shared" si="30"/>
        <v>0.14285714285714285</v>
      </c>
      <c r="Q22" s="27">
        <f t="shared" si="8"/>
        <v>16</v>
      </c>
      <c r="R22" s="27"/>
      <c r="S22" s="33">
        <v>2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5.5555555555555552E-2</v>
      </c>
      <c r="Y22" s="37">
        <f t="shared" si="10"/>
        <v>15.7</v>
      </c>
      <c r="Z22" s="26">
        <v>1</v>
      </c>
      <c r="AA22" s="26" t="s">
        <v>250</v>
      </c>
      <c r="AB22" s="38">
        <f t="shared" si="11"/>
        <v>-0.48</v>
      </c>
      <c r="AC22" s="39">
        <v>0.51906712962962975</v>
      </c>
      <c r="AD22" s="37">
        <f t="shared" si="12"/>
        <v>-8.9694800000000026</v>
      </c>
      <c r="AE22" s="37">
        <v>-12.06</v>
      </c>
      <c r="AF22" s="37">
        <v>-12.2224</v>
      </c>
      <c r="AG22" s="37">
        <v>0</v>
      </c>
    </row>
    <row r="23" spans="1:33" ht="15.75" customHeight="1" x14ac:dyDescent="0.2">
      <c r="A23" s="26" t="s">
        <v>68</v>
      </c>
      <c r="B23" s="26" t="s">
        <v>387</v>
      </c>
      <c r="C23" s="14">
        <f t="shared" si="4"/>
        <v>49.99</v>
      </c>
      <c r="D23" s="27">
        <v>8</v>
      </c>
      <c r="E23" s="27">
        <v>2</v>
      </c>
      <c r="F23" s="30">
        <v>399.92</v>
      </c>
      <c r="G23" s="28">
        <v>-24.09</v>
      </c>
      <c r="H23" s="29">
        <f t="shared" si="1"/>
        <v>6.0237047409481895E-2</v>
      </c>
      <c r="I23" s="29">
        <f t="shared" si="2"/>
        <v>0.29404972105532223</v>
      </c>
      <c r="J23" s="30">
        <f t="shared" si="5"/>
        <v>117.59636444444448</v>
      </c>
      <c r="K23" s="30">
        <f t="shared" si="3"/>
        <v>14.699545555555559</v>
      </c>
      <c r="L23" s="27">
        <v>68</v>
      </c>
      <c r="M23" s="31">
        <f t="shared" si="6"/>
        <v>0.11764705882352941</v>
      </c>
      <c r="N23" s="27">
        <v>32</v>
      </c>
      <c r="O23" s="32">
        <f t="shared" ref="O23:P23" si="31">D23/7</f>
        <v>1.1428571428571428</v>
      </c>
      <c r="P23" s="32">
        <f t="shared" si="31"/>
        <v>0.2857142857142857</v>
      </c>
      <c r="Q23" s="27">
        <f t="shared" si="8"/>
        <v>22</v>
      </c>
      <c r="R23" s="27"/>
      <c r="S23" s="33">
        <v>2.0755873340142998</v>
      </c>
      <c r="T23" s="26">
        <v>2447</v>
      </c>
      <c r="U23" s="34">
        <v>525</v>
      </c>
      <c r="V23" s="35" t="s">
        <v>388</v>
      </c>
      <c r="W23" s="26">
        <v>0</v>
      </c>
      <c r="X23" s="36">
        <f t="shared" si="9"/>
        <v>0</v>
      </c>
      <c r="Y23" s="37">
        <f t="shared" si="10"/>
        <v>12.045</v>
      </c>
      <c r="Z23" s="26">
        <v>2</v>
      </c>
      <c r="AA23" s="26" t="s">
        <v>250</v>
      </c>
      <c r="AB23" s="38">
        <f t="shared" si="11"/>
        <v>-0.48</v>
      </c>
      <c r="AC23" s="39">
        <v>0.51906712962962975</v>
      </c>
      <c r="AD23" s="37">
        <f t="shared" si="12"/>
        <v>-3.9864355555555564</v>
      </c>
      <c r="AE23" s="37">
        <v>-12.06</v>
      </c>
      <c r="AF23" s="37">
        <v>-12.2224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46.815555555555562</v>
      </c>
      <c r="D24" s="27">
        <v>9</v>
      </c>
      <c r="E24" s="27">
        <v>0</v>
      </c>
      <c r="F24" s="30">
        <v>421.34000000000003</v>
      </c>
      <c r="G24" s="30">
        <v>-29.389999999999997</v>
      </c>
      <c r="H24" s="29">
        <f t="shared" si="1"/>
        <v>6.9753643138557919E-2</v>
      </c>
      <c r="I24" s="29">
        <f t="shared" si="2"/>
        <v>0.25092006455594057</v>
      </c>
      <c r="J24" s="30">
        <f t="shared" si="5"/>
        <v>105.72266000000002</v>
      </c>
      <c r="K24" s="30">
        <f t="shared" si="3"/>
        <v>11.746962222222225</v>
      </c>
      <c r="L24" s="27">
        <v>48</v>
      </c>
      <c r="M24" s="31">
        <f t="shared" si="6"/>
        <v>0.1875</v>
      </c>
      <c r="N24" s="27">
        <v>23</v>
      </c>
      <c r="O24" s="32">
        <f t="shared" ref="O24:P24" si="32">D24/7</f>
        <v>1.2857142857142858</v>
      </c>
      <c r="P24" s="32">
        <f t="shared" si="32"/>
        <v>0</v>
      </c>
      <c r="Q24" s="27">
        <f t="shared" si="8"/>
        <v>17</v>
      </c>
      <c r="R24" s="27"/>
      <c r="S24" s="33">
        <v>2.0823244552058102</v>
      </c>
      <c r="T24" s="26">
        <v>2447</v>
      </c>
      <c r="U24" s="34">
        <v>525</v>
      </c>
      <c r="V24" s="35" t="s">
        <v>389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0.51906712962962975</v>
      </c>
      <c r="AD24" s="37">
        <f t="shared" si="12"/>
        <v>-4.4847400000000013</v>
      </c>
      <c r="AE24" s="37">
        <v>-12.06</v>
      </c>
      <c r="AF24" s="37">
        <v>-12.2224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41.936315789473689</v>
      </c>
      <c r="D25" s="15">
        <v>19</v>
      </c>
      <c r="E25" s="15">
        <v>0</v>
      </c>
      <c r="F25" s="16">
        <v>796.79000000000008</v>
      </c>
      <c r="G25" s="16">
        <v>-15.89</v>
      </c>
      <c r="H25" s="29">
        <f t="shared" si="1"/>
        <v>1.9942519358927695E-2</v>
      </c>
      <c r="I25" s="29">
        <f t="shared" si="2"/>
        <v>0.23920194223767316</v>
      </c>
      <c r="J25" s="30">
        <f t="shared" si="5"/>
        <v>190.5937155555556</v>
      </c>
      <c r="K25" s="30">
        <f t="shared" si="3"/>
        <v>10.031248187134505</v>
      </c>
      <c r="L25" s="15">
        <v>69</v>
      </c>
      <c r="M25" s="31">
        <f t="shared" si="6"/>
        <v>0.27536231884057971</v>
      </c>
      <c r="N25" s="15">
        <v>1</v>
      </c>
      <c r="O25" s="32">
        <f t="shared" ref="O25:P25" si="33">D25/7</f>
        <v>2.7142857142857144</v>
      </c>
      <c r="P25" s="32">
        <f t="shared" si="33"/>
        <v>0</v>
      </c>
      <c r="Q25" s="27">
        <f t="shared" si="8"/>
        <v>0</v>
      </c>
      <c r="R25" s="27"/>
      <c r="S25" s="41">
        <v>0</v>
      </c>
      <c r="T25" s="26">
        <v>2447</v>
      </c>
      <c r="U25" s="34">
        <v>525</v>
      </c>
      <c r="V25" s="35" t="s">
        <v>390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0.51906712962962975</v>
      </c>
      <c r="AD25" s="37">
        <f t="shared" si="12"/>
        <v>-9.4677844444444457</v>
      </c>
      <c r="AE25" s="42">
        <v>-12.06</v>
      </c>
      <c r="AF25" s="42">
        <v>-12.22</v>
      </c>
      <c r="AG25" s="42">
        <v>0</v>
      </c>
    </row>
    <row r="26" spans="1:33" ht="15.75" customHeight="1" x14ac:dyDescent="0.2">
      <c r="A26" s="40" t="s">
        <v>75</v>
      </c>
      <c r="B26" s="26" t="s">
        <v>76</v>
      </c>
      <c r="C26" s="14">
        <f t="shared" si="4"/>
        <v>41.99</v>
      </c>
      <c r="D26" s="15">
        <v>1</v>
      </c>
      <c r="E26" s="15">
        <v>0</v>
      </c>
      <c r="F26" s="16">
        <v>41.99</v>
      </c>
      <c r="G26" s="16">
        <v>-1.34</v>
      </c>
      <c r="H26" s="29">
        <f t="shared" si="1"/>
        <v>3.1912360085734698E-2</v>
      </c>
      <c r="I26" s="29">
        <f t="shared" si="2"/>
        <v>0.22793035378793874</v>
      </c>
      <c r="J26" s="30">
        <f t="shared" si="5"/>
        <v>9.5707955555555486</v>
      </c>
      <c r="K26" s="30">
        <f t="shared" si="3"/>
        <v>9.5707955555555486</v>
      </c>
      <c r="L26" s="15">
        <v>12</v>
      </c>
      <c r="M26" s="31">
        <f t="shared" si="6"/>
        <v>8.3333333333333329E-2</v>
      </c>
      <c r="N26" s="15">
        <v>0</v>
      </c>
      <c r="O26" s="32">
        <f t="shared" ref="O26:P26" si="34">D26/7</f>
        <v>0.14285714285714285</v>
      </c>
      <c r="P26" s="32">
        <f t="shared" si="34"/>
        <v>0</v>
      </c>
      <c r="Q26" s="27">
        <f t="shared" si="8"/>
        <v>0</v>
      </c>
      <c r="R26" s="27"/>
      <c r="S26" s="41">
        <v>2.2448210922787188</v>
      </c>
      <c r="T26" s="26">
        <v>2447</v>
      </c>
      <c r="U26" s="34">
        <v>525</v>
      </c>
      <c r="V26" s="35" t="s">
        <v>391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0.51906712962962975</v>
      </c>
      <c r="AD26" s="37">
        <f t="shared" si="12"/>
        <v>-0.49830444444444455</v>
      </c>
      <c r="AE26" s="42">
        <v>-12.06</v>
      </c>
      <c r="AF26" s="42">
        <v>-12.2224</v>
      </c>
      <c r="AG26" s="42">
        <v>0</v>
      </c>
    </row>
    <row r="27" spans="1:33" ht="15.75" customHeight="1" x14ac:dyDescent="0.2">
      <c r="A27" s="40" t="s">
        <v>77</v>
      </c>
      <c r="B27" s="40" t="s">
        <v>361</v>
      </c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525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1.0607966457023059</v>
      </c>
      <c r="T27" s="26">
        <v>1922</v>
      </c>
      <c r="U27" s="34">
        <v>700</v>
      </c>
      <c r="V27" s="35" t="s">
        <v>392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0.51906712962962975</v>
      </c>
      <c r="AD27" s="37">
        <f t="shared" si="12"/>
        <v>0</v>
      </c>
      <c r="AE27" s="42">
        <v>-12.06</v>
      </c>
      <c r="AF27" s="42">
        <v>-12.2224</v>
      </c>
      <c r="AG27" s="42">
        <v>0</v>
      </c>
    </row>
    <row r="28" spans="1:33" ht="15.75" customHeight="1" x14ac:dyDescent="0.2">
      <c r="A28" s="40" t="s">
        <v>79</v>
      </c>
      <c r="B28" s="40" t="s">
        <v>393</v>
      </c>
      <c r="C28" s="14">
        <f t="shared" si="4"/>
        <v>41.99</v>
      </c>
      <c r="D28" s="15">
        <v>23</v>
      </c>
      <c r="E28" s="15">
        <v>4</v>
      </c>
      <c r="F28" s="16">
        <v>965.77</v>
      </c>
      <c r="G28" s="16">
        <v>-10.58</v>
      </c>
      <c r="H28" s="29">
        <f t="shared" si="1"/>
        <v>1.0954989283162658E-2</v>
      </c>
      <c r="I28" s="29">
        <f t="shared" si="2"/>
        <v>0.23936164695297818</v>
      </c>
      <c r="J28" s="30">
        <f t="shared" si="5"/>
        <v>231.16829777777772</v>
      </c>
      <c r="K28" s="30">
        <f t="shared" si="3"/>
        <v>10.050795555555553</v>
      </c>
      <c r="L28" s="15">
        <v>57</v>
      </c>
      <c r="M28" s="31">
        <f t="shared" si="6"/>
        <v>0.40350877192982454</v>
      </c>
      <c r="N28" s="15">
        <v>502</v>
      </c>
      <c r="O28" s="32">
        <f t="shared" ref="O28:P28" si="36">D28/7</f>
        <v>3.2857142857142856</v>
      </c>
      <c r="P28" s="32">
        <f t="shared" si="36"/>
        <v>0.5714285714285714</v>
      </c>
      <c r="Q28" s="27">
        <f t="shared" si="8"/>
        <v>130</v>
      </c>
      <c r="R28" s="27"/>
      <c r="S28" s="41">
        <v>1.049549549549549</v>
      </c>
      <c r="T28" s="40">
        <v>522</v>
      </c>
      <c r="U28" s="22">
        <v>700</v>
      </c>
      <c r="V28" s="1" t="s">
        <v>394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0.51906712962962975</v>
      </c>
      <c r="AD28" s="37">
        <f t="shared" si="12"/>
        <v>-11.461002222222225</v>
      </c>
      <c r="AE28" s="42">
        <v>-12.46</v>
      </c>
      <c r="AF28" s="42">
        <v>-12.2224</v>
      </c>
      <c r="AG28" s="42">
        <v>0</v>
      </c>
    </row>
    <row r="29" spans="1:33" ht="15.75" customHeight="1" x14ac:dyDescent="0.2">
      <c r="A29" s="26" t="s">
        <v>82</v>
      </c>
      <c r="B29" s="26" t="s">
        <v>395</v>
      </c>
      <c r="C29" s="14">
        <f t="shared" si="4"/>
        <v>40.385277777777773</v>
      </c>
      <c r="D29" s="27">
        <v>36</v>
      </c>
      <c r="E29" s="27">
        <v>0</v>
      </c>
      <c r="F29" s="30">
        <v>1453.87</v>
      </c>
      <c r="G29" s="30">
        <v>-15.21</v>
      </c>
      <c r="H29" s="29">
        <f t="shared" si="1"/>
        <v>1.0461733167339584E-2</v>
      </c>
      <c r="I29" s="29">
        <f t="shared" si="2"/>
        <v>0.21602628845770241</v>
      </c>
      <c r="J29" s="30">
        <f t="shared" si="5"/>
        <v>314.07413999999977</v>
      </c>
      <c r="K29" s="30">
        <f t="shared" si="3"/>
        <v>8.7242816666666609</v>
      </c>
      <c r="L29" s="27">
        <v>73</v>
      </c>
      <c r="M29" s="31">
        <f t="shared" si="6"/>
        <v>0.49315068493150682</v>
      </c>
      <c r="N29" s="15">
        <v>473</v>
      </c>
      <c r="O29" s="32">
        <f t="shared" ref="O29:P29" si="37">D29/7</f>
        <v>5.1428571428571432</v>
      </c>
      <c r="P29" s="32">
        <f t="shared" si="37"/>
        <v>0</v>
      </c>
      <c r="Q29" s="27">
        <f t="shared" si="8"/>
        <v>91</v>
      </c>
      <c r="R29" s="27"/>
      <c r="S29" s="41">
        <v>1.2515964240102171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0.51906712962962975</v>
      </c>
      <c r="AD29" s="37">
        <f t="shared" si="12"/>
        <v>-17.938960000000005</v>
      </c>
      <c r="AE29" s="37">
        <v>-12.46</v>
      </c>
      <c r="AF29" s="42">
        <v>-12.2224</v>
      </c>
      <c r="AG29" s="37">
        <v>0</v>
      </c>
    </row>
    <row r="30" spans="1:33" ht="15.75" customHeight="1" x14ac:dyDescent="0.2">
      <c r="A30" s="40" t="s">
        <v>84</v>
      </c>
      <c r="B30" s="40" t="s">
        <v>396</v>
      </c>
      <c r="C30" s="14">
        <f t="shared" si="4"/>
        <v>39.99</v>
      </c>
      <c r="D30" s="15">
        <v>36</v>
      </c>
      <c r="E30" s="15">
        <v>0</v>
      </c>
      <c r="F30" s="16">
        <v>1439.64</v>
      </c>
      <c r="G30" s="16">
        <v>-23.1</v>
      </c>
      <c r="H30" s="29">
        <f t="shared" si="1"/>
        <v>1.6045678086188214E-2</v>
      </c>
      <c r="I30" s="29">
        <f t="shared" si="2"/>
        <v>0.13812689059417632</v>
      </c>
      <c r="J30" s="30">
        <f t="shared" si="5"/>
        <v>198.85299677500001</v>
      </c>
      <c r="K30" s="30">
        <f t="shared" si="3"/>
        <v>5.523694354861111</v>
      </c>
      <c r="L30" s="15">
        <v>74</v>
      </c>
      <c r="M30" s="31">
        <f t="shared" si="6"/>
        <v>0.48648648648648651</v>
      </c>
      <c r="N30" s="15">
        <v>393</v>
      </c>
      <c r="O30" s="32">
        <f t="shared" ref="O30:P30" si="38">D30/7</f>
        <v>5.1428571428571432</v>
      </c>
      <c r="P30" s="32">
        <f t="shared" si="38"/>
        <v>0</v>
      </c>
      <c r="Q30" s="27">
        <f t="shared" si="8"/>
        <v>76</v>
      </c>
      <c r="R30" s="27"/>
      <c r="S30" s="41">
        <v>1.3167358229598889</v>
      </c>
      <c r="T30" s="26">
        <v>1222</v>
      </c>
      <c r="U30" s="34">
        <v>700</v>
      </c>
      <c r="V30" s="35" t="s">
        <v>397</v>
      </c>
      <c r="W30" s="40">
        <v>3</v>
      </c>
      <c r="X30" s="36">
        <f t="shared" si="9"/>
        <v>8.3333333333333329E-2</v>
      </c>
      <c r="Y30" s="37">
        <f t="shared" si="10"/>
        <v>5.7750000000000004</v>
      </c>
      <c r="Z30" s="40">
        <v>1</v>
      </c>
      <c r="AA30" s="26" t="s">
        <v>250</v>
      </c>
      <c r="AB30" s="38">
        <f t="shared" si="11"/>
        <v>-0.48</v>
      </c>
      <c r="AC30" s="39">
        <v>0.51906712962962975</v>
      </c>
      <c r="AD30" s="37">
        <f t="shared" si="12"/>
        <v>-17.938960000000005</v>
      </c>
      <c r="AE30" s="42">
        <v>-12.46</v>
      </c>
      <c r="AF30" s="42">
        <v>-14.59005675625</v>
      </c>
      <c r="AG30" s="42">
        <v>-10</v>
      </c>
    </row>
    <row r="31" spans="1:33" ht="15.75" customHeight="1" x14ac:dyDescent="0.2">
      <c r="A31" s="40" t="s">
        <v>87</v>
      </c>
      <c r="B31" s="40" t="s">
        <v>398</v>
      </c>
      <c r="C31" s="14">
        <f t="shared" si="4"/>
        <v>39.99</v>
      </c>
      <c r="D31" s="15">
        <v>40</v>
      </c>
      <c r="E31" s="15">
        <v>1</v>
      </c>
      <c r="F31" s="16">
        <v>1599.6000000000001</v>
      </c>
      <c r="G31" s="43">
        <v>-59.85</v>
      </c>
      <c r="H31" s="29">
        <f t="shared" si="1"/>
        <v>3.7415603900975244E-2</v>
      </c>
      <c r="I31" s="29">
        <f t="shared" si="2"/>
        <v>0.10744908225320229</v>
      </c>
      <c r="J31" s="30">
        <f t="shared" si="5"/>
        <v>171.87555197222241</v>
      </c>
      <c r="K31" s="30">
        <f t="shared" si="3"/>
        <v>4.2968887993055604</v>
      </c>
      <c r="L31" s="15">
        <v>104</v>
      </c>
      <c r="M31" s="31">
        <f t="shared" si="6"/>
        <v>0.38461538461538464</v>
      </c>
      <c r="N31" s="15">
        <v>361</v>
      </c>
      <c r="O31" s="32">
        <f t="shared" ref="O31:P31" si="39">D31/7</f>
        <v>5.7142857142857144</v>
      </c>
      <c r="P31" s="32">
        <f t="shared" si="39"/>
        <v>0.14285714285714285</v>
      </c>
      <c r="Q31" s="27">
        <f t="shared" si="8"/>
        <v>61</v>
      </c>
      <c r="R31" s="27"/>
      <c r="S31" s="41">
        <v>1.7346938775510199</v>
      </c>
      <c r="T31" s="40">
        <v>522</v>
      </c>
      <c r="U31" s="22">
        <v>700</v>
      </c>
      <c r="V31" s="1" t="s">
        <v>399</v>
      </c>
      <c r="W31" s="40">
        <v>8</v>
      </c>
      <c r="X31" s="36">
        <f t="shared" si="9"/>
        <v>0.2</v>
      </c>
      <c r="Y31" s="37">
        <f t="shared" si="10"/>
        <v>4.9874999999999998</v>
      </c>
      <c r="Z31" s="40">
        <v>4</v>
      </c>
      <c r="AA31" s="40" t="s">
        <v>250</v>
      </c>
      <c r="AB31" s="38">
        <f t="shared" si="11"/>
        <v>-0.48</v>
      </c>
      <c r="AC31" s="44">
        <v>0.51906712962962975</v>
      </c>
      <c r="AD31" s="37">
        <f t="shared" si="12"/>
        <v>-19.932177777777781</v>
      </c>
      <c r="AE31" s="45">
        <v>-12.46</v>
      </c>
      <c r="AF31" s="45">
        <v>-14.59005675625</v>
      </c>
      <c r="AG31" s="42">
        <v>-26</v>
      </c>
    </row>
    <row r="32" spans="1:33" ht="15.75" customHeight="1" x14ac:dyDescent="0.2">
      <c r="A32" s="40" t="s">
        <v>90</v>
      </c>
      <c r="B32" s="50" t="s">
        <v>400</v>
      </c>
      <c r="C32" s="14">
        <f t="shared" si="4"/>
        <v>39.377045454545453</v>
      </c>
      <c r="D32" s="15">
        <v>44</v>
      </c>
      <c r="E32" s="15">
        <v>0</v>
      </c>
      <c r="F32" s="16">
        <v>1732.59</v>
      </c>
      <c r="G32" s="16">
        <v>-101.15</v>
      </c>
      <c r="H32" s="29">
        <f t="shared" si="1"/>
        <v>5.838080561471555E-2</v>
      </c>
      <c r="I32" s="29">
        <f t="shared" si="2"/>
        <v>5.9369849283121924E-2</v>
      </c>
      <c r="J32" s="30">
        <f t="shared" si="5"/>
        <v>102.86360716944421</v>
      </c>
      <c r="K32" s="30">
        <f t="shared" si="3"/>
        <v>2.3378092538510047</v>
      </c>
      <c r="L32" s="15">
        <v>122</v>
      </c>
      <c r="M32" s="31">
        <f t="shared" si="6"/>
        <v>0.36065573770491804</v>
      </c>
      <c r="N32" s="15">
        <v>310</v>
      </c>
      <c r="O32" s="32">
        <f t="shared" ref="O32:P32" si="40">D32/7</f>
        <v>6.2857142857142856</v>
      </c>
      <c r="P32" s="32">
        <f t="shared" si="40"/>
        <v>0</v>
      </c>
      <c r="Q32" s="27">
        <f t="shared" si="8"/>
        <v>49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1.1216080402010049</v>
      </c>
      <c r="T32" s="40">
        <f ca="1">IFERROR(__xludf.DUMMYFUNCTION("IFERROR(VLOOKUP($B$2,IMPORTRANGE(""https://docs.google.com/spreadsheets/d/1KiWZV1ko8G7lnRucBRBd29jj3Be6ltMfljMDqzOkQmI/edit#gid=1381463014"",""Lookup!A:D""),4,FALSE),"""")"),522)</f>
        <v>522</v>
      </c>
      <c r="U32" s="22">
        <f ca="1">IFERROR(__xludf.DUMMYFUNCTION("IFERROR(VLOOKUP($B$2,IMPORTRANGE(""https://docs.google.com/spreadsheets/d/1KiWZV1ko8G7lnRucBRBd29jj3Be6ltMfljMDqzOkQmI/edit#gid=1381463014"",""Lookup!A:D""),3,FALSE),"""")"),700)</f>
        <v>700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- 700 units 07/22")</f>
        <v>| AGL232  - 700 units 07/22</v>
      </c>
      <c r="W32" s="40">
        <v>4</v>
      </c>
      <c r="X32" s="36">
        <f t="shared" si="9"/>
        <v>9.0909090909090912E-2</v>
      </c>
      <c r="Y32" s="37">
        <f t="shared" si="10"/>
        <v>14.450000000000001</v>
      </c>
      <c r="Z32" s="40">
        <v>3</v>
      </c>
      <c r="AA32" s="40" t="s">
        <v>250</v>
      </c>
      <c r="AB32" s="38">
        <f t="shared" si="11"/>
        <v>-0.48</v>
      </c>
      <c r="AC32" s="44">
        <v>0.51906712962962975</v>
      </c>
      <c r="AD32" s="37">
        <f t="shared" si="12"/>
        <v>-21.925395555555561</v>
      </c>
      <c r="AE32" s="42">
        <v>-12.46</v>
      </c>
      <c r="AF32" s="42">
        <v>-14.59005675625</v>
      </c>
      <c r="AG32" s="42">
        <v>-56.56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2.164062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6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3.5" customWidth="1"/>
    <col min="28" max="28" width="11.1640625" customWidth="1"/>
    <col min="29" max="29" width="8.1640625" customWidth="1"/>
    <col min="30" max="30" width="12.5" customWidth="1"/>
    <col min="31" max="31" width="9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Info!B1:BJ5000""),3,FALSE),"""")"),"Chair Mat - 36"" x 48""")</f>
        <v>Chair Mat - 36" x 48"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Info!B1:BJ5000""),2,FALSE),"""")"),"B01IC0U9SW")</f>
        <v>B01IC0U9SW</v>
      </c>
      <c r="B2" s="3" t="s">
        <v>401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22.398832713235294</v>
      </c>
      <c r="D3" s="5">
        <f>SUM(D4:D99767)</f>
        <v>2352</v>
      </c>
      <c r="E3" s="5"/>
      <c r="F3" s="6">
        <f t="shared" ref="F3:G3" si="0">SUM(F4:F99767)</f>
        <v>67228.299999999843</v>
      </c>
      <c r="G3" s="6">
        <f t="shared" si="0"/>
        <v>-2646.2100000000005</v>
      </c>
      <c r="H3" s="7">
        <f t="shared" ref="H3:H32" si="1">G3/F3*-1</f>
        <v>3.9361548633536872E-2</v>
      </c>
      <c r="I3" s="8">
        <f t="shared" ref="I3:I32" si="2">J3/F3</f>
        <v>0.20990809803420643</v>
      </c>
      <c r="J3" s="6">
        <f>SUM(J4:J99767)</f>
        <v>14111.764587073007</v>
      </c>
      <c r="K3" s="6">
        <f t="shared" ref="K3:K32" si="3">J3/D3</f>
        <v>5.999899909469816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Sheet!a1:g5000""),2,FALSE),"""")"),"30.0 - March
30.0 - April
30.0 - May
30.0 - June
30.0 - July
30.0 - Aug
30.0 - Sept
30.0 - Oct
30.0 - Nov
30.0 - Dec
30.0 - Jan
30.0 - Feb")</f>
        <v>30.0 - March
30.0 - April
30.0 - May
30.0 - June
30.0 - July
30.0 - Aug
30.0 - Sept
30.0 - Oct
30.0 - Nov
30.0 - Dec
30.0 - Jan
30.0 -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196</v>
      </c>
      <c r="X3" s="7">
        <f>W3/D3</f>
        <v>8.3333333333333329E-2</v>
      </c>
      <c r="Y3" s="6"/>
      <c r="Z3" s="5"/>
      <c r="AA3" s="5"/>
      <c r="AB3" s="5"/>
      <c r="AC3" s="5"/>
      <c r="AD3" s="6">
        <f>SUM(AD4:AD99767)</f>
        <v>-791.95780521436836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Info!B2:BZ3000""),37,FALSE)),"""")*-1"),-8.47900780625)</f>
        <v>-8.4790078062499994</v>
      </c>
      <c r="AG3" s="6">
        <f>SUM(AG4:AG99767)</f>
        <v>-124.50999999999999</v>
      </c>
    </row>
    <row r="4" spans="1:33" x14ac:dyDescent="0.2">
      <c r="A4" s="1" t="s">
        <v>32</v>
      </c>
      <c r="B4" s="2" t="s">
        <v>402</v>
      </c>
      <c r="C4" s="14">
        <f t="shared" ref="C4:C32" si="4">IFERROR(F4/D4," - ")</f>
        <v>30.886739130434758</v>
      </c>
      <c r="D4" s="15">
        <v>92</v>
      </c>
      <c r="E4" s="15">
        <v>0</v>
      </c>
      <c r="F4" s="16">
        <v>2841.5799999999977</v>
      </c>
      <c r="G4" s="16">
        <v>-324.98</v>
      </c>
      <c r="H4" s="17">
        <f t="shared" si="1"/>
        <v>0.11436595133693236</v>
      </c>
      <c r="I4" s="17">
        <f t="shared" si="2"/>
        <v>0.19998285284947057</v>
      </c>
      <c r="J4" s="16">
        <f t="shared" ref="J4:J32" si="5">F4*0.85+G4+AF4*D4+D4*AE4+AG4+AD4</f>
        <v>568.26727499999811</v>
      </c>
      <c r="K4" s="16">
        <f t="shared" si="3"/>
        <v>6.1768182065217188</v>
      </c>
      <c r="L4" s="15">
        <v>450</v>
      </c>
      <c r="M4" s="18">
        <f t="shared" ref="M4:M32" si="6">IFERROR(D4/L4,"-")</f>
        <v>0.20444444444444446</v>
      </c>
      <c r="N4" s="15">
        <v>1366</v>
      </c>
      <c r="O4" s="19">
        <f t="shared" ref="O4:P4" si="7">D4/7</f>
        <v>13.142857142857142</v>
      </c>
      <c r="P4" s="19">
        <f t="shared" si="7"/>
        <v>0</v>
      </c>
      <c r="Q4" s="15">
        <f t="shared" ref="Q4:Q32" si="8">ROUNDDOWN(N4/(O4+P4),0)</f>
        <v>103</v>
      </c>
      <c r="R4" s="15"/>
      <c r="S4" s="20">
        <v>0.97150015659254596</v>
      </c>
      <c r="T4" s="2" t="s">
        <v>34</v>
      </c>
      <c r="U4" s="2" t="s">
        <v>34</v>
      </c>
      <c r="V4" s="21" t="s">
        <v>34</v>
      </c>
      <c r="W4" s="22">
        <v>18</v>
      </c>
      <c r="X4" s="23">
        <f t="shared" ref="X4:X32" si="9">IFERROR(W4/D4,0)</f>
        <v>0.19565217391304349</v>
      </c>
      <c r="Y4" s="24">
        <f t="shared" ref="Y4:Y32" si="10">IFERROR(G4/(W4+Z4)*-1,0)</f>
        <v>12.49923076923077</v>
      </c>
      <c r="Z4" s="22">
        <v>8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0.3507291666666667</v>
      </c>
      <c r="AD4" s="24">
        <f t="shared" ref="AD4:AD32" si="12">IFERROR(AB4*AC4*D4*2,0)</f>
        <v>-30.976399999999998</v>
      </c>
      <c r="AE4" s="24">
        <v>-10.16</v>
      </c>
      <c r="AF4" s="24">
        <v>-6.0478187499999994</v>
      </c>
      <c r="AG4" s="24">
        <v>0</v>
      </c>
    </row>
    <row r="5" spans="1:33" ht="15.75" customHeight="1" x14ac:dyDescent="0.2">
      <c r="A5" s="26" t="s">
        <v>35</v>
      </c>
      <c r="B5" s="26" t="s">
        <v>46</v>
      </c>
      <c r="C5" s="14">
        <f t="shared" si="4"/>
        <v>29.615643564356372</v>
      </c>
      <c r="D5" s="27">
        <v>101</v>
      </c>
      <c r="E5" s="27">
        <v>0</v>
      </c>
      <c r="F5" s="28">
        <v>2991.1799999999935</v>
      </c>
      <c r="G5" s="28">
        <v>-435.68</v>
      </c>
      <c r="H5" s="29">
        <f t="shared" si="1"/>
        <v>0.14565489204929191</v>
      </c>
      <c r="I5" s="29">
        <f t="shared" si="2"/>
        <v>0.14569073109462716</v>
      </c>
      <c r="J5" s="30">
        <f t="shared" si="5"/>
        <v>435.78720103562591</v>
      </c>
      <c r="K5" s="30">
        <f t="shared" si="3"/>
        <v>4.3147247627289698</v>
      </c>
      <c r="L5" s="27">
        <v>735</v>
      </c>
      <c r="M5" s="31">
        <f t="shared" si="6"/>
        <v>0.13741496598639455</v>
      </c>
      <c r="N5" s="27">
        <v>1252</v>
      </c>
      <c r="O5" s="32">
        <f t="shared" ref="O5:P5" si="13">D5/7</f>
        <v>14.428571428571429</v>
      </c>
      <c r="P5" s="32">
        <f t="shared" si="13"/>
        <v>0</v>
      </c>
      <c r="Q5" s="27">
        <f t="shared" si="8"/>
        <v>86</v>
      </c>
      <c r="R5" s="27"/>
      <c r="S5" s="33">
        <v>1.0784146963769301</v>
      </c>
      <c r="T5" s="26" t="s">
        <v>34</v>
      </c>
      <c r="U5" s="34" t="s">
        <v>34</v>
      </c>
      <c r="V5" s="35" t="s">
        <v>34</v>
      </c>
      <c r="W5" s="26">
        <v>19</v>
      </c>
      <c r="X5" s="36">
        <f t="shared" si="9"/>
        <v>0.18811881188118812</v>
      </c>
      <c r="Y5" s="37">
        <f t="shared" si="10"/>
        <v>13.202424242424243</v>
      </c>
      <c r="Z5" s="26">
        <v>14</v>
      </c>
      <c r="AA5" s="26" t="s">
        <v>250</v>
      </c>
      <c r="AB5" s="38">
        <f t="shared" si="11"/>
        <v>-0.48</v>
      </c>
      <c r="AC5" s="39">
        <v>0.35113557358053304</v>
      </c>
      <c r="AD5" s="37">
        <f t="shared" si="12"/>
        <v>-34.046105214368488</v>
      </c>
      <c r="AE5" s="37">
        <v>-10.16</v>
      </c>
      <c r="AF5" s="37">
        <v>-6.0478187499999994</v>
      </c>
      <c r="AG5" s="37">
        <v>0</v>
      </c>
    </row>
    <row r="6" spans="1:33" ht="15.75" customHeight="1" x14ac:dyDescent="0.2">
      <c r="A6" s="26" t="s">
        <v>38</v>
      </c>
      <c r="B6" s="26" t="s">
        <v>403</v>
      </c>
      <c r="C6" s="14">
        <f t="shared" si="4"/>
        <v>28.989999999999934</v>
      </c>
      <c r="D6" s="27">
        <v>103</v>
      </c>
      <c r="E6" s="27">
        <v>0</v>
      </c>
      <c r="F6" s="28">
        <v>2985.9699999999934</v>
      </c>
      <c r="G6" s="28">
        <v>-379.45999999999992</v>
      </c>
      <c r="H6" s="29">
        <f t="shared" si="1"/>
        <v>0.12708098205943152</v>
      </c>
      <c r="I6" s="29">
        <f t="shared" si="2"/>
        <v>0.15222157916857679</v>
      </c>
      <c r="J6" s="30">
        <f t="shared" si="5"/>
        <v>454.52906874999422</v>
      </c>
      <c r="K6" s="30">
        <f t="shared" si="3"/>
        <v>4.4129035800970309</v>
      </c>
      <c r="L6" s="27">
        <v>691</v>
      </c>
      <c r="M6" s="31">
        <f t="shared" si="6"/>
        <v>0.14905933429811866</v>
      </c>
      <c r="N6" s="27">
        <v>1095</v>
      </c>
      <c r="O6" s="32">
        <f t="shared" ref="O6:P6" si="14">D6/7</f>
        <v>14.714285714285714</v>
      </c>
      <c r="P6" s="32">
        <f t="shared" si="14"/>
        <v>0</v>
      </c>
      <c r="Q6" s="27">
        <f t="shared" si="8"/>
        <v>74</v>
      </c>
      <c r="R6" s="27"/>
      <c r="S6" s="33">
        <v>1.0748024260246201</v>
      </c>
      <c r="T6" s="26">
        <v>3460</v>
      </c>
      <c r="U6" s="34">
        <v>760</v>
      </c>
      <c r="V6" s="49" t="s">
        <v>404</v>
      </c>
      <c r="W6" s="26">
        <v>33</v>
      </c>
      <c r="X6" s="36">
        <f t="shared" si="9"/>
        <v>0.32038834951456313</v>
      </c>
      <c r="Y6" s="37">
        <f t="shared" si="10"/>
        <v>8.8246511627906958</v>
      </c>
      <c r="Z6" s="26">
        <v>10</v>
      </c>
      <c r="AA6" s="26" t="s">
        <v>250</v>
      </c>
      <c r="AB6" s="38">
        <f t="shared" si="11"/>
        <v>-0.48</v>
      </c>
      <c r="AC6" s="39">
        <v>0.3507291666666667</v>
      </c>
      <c r="AD6" s="37">
        <f t="shared" si="12"/>
        <v>-34.680100000000003</v>
      </c>
      <c r="AE6" s="37">
        <v>-10.16</v>
      </c>
      <c r="AF6" s="37">
        <v>-6.0478187499999994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27.9294814814814</v>
      </c>
      <c r="D7" s="27">
        <v>135</v>
      </c>
      <c r="E7" s="27">
        <v>0</v>
      </c>
      <c r="F7" s="28">
        <v>3770.4799999999891</v>
      </c>
      <c r="G7" s="28">
        <v>-270.34000000000003</v>
      </c>
      <c r="H7" s="29">
        <f t="shared" si="1"/>
        <v>7.169909401455539E-2</v>
      </c>
      <c r="I7" s="29">
        <f t="shared" si="2"/>
        <v>0.18593334767721684</v>
      </c>
      <c r="J7" s="30">
        <f t="shared" si="5"/>
        <v>701.05796874999055</v>
      </c>
      <c r="K7" s="30">
        <f t="shared" si="3"/>
        <v>5.1930219907406707</v>
      </c>
      <c r="L7" s="27">
        <v>644</v>
      </c>
      <c r="M7" s="31">
        <f t="shared" si="6"/>
        <v>0.20962732919254659</v>
      </c>
      <c r="N7" s="27">
        <v>950</v>
      </c>
      <c r="O7" s="32">
        <f t="shared" ref="O7:P7" si="15">D7/7</f>
        <v>19.285714285714285</v>
      </c>
      <c r="P7" s="32">
        <f t="shared" si="15"/>
        <v>0</v>
      </c>
      <c r="Q7" s="27">
        <f t="shared" si="8"/>
        <v>49</v>
      </c>
      <c r="R7" s="27"/>
      <c r="S7" s="33">
        <v>0.75</v>
      </c>
      <c r="T7" s="26">
        <v>3460</v>
      </c>
      <c r="U7" s="34">
        <v>760</v>
      </c>
      <c r="V7" s="49" t="s">
        <v>405</v>
      </c>
      <c r="W7" s="26">
        <v>16</v>
      </c>
      <c r="X7" s="36">
        <f t="shared" si="9"/>
        <v>0.11851851851851852</v>
      </c>
      <c r="Y7" s="37">
        <f t="shared" si="10"/>
        <v>11.753913043478262</v>
      </c>
      <c r="Z7" s="26">
        <v>7</v>
      </c>
      <c r="AA7" s="26" t="s">
        <v>250</v>
      </c>
      <c r="AB7" s="38">
        <f t="shared" si="11"/>
        <v>-0.48</v>
      </c>
      <c r="AC7" s="39">
        <v>0.3507291666666667</v>
      </c>
      <c r="AD7" s="37">
        <f t="shared" si="12"/>
        <v>-45.454500000000003</v>
      </c>
      <c r="AE7" s="37">
        <v>-10.16</v>
      </c>
      <c r="AF7" s="37">
        <v>-6.0478187499999994</v>
      </c>
      <c r="AG7" s="37">
        <v>0</v>
      </c>
    </row>
    <row r="8" spans="1:33" ht="15.75" customHeight="1" x14ac:dyDescent="0.2">
      <c r="A8" s="26" t="s">
        <v>43</v>
      </c>
      <c r="B8" s="26" t="s">
        <v>256</v>
      </c>
      <c r="C8" s="14">
        <f t="shared" si="4"/>
        <v>27.054038461538365</v>
      </c>
      <c r="D8" s="27">
        <v>156</v>
      </c>
      <c r="E8" s="27">
        <v>0</v>
      </c>
      <c r="F8" s="28">
        <v>4220.4299999999848</v>
      </c>
      <c r="G8" s="28">
        <v>-98.160000000000011</v>
      </c>
      <c r="H8" s="29">
        <f t="shared" si="1"/>
        <v>2.3258293586198648E-2</v>
      </c>
      <c r="I8" s="29">
        <f t="shared" si="2"/>
        <v>0.21512507019426699</v>
      </c>
      <c r="J8" s="30">
        <f t="shared" si="5"/>
        <v>907.92029999998704</v>
      </c>
      <c r="K8" s="30">
        <f t="shared" si="3"/>
        <v>5.8200019230768403</v>
      </c>
      <c r="L8" s="27">
        <v>601</v>
      </c>
      <c r="M8" s="31">
        <f t="shared" si="6"/>
        <v>0.25956738768718801</v>
      </c>
      <c r="N8" s="27">
        <v>797</v>
      </c>
      <c r="O8" s="32">
        <f t="shared" ref="O8:P8" si="16">D8/7</f>
        <v>22.285714285714285</v>
      </c>
      <c r="P8" s="32">
        <f t="shared" si="16"/>
        <v>0</v>
      </c>
      <c r="Q8" s="27">
        <f t="shared" si="8"/>
        <v>35</v>
      </c>
      <c r="R8" s="27"/>
      <c r="S8" s="33">
        <v>0.82136894824707796</v>
      </c>
      <c r="T8" s="26">
        <v>2700</v>
      </c>
      <c r="U8" s="34" t="s">
        <v>34</v>
      </c>
      <c r="V8" s="35" t="s">
        <v>34</v>
      </c>
      <c r="W8" s="26">
        <v>10</v>
      </c>
      <c r="X8" s="36">
        <f t="shared" si="9"/>
        <v>6.4102564102564097E-2</v>
      </c>
      <c r="Y8" s="37">
        <f t="shared" si="10"/>
        <v>7.550769230769232</v>
      </c>
      <c r="Z8" s="26">
        <v>3</v>
      </c>
      <c r="AA8" s="26" t="s">
        <v>250</v>
      </c>
      <c r="AB8" s="38">
        <f t="shared" si="11"/>
        <v>-0.48</v>
      </c>
      <c r="AC8" s="39">
        <v>0.3507291666666667</v>
      </c>
      <c r="AD8" s="37">
        <f t="shared" si="12"/>
        <v>-52.525199999999998</v>
      </c>
      <c r="AE8" s="37">
        <v>-10.16</v>
      </c>
      <c r="AF8" s="37">
        <v>-6.05</v>
      </c>
      <c r="AG8" s="37">
        <v>0</v>
      </c>
    </row>
    <row r="9" spans="1:33" ht="15.75" customHeight="1" x14ac:dyDescent="0.2">
      <c r="A9" s="26" t="s">
        <v>45</v>
      </c>
      <c r="B9" s="26" t="s">
        <v>406</v>
      </c>
      <c r="C9" s="14">
        <f t="shared" si="4"/>
        <v>26.765083333333262</v>
      </c>
      <c r="D9" s="27">
        <v>120</v>
      </c>
      <c r="E9" s="27">
        <v>2</v>
      </c>
      <c r="F9" s="28">
        <v>3211.8099999999913</v>
      </c>
      <c r="G9" s="28">
        <v>-96.140000000000015</v>
      </c>
      <c r="H9" s="29">
        <f t="shared" si="1"/>
        <v>2.9933277497735007E-2</v>
      </c>
      <c r="I9" s="29">
        <f t="shared" si="2"/>
        <v>0.19084114564684529</v>
      </c>
      <c r="J9" s="30">
        <f t="shared" si="5"/>
        <v>612.94549999999253</v>
      </c>
      <c r="K9" s="30">
        <f t="shared" si="3"/>
        <v>5.1078791666666046</v>
      </c>
      <c r="L9" s="27">
        <v>638</v>
      </c>
      <c r="M9" s="31">
        <f t="shared" si="6"/>
        <v>0.18808777429467086</v>
      </c>
      <c r="N9" s="27">
        <v>1426</v>
      </c>
      <c r="O9" s="32">
        <f t="shared" ref="O9:P9" si="17">D9/7</f>
        <v>17.142857142857142</v>
      </c>
      <c r="P9" s="32">
        <f t="shared" si="17"/>
        <v>0.2857142857142857</v>
      </c>
      <c r="Q9" s="27">
        <f t="shared" si="8"/>
        <v>81</v>
      </c>
      <c r="R9" s="27"/>
      <c r="S9" s="33">
        <v>0.80898221055701303</v>
      </c>
      <c r="T9" s="26">
        <v>2700</v>
      </c>
      <c r="U9" s="34" t="s">
        <v>34</v>
      </c>
      <c r="V9" s="35" t="s">
        <v>34</v>
      </c>
      <c r="W9" s="26">
        <v>7</v>
      </c>
      <c r="X9" s="36">
        <f t="shared" si="9"/>
        <v>5.8333333333333334E-2</v>
      </c>
      <c r="Y9" s="37">
        <f t="shared" si="10"/>
        <v>10.682222222222224</v>
      </c>
      <c r="Z9" s="26">
        <v>2</v>
      </c>
      <c r="AA9" s="26" t="s">
        <v>250</v>
      </c>
      <c r="AB9" s="38">
        <f t="shared" si="11"/>
        <v>-0.48</v>
      </c>
      <c r="AC9" s="39">
        <v>0.3507291666666667</v>
      </c>
      <c r="AD9" s="37">
        <f t="shared" si="12"/>
        <v>-40.403999999999996</v>
      </c>
      <c r="AE9" s="37">
        <v>-10.16</v>
      </c>
      <c r="AF9" s="37">
        <v>-6.3445749999999999</v>
      </c>
      <c r="AG9" s="37">
        <v>0</v>
      </c>
    </row>
    <row r="10" spans="1:33" ht="15.75" customHeight="1" x14ac:dyDescent="0.2">
      <c r="A10" s="26" t="s">
        <v>48</v>
      </c>
      <c r="B10" s="26" t="s">
        <v>407</v>
      </c>
      <c r="C10" s="14">
        <f t="shared" si="4"/>
        <v>25.027160493827076</v>
      </c>
      <c r="D10" s="27">
        <v>162</v>
      </c>
      <c r="E10" s="27">
        <v>1</v>
      </c>
      <c r="F10" s="28">
        <v>4054.3999999999864</v>
      </c>
      <c r="G10" s="28">
        <v>-72.789999999999992</v>
      </c>
      <c r="H10" s="29">
        <f t="shared" si="1"/>
        <v>1.7953334648776697E-2</v>
      </c>
      <c r="I10" s="29">
        <f t="shared" si="2"/>
        <v>0.1591267388516156</v>
      </c>
      <c r="J10" s="30">
        <f t="shared" si="5"/>
        <v>645.16344999998819</v>
      </c>
      <c r="K10" s="30">
        <f t="shared" si="3"/>
        <v>3.9824904320986927</v>
      </c>
      <c r="L10" s="27">
        <v>629</v>
      </c>
      <c r="M10" s="31">
        <f t="shared" si="6"/>
        <v>0.25755166931637519</v>
      </c>
      <c r="N10" s="27">
        <v>1247</v>
      </c>
      <c r="O10" s="32">
        <f t="shared" ref="O10:P10" si="18">D10/7</f>
        <v>23.142857142857142</v>
      </c>
      <c r="P10" s="32">
        <f t="shared" si="18"/>
        <v>0.14285714285714285</v>
      </c>
      <c r="Q10" s="27">
        <f t="shared" si="8"/>
        <v>53</v>
      </c>
      <c r="R10" s="27"/>
      <c r="S10" s="33">
        <v>0.90745703925587196</v>
      </c>
      <c r="T10" s="26">
        <v>2700</v>
      </c>
      <c r="U10" s="34" t="s">
        <v>34</v>
      </c>
      <c r="V10" s="35" t="s">
        <v>34</v>
      </c>
      <c r="W10" s="26">
        <v>5</v>
      </c>
      <c r="X10" s="36">
        <f t="shared" si="9"/>
        <v>3.0864197530864196E-2</v>
      </c>
      <c r="Y10" s="37">
        <f t="shared" si="10"/>
        <v>6.6172727272727263</v>
      </c>
      <c r="Z10" s="26">
        <v>6</v>
      </c>
      <c r="AA10" s="26" t="s">
        <v>250</v>
      </c>
      <c r="AB10" s="38">
        <f t="shared" si="11"/>
        <v>-0.48</v>
      </c>
      <c r="AC10" s="39">
        <v>0.3507291666666667</v>
      </c>
      <c r="AD10" s="37">
        <f t="shared" si="12"/>
        <v>-54.545400000000001</v>
      </c>
      <c r="AE10" s="37">
        <v>-10.16</v>
      </c>
      <c r="AF10" s="37">
        <v>-6.3445749999999999</v>
      </c>
      <c r="AG10" s="37">
        <v>0</v>
      </c>
    </row>
    <row r="11" spans="1:33" ht="15.75" customHeight="1" x14ac:dyDescent="0.2">
      <c r="A11" s="26" t="s">
        <v>50</v>
      </c>
      <c r="B11" s="26" t="s">
        <v>408</v>
      </c>
      <c r="C11" s="14">
        <f t="shared" si="4"/>
        <v>25.645462184873811</v>
      </c>
      <c r="D11" s="27">
        <v>238</v>
      </c>
      <c r="E11" s="27">
        <v>6</v>
      </c>
      <c r="F11" s="28">
        <v>6103.6199999999671</v>
      </c>
      <c r="G11" s="28">
        <v>-82.66</v>
      </c>
      <c r="H11" s="29">
        <f t="shared" si="1"/>
        <v>1.3542782807579836E-2</v>
      </c>
      <c r="I11" s="29">
        <f t="shared" si="2"/>
        <v>0.17976111717308382</v>
      </c>
      <c r="J11" s="30">
        <f t="shared" si="5"/>
        <v>1097.193549999972</v>
      </c>
      <c r="K11" s="30">
        <f t="shared" si="3"/>
        <v>4.6100569327729914</v>
      </c>
      <c r="L11" s="27">
        <v>836</v>
      </c>
      <c r="M11" s="31">
        <f t="shared" si="6"/>
        <v>0.28468899521531099</v>
      </c>
      <c r="N11" s="27">
        <v>1003</v>
      </c>
      <c r="O11" s="32">
        <f t="shared" ref="O11:P11" si="19">D11/7</f>
        <v>34</v>
      </c>
      <c r="P11" s="32">
        <f t="shared" si="19"/>
        <v>0.8571428571428571</v>
      </c>
      <c r="Q11" s="27">
        <f t="shared" si="8"/>
        <v>28</v>
      </c>
      <c r="R11" s="27"/>
      <c r="S11" s="33">
        <v>1.1024734982332101</v>
      </c>
      <c r="T11" s="26">
        <v>2700</v>
      </c>
      <c r="U11" s="34" t="s">
        <v>34</v>
      </c>
      <c r="V11" s="35" t="s">
        <v>34</v>
      </c>
      <c r="W11" s="26">
        <v>11</v>
      </c>
      <c r="X11" s="36">
        <f t="shared" si="9"/>
        <v>4.6218487394957986E-2</v>
      </c>
      <c r="Y11" s="37">
        <f t="shared" si="10"/>
        <v>5.5106666666666664</v>
      </c>
      <c r="Z11" s="26">
        <v>4</v>
      </c>
      <c r="AA11" s="26" t="s">
        <v>250</v>
      </c>
      <c r="AB11" s="38">
        <f t="shared" si="11"/>
        <v>-0.48</v>
      </c>
      <c r="AC11" s="39">
        <v>0.3507291666666667</v>
      </c>
      <c r="AD11" s="37">
        <f t="shared" si="12"/>
        <v>-80.134600000000006</v>
      </c>
      <c r="AE11" s="37">
        <v>-10.16</v>
      </c>
      <c r="AF11" s="37">
        <v>-6.3445749999999999</v>
      </c>
      <c r="AG11" s="37">
        <v>0</v>
      </c>
    </row>
    <row r="12" spans="1:33" ht="15.75" customHeight="1" x14ac:dyDescent="0.2">
      <c r="A12" s="26" t="s">
        <v>52</v>
      </c>
      <c r="B12" s="26" t="s">
        <v>409</v>
      </c>
      <c r="C12" s="14">
        <f t="shared" si="4"/>
        <v>28.027047970479579</v>
      </c>
      <c r="D12" s="27">
        <v>271</v>
      </c>
      <c r="E12" s="27">
        <v>15</v>
      </c>
      <c r="F12" s="28">
        <v>7595.3299999999663</v>
      </c>
      <c r="G12" s="28">
        <v>-72.069999999999993</v>
      </c>
      <c r="H12" s="29">
        <f t="shared" si="1"/>
        <v>9.4887253088411314E-3</v>
      </c>
      <c r="I12" s="29">
        <f t="shared" si="2"/>
        <v>0.23961763017538132</v>
      </c>
      <c r="J12" s="30">
        <f t="shared" si="5"/>
        <v>1819.974974999971</v>
      </c>
      <c r="K12" s="30">
        <f t="shared" si="3"/>
        <v>6.7157748154980483</v>
      </c>
      <c r="L12" s="27">
        <v>852</v>
      </c>
      <c r="M12" s="31">
        <f t="shared" si="6"/>
        <v>0.318075117370892</v>
      </c>
      <c r="N12" s="27">
        <v>733</v>
      </c>
      <c r="O12" s="32">
        <f t="shared" ref="O12:P12" si="20">D12/7</f>
        <v>38.714285714285715</v>
      </c>
      <c r="P12" s="32">
        <f t="shared" si="20"/>
        <v>2.1428571428571428</v>
      </c>
      <c r="Q12" s="27">
        <f t="shared" si="8"/>
        <v>17</v>
      </c>
      <c r="R12" s="27"/>
      <c r="S12" s="33">
        <v>1.32335565183142</v>
      </c>
      <c r="T12" s="26">
        <v>2700</v>
      </c>
      <c r="U12" s="34" t="s">
        <v>34</v>
      </c>
      <c r="V12" s="35" t="s">
        <v>34</v>
      </c>
      <c r="W12" s="26">
        <v>8</v>
      </c>
      <c r="X12" s="36">
        <f t="shared" si="9"/>
        <v>2.9520295202952029E-2</v>
      </c>
      <c r="Y12" s="37">
        <f t="shared" si="10"/>
        <v>5.543846153846153</v>
      </c>
      <c r="Z12" s="26">
        <v>5</v>
      </c>
      <c r="AA12" s="26" t="s">
        <v>250</v>
      </c>
      <c r="AB12" s="38">
        <f t="shared" si="11"/>
        <v>-0.48</v>
      </c>
      <c r="AC12" s="39">
        <v>0.3507291666666667</v>
      </c>
      <c r="AD12" s="37">
        <f t="shared" si="12"/>
        <v>-91.245699999999999</v>
      </c>
      <c r="AE12" s="37">
        <v>-10.16</v>
      </c>
      <c r="AF12" s="37">
        <v>-6.3445749999999999</v>
      </c>
      <c r="AG12" s="37">
        <v>0</v>
      </c>
    </row>
    <row r="13" spans="1:33" ht="15.75" customHeight="1" x14ac:dyDescent="0.2">
      <c r="A13" s="26" t="s">
        <v>54</v>
      </c>
      <c r="B13" s="26" t="s">
        <v>410</v>
      </c>
      <c r="C13" s="14">
        <f t="shared" si="4"/>
        <v>31.005703124999904</v>
      </c>
      <c r="D13" s="27">
        <v>128</v>
      </c>
      <c r="E13" s="27">
        <v>17</v>
      </c>
      <c r="F13" s="30">
        <v>3968.7299999999877</v>
      </c>
      <c r="G13" s="28">
        <v>-56.25</v>
      </c>
      <c r="H13" s="29">
        <f t="shared" si="1"/>
        <v>1.4173299770959519E-2</v>
      </c>
      <c r="I13" s="29">
        <f t="shared" si="2"/>
        <v>0.28762231242739983</v>
      </c>
      <c r="J13" s="30">
        <f t="shared" si="5"/>
        <v>1141.4952999999909</v>
      </c>
      <c r="K13" s="30">
        <f t="shared" si="3"/>
        <v>8.9179320312499293</v>
      </c>
      <c r="L13" s="27">
        <v>431</v>
      </c>
      <c r="M13" s="31">
        <f t="shared" si="6"/>
        <v>0.29698375870069604</v>
      </c>
      <c r="N13" s="27">
        <v>514</v>
      </c>
      <c r="O13" s="32">
        <f t="shared" ref="O13:P13" si="21">D13/7</f>
        <v>18.285714285714285</v>
      </c>
      <c r="P13" s="32">
        <f t="shared" si="21"/>
        <v>2.4285714285714284</v>
      </c>
      <c r="Q13" s="27">
        <f t="shared" si="8"/>
        <v>24</v>
      </c>
      <c r="R13" s="27"/>
      <c r="S13" s="33">
        <v>1.4259718775847801</v>
      </c>
      <c r="T13" s="26">
        <v>2700</v>
      </c>
      <c r="U13" s="34" t="s">
        <v>34</v>
      </c>
      <c r="V13" s="35" t="s">
        <v>34</v>
      </c>
      <c r="W13" s="26">
        <v>5</v>
      </c>
      <c r="X13" s="36">
        <f t="shared" si="9"/>
        <v>3.90625E-2</v>
      </c>
      <c r="Y13" s="37">
        <f t="shared" si="10"/>
        <v>5.1136363636363633</v>
      </c>
      <c r="Z13" s="26">
        <v>6</v>
      </c>
      <c r="AA13" s="26" t="s">
        <v>250</v>
      </c>
      <c r="AB13" s="38">
        <f t="shared" si="11"/>
        <v>-0.48</v>
      </c>
      <c r="AC13" s="39">
        <v>0.3507291666666667</v>
      </c>
      <c r="AD13" s="37">
        <f t="shared" si="12"/>
        <v>-43.0976</v>
      </c>
      <c r="AE13" s="37">
        <v>-10.16</v>
      </c>
      <c r="AF13" s="37">
        <v>-6.5007624999999898</v>
      </c>
      <c r="AG13" s="37">
        <v>0</v>
      </c>
    </row>
    <row r="14" spans="1:33" ht="15.75" customHeight="1" x14ac:dyDescent="0.2">
      <c r="A14" s="26" t="s">
        <v>56</v>
      </c>
      <c r="B14" s="26" t="s">
        <v>411</v>
      </c>
      <c r="C14" s="14">
        <f t="shared" si="4"/>
        <v>32.798080808080776</v>
      </c>
      <c r="D14" s="27">
        <v>99</v>
      </c>
      <c r="E14" s="27">
        <v>14</v>
      </c>
      <c r="F14" s="30">
        <v>3247.0099999999966</v>
      </c>
      <c r="G14" s="28">
        <v>-45.86</v>
      </c>
      <c r="H14" s="29">
        <f t="shared" si="1"/>
        <v>1.4123763092814635E-2</v>
      </c>
      <c r="I14" s="29">
        <f t="shared" si="2"/>
        <v>0.31763059322268761</v>
      </c>
      <c r="J14" s="30">
        <f t="shared" si="5"/>
        <v>1031.3497124999978</v>
      </c>
      <c r="K14" s="30">
        <f t="shared" si="3"/>
        <v>10.417673863636342</v>
      </c>
      <c r="L14" s="27">
        <v>444</v>
      </c>
      <c r="M14" s="31">
        <f t="shared" si="6"/>
        <v>0.22297297297297297</v>
      </c>
      <c r="N14" s="27">
        <v>434</v>
      </c>
      <c r="O14" s="32">
        <f t="shared" ref="O14:P14" si="22">D14/7</f>
        <v>14.142857142857142</v>
      </c>
      <c r="P14" s="32">
        <f t="shared" si="22"/>
        <v>2</v>
      </c>
      <c r="Q14" s="27">
        <f t="shared" si="8"/>
        <v>26</v>
      </c>
      <c r="R14" s="27"/>
      <c r="S14" s="33">
        <v>1.4771404821280101</v>
      </c>
      <c r="T14" s="26">
        <v>2700</v>
      </c>
      <c r="U14" s="34" t="s">
        <v>34</v>
      </c>
      <c r="V14" s="35" t="s">
        <v>34</v>
      </c>
      <c r="W14" s="26">
        <v>5</v>
      </c>
      <c r="X14" s="36">
        <f t="shared" si="9"/>
        <v>5.0505050505050504E-2</v>
      </c>
      <c r="Y14" s="37">
        <f t="shared" si="10"/>
        <v>5.7324999999999999</v>
      </c>
      <c r="Z14" s="26">
        <v>3</v>
      </c>
      <c r="AA14" s="26" t="s">
        <v>250</v>
      </c>
      <c r="AB14" s="38">
        <f t="shared" si="11"/>
        <v>-0.48</v>
      </c>
      <c r="AC14" s="39">
        <v>0.3507291666666667</v>
      </c>
      <c r="AD14" s="37">
        <f t="shared" si="12"/>
        <v>-33.333300000000001</v>
      </c>
      <c r="AE14" s="37">
        <v>-10.16</v>
      </c>
      <c r="AF14" s="37">
        <v>-6.5007624999999898</v>
      </c>
      <c r="AG14" s="37">
        <v>0</v>
      </c>
    </row>
    <row r="15" spans="1:33" ht="15.75" customHeight="1" x14ac:dyDescent="0.2">
      <c r="A15" s="26" t="s">
        <v>58</v>
      </c>
      <c r="B15" s="26" t="s">
        <v>412</v>
      </c>
      <c r="C15" s="14">
        <f t="shared" si="4"/>
        <v>32.99</v>
      </c>
      <c r="D15" s="27">
        <v>56</v>
      </c>
      <c r="E15" s="27">
        <v>21</v>
      </c>
      <c r="F15" s="30">
        <v>1847.4400000000003</v>
      </c>
      <c r="G15" s="28">
        <v>-38.909999999999997</v>
      </c>
      <c r="H15" s="29">
        <f t="shared" si="1"/>
        <v>2.1061577101286099E-2</v>
      </c>
      <c r="I15" s="29">
        <f t="shared" si="2"/>
        <v>0.31370767115576181</v>
      </c>
      <c r="J15" s="30">
        <f t="shared" si="5"/>
        <v>579.5561000000007</v>
      </c>
      <c r="K15" s="30">
        <f t="shared" si="3"/>
        <v>10.349216071428584</v>
      </c>
      <c r="L15" s="27">
        <v>331</v>
      </c>
      <c r="M15" s="31">
        <f t="shared" si="6"/>
        <v>0.16918429003021149</v>
      </c>
      <c r="N15" s="27">
        <v>359</v>
      </c>
      <c r="O15" s="32">
        <f t="shared" ref="O15:P15" si="23">D15/7</f>
        <v>8</v>
      </c>
      <c r="P15" s="32">
        <f t="shared" si="23"/>
        <v>3</v>
      </c>
      <c r="Q15" s="27">
        <f t="shared" si="8"/>
        <v>32</v>
      </c>
      <c r="R15" s="27"/>
      <c r="S15" s="33">
        <v>1.6297665819274301</v>
      </c>
      <c r="T15" s="26">
        <v>4300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38.909999999999997</v>
      </c>
      <c r="Z15" s="26">
        <v>1</v>
      </c>
      <c r="AA15" s="26" t="s">
        <v>250</v>
      </c>
      <c r="AB15" s="38">
        <f t="shared" si="11"/>
        <v>-0.48</v>
      </c>
      <c r="AC15" s="39">
        <v>0.3507291666666667</v>
      </c>
      <c r="AD15" s="37">
        <f t="shared" si="12"/>
        <v>-18.8552</v>
      </c>
      <c r="AE15" s="37">
        <v>-10.16</v>
      </c>
      <c r="AF15" s="37">
        <v>-6.5007624999999898</v>
      </c>
      <c r="AG15" s="37">
        <v>0</v>
      </c>
    </row>
    <row r="16" spans="1:33" ht="15.75" customHeight="1" x14ac:dyDescent="0.2">
      <c r="A16" s="26" t="s">
        <v>60</v>
      </c>
      <c r="B16" s="26" t="s">
        <v>46</v>
      </c>
      <c r="C16" s="14">
        <f t="shared" si="4"/>
        <v>33.772608695652181</v>
      </c>
      <c r="D16" s="27">
        <v>23</v>
      </c>
      <c r="E16" s="27">
        <v>8</v>
      </c>
      <c r="F16" s="30">
        <v>776.7700000000001</v>
      </c>
      <c r="G16" s="28">
        <v>-20.18</v>
      </c>
      <c r="H16" s="29">
        <f t="shared" si="1"/>
        <v>2.5979376134505707E-2</v>
      </c>
      <c r="I16" s="29">
        <f t="shared" si="2"/>
        <v>0.32072925383318129</v>
      </c>
      <c r="J16" s="30">
        <f t="shared" si="5"/>
        <v>249.13286250000027</v>
      </c>
      <c r="K16" s="30">
        <f t="shared" si="3"/>
        <v>10.831863586956533</v>
      </c>
      <c r="L16" s="27">
        <v>296</v>
      </c>
      <c r="M16" s="31">
        <f t="shared" si="6"/>
        <v>7.77027027027027E-2</v>
      </c>
      <c r="N16" s="27">
        <v>310</v>
      </c>
      <c r="O16" s="32">
        <f t="shared" ref="O16:P16" si="24">D16/7</f>
        <v>3.2857142857142856</v>
      </c>
      <c r="P16" s="32">
        <f t="shared" si="24"/>
        <v>1.1428571428571428</v>
      </c>
      <c r="Q16" s="27">
        <f t="shared" si="8"/>
        <v>70</v>
      </c>
      <c r="R16" s="27"/>
      <c r="S16" s="33">
        <v>1.93541383989145</v>
      </c>
      <c r="T16" s="26">
        <v>4300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10.09</v>
      </c>
      <c r="Z16" s="26">
        <v>2</v>
      </c>
      <c r="AA16" s="26" t="s">
        <v>250</v>
      </c>
      <c r="AB16" s="38">
        <f t="shared" si="11"/>
        <v>-0.48</v>
      </c>
      <c r="AC16" s="39">
        <v>0.3507291666666667</v>
      </c>
      <c r="AD16" s="37">
        <f t="shared" si="12"/>
        <v>-7.7440999999999995</v>
      </c>
      <c r="AE16" s="37">
        <v>-10.16</v>
      </c>
      <c r="AF16" s="37">
        <v>-6.5007624999999898</v>
      </c>
      <c r="AG16" s="37">
        <v>0</v>
      </c>
    </row>
    <row r="17" spans="1:33" ht="15.75" customHeight="1" x14ac:dyDescent="0.2">
      <c r="A17" s="26" t="s">
        <v>61</v>
      </c>
      <c r="B17" s="26" t="s">
        <v>46</v>
      </c>
      <c r="C17" s="14">
        <f t="shared" si="4"/>
        <v>33.99</v>
      </c>
      <c r="D17" s="27">
        <v>24</v>
      </c>
      <c r="E17" s="27">
        <v>3</v>
      </c>
      <c r="F17" s="30">
        <v>815.7600000000001</v>
      </c>
      <c r="G17" s="28">
        <v>-35.769999999999996</v>
      </c>
      <c r="H17" s="29">
        <f t="shared" si="1"/>
        <v>4.3848680984603303E-2</v>
      </c>
      <c r="I17" s="29">
        <f t="shared" si="2"/>
        <v>0.30607887123663857</v>
      </c>
      <c r="J17" s="30">
        <f t="shared" si="5"/>
        <v>249.68690000000032</v>
      </c>
      <c r="K17" s="30">
        <f t="shared" si="3"/>
        <v>10.403620833333347</v>
      </c>
      <c r="L17" s="27">
        <v>263</v>
      </c>
      <c r="M17" s="31">
        <f t="shared" si="6"/>
        <v>9.125475285171103E-2</v>
      </c>
      <c r="N17" s="27">
        <v>298</v>
      </c>
      <c r="O17" s="32">
        <f t="shared" ref="O17:P17" si="25">D17/7</f>
        <v>3.4285714285714284</v>
      </c>
      <c r="P17" s="32">
        <f t="shared" si="25"/>
        <v>0.42857142857142855</v>
      </c>
      <c r="Q17" s="27">
        <f t="shared" si="8"/>
        <v>77</v>
      </c>
      <c r="R17" s="27"/>
      <c r="S17" s="33">
        <v>1.725782414307</v>
      </c>
      <c r="T17" s="26">
        <v>4300</v>
      </c>
      <c r="U17" s="34" t="s">
        <v>34</v>
      </c>
      <c r="V17" s="35" t="s">
        <v>34</v>
      </c>
      <c r="W17" s="26">
        <v>3</v>
      </c>
      <c r="X17" s="36">
        <f t="shared" si="9"/>
        <v>0.125</v>
      </c>
      <c r="Y17" s="37">
        <f t="shared" si="10"/>
        <v>5.1099999999999994</v>
      </c>
      <c r="Z17" s="26">
        <v>4</v>
      </c>
      <c r="AA17" s="26" t="s">
        <v>250</v>
      </c>
      <c r="AB17" s="38">
        <f t="shared" si="11"/>
        <v>-0.48</v>
      </c>
      <c r="AC17" s="39">
        <v>0.3507291666666667</v>
      </c>
      <c r="AD17" s="37">
        <f t="shared" si="12"/>
        <v>-8.0808</v>
      </c>
      <c r="AE17" s="37">
        <v>-10.16</v>
      </c>
      <c r="AF17" s="37">
        <v>-6.5007624999999898</v>
      </c>
      <c r="AG17" s="37">
        <v>0</v>
      </c>
    </row>
    <row r="18" spans="1:33" ht="15.75" customHeight="1" x14ac:dyDescent="0.2">
      <c r="A18" s="26" t="s">
        <v>62</v>
      </c>
      <c r="B18" s="26" t="s">
        <v>413</v>
      </c>
      <c r="C18" s="14">
        <f t="shared" si="4"/>
        <v>33.99</v>
      </c>
      <c r="D18" s="27">
        <v>46</v>
      </c>
      <c r="E18" s="27">
        <v>1</v>
      </c>
      <c r="F18" s="30">
        <v>1563.5400000000002</v>
      </c>
      <c r="G18" s="28">
        <v>-23.13</v>
      </c>
      <c r="H18" s="29">
        <f t="shared" si="1"/>
        <v>1.479335354388119E-2</v>
      </c>
      <c r="I18" s="29">
        <f t="shared" si="2"/>
        <v>0.3351341986773605</v>
      </c>
      <c r="J18" s="30">
        <f t="shared" si="5"/>
        <v>523.99572500000033</v>
      </c>
      <c r="K18" s="30">
        <f t="shared" si="3"/>
        <v>11.391211413043486</v>
      </c>
      <c r="L18" s="27">
        <v>247</v>
      </c>
      <c r="M18" s="31">
        <f t="shared" si="6"/>
        <v>0.18623481781376519</v>
      </c>
      <c r="N18" s="27">
        <v>247</v>
      </c>
      <c r="O18" s="32">
        <f t="shared" ref="O18:P18" si="26">D18/7</f>
        <v>6.5714285714285712</v>
      </c>
      <c r="P18" s="32">
        <f t="shared" si="26"/>
        <v>0.14285714285714285</v>
      </c>
      <c r="Q18" s="27">
        <f t="shared" si="8"/>
        <v>36</v>
      </c>
      <c r="R18" s="27"/>
      <c r="S18" s="33">
        <v>1.8793686583990901</v>
      </c>
      <c r="T18" s="26">
        <v>4300</v>
      </c>
      <c r="U18" s="34" t="s">
        <v>34</v>
      </c>
      <c r="V18" s="35" t="s">
        <v>34</v>
      </c>
      <c r="W18" s="26">
        <v>1</v>
      </c>
      <c r="X18" s="36">
        <f t="shared" si="9"/>
        <v>2.1739130434782608E-2</v>
      </c>
      <c r="Y18" s="37">
        <f t="shared" si="10"/>
        <v>7.71</v>
      </c>
      <c r="Z18" s="26">
        <v>2</v>
      </c>
      <c r="AA18" s="26" t="s">
        <v>250</v>
      </c>
      <c r="AB18" s="38">
        <f t="shared" si="11"/>
        <v>-0.48</v>
      </c>
      <c r="AC18" s="39">
        <v>0.3507291666666667</v>
      </c>
      <c r="AD18" s="37">
        <f t="shared" si="12"/>
        <v>-15.488199999999999</v>
      </c>
      <c r="AE18" s="37">
        <v>-10.16</v>
      </c>
      <c r="AF18" s="37">
        <v>-6.5007624999999898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34.893225806451618</v>
      </c>
      <c r="D19" s="27">
        <v>31</v>
      </c>
      <c r="E19" s="27">
        <v>2</v>
      </c>
      <c r="F19" s="30">
        <v>1081.69</v>
      </c>
      <c r="G19" s="28">
        <v>-25.270000000000003</v>
      </c>
      <c r="H19" s="29">
        <f t="shared" si="1"/>
        <v>2.3361591583540571E-2</v>
      </c>
      <c r="I19" s="29">
        <f t="shared" si="2"/>
        <v>0.33951054599746699</v>
      </c>
      <c r="J19" s="30">
        <f t="shared" si="5"/>
        <v>367.24516250000011</v>
      </c>
      <c r="K19" s="30">
        <f t="shared" si="3"/>
        <v>11.846618145161294</v>
      </c>
      <c r="L19" s="27">
        <v>194</v>
      </c>
      <c r="M19" s="31">
        <f t="shared" si="6"/>
        <v>0.15979381443298968</v>
      </c>
      <c r="N19" s="27">
        <v>219</v>
      </c>
      <c r="O19" s="32">
        <f t="shared" ref="O19:P19" si="27">D19/7</f>
        <v>4.4285714285714288</v>
      </c>
      <c r="P19" s="32">
        <f t="shared" si="27"/>
        <v>0.2857142857142857</v>
      </c>
      <c r="Q19" s="27">
        <f t="shared" si="8"/>
        <v>46</v>
      </c>
      <c r="R19" s="27"/>
      <c r="S19" s="33">
        <v>2.0188323917137398</v>
      </c>
      <c r="T19" s="26">
        <v>7437</v>
      </c>
      <c r="U19" s="34">
        <v>1700</v>
      </c>
      <c r="V19" s="35" t="s">
        <v>414</v>
      </c>
      <c r="W19" s="26">
        <v>2</v>
      </c>
      <c r="X19" s="36">
        <f t="shared" si="9"/>
        <v>6.4516129032258063E-2</v>
      </c>
      <c r="Y19" s="37">
        <f t="shared" si="10"/>
        <v>6.3175000000000008</v>
      </c>
      <c r="Z19" s="26">
        <v>2</v>
      </c>
      <c r="AA19" s="26" t="s">
        <v>250</v>
      </c>
      <c r="AB19" s="38">
        <f t="shared" si="11"/>
        <v>-0.48</v>
      </c>
      <c r="AC19" s="39">
        <v>0.3507291666666667</v>
      </c>
      <c r="AD19" s="37">
        <f t="shared" si="12"/>
        <v>-10.4377</v>
      </c>
      <c r="AE19" s="37">
        <v>-10.16</v>
      </c>
      <c r="AF19" s="37">
        <v>-6.5007624999999996</v>
      </c>
      <c r="AG19" s="37">
        <v>0</v>
      </c>
    </row>
    <row r="20" spans="1:33" ht="15.75" customHeight="1" x14ac:dyDescent="0.2">
      <c r="A20" s="26" t="s">
        <v>65</v>
      </c>
      <c r="B20" s="26" t="s">
        <v>415</v>
      </c>
      <c r="C20" s="14">
        <f t="shared" si="4"/>
        <v>34.99</v>
      </c>
      <c r="D20" s="27">
        <v>20</v>
      </c>
      <c r="E20" s="27">
        <v>1</v>
      </c>
      <c r="F20" s="30">
        <v>699.80000000000007</v>
      </c>
      <c r="G20" s="28">
        <v>-26.11</v>
      </c>
      <c r="H20" s="29">
        <f t="shared" si="1"/>
        <v>3.7310660188625319E-2</v>
      </c>
      <c r="I20" s="29">
        <f t="shared" si="2"/>
        <v>0.32690875964561306</v>
      </c>
      <c r="J20" s="30">
        <f t="shared" si="5"/>
        <v>228.77075000000005</v>
      </c>
      <c r="K20" s="30">
        <f t="shared" si="3"/>
        <v>11.438537500000002</v>
      </c>
      <c r="L20" s="27">
        <v>192</v>
      </c>
      <c r="M20" s="31">
        <f t="shared" si="6"/>
        <v>0.10416666666666667</v>
      </c>
      <c r="N20" s="27">
        <v>192</v>
      </c>
      <c r="O20" s="32">
        <f t="shared" ref="O20:P20" si="28">D20/7</f>
        <v>2.8571428571428572</v>
      </c>
      <c r="P20" s="32">
        <f t="shared" si="28"/>
        <v>0.14285714285714285</v>
      </c>
      <c r="Q20" s="27">
        <f t="shared" si="8"/>
        <v>64</v>
      </c>
      <c r="R20" s="27"/>
      <c r="S20" s="33">
        <v>2.2615268329554001</v>
      </c>
      <c r="T20" s="26">
        <v>7437</v>
      </c>
      <c r="U20" s="34">
        <v>1700</v>
      </c>
      <c r="V20" s="35" t="s">
        <v>414</v>
      </c>
      <c r="W20" s="26">
        <v>2</v>
      </c>
      <c r="X20" s="36">
        <f t="shared" si="9"/>
        <v>0.1</v>
      </c>
      <c r="Y20" s="37">
        <f t="shared" si="10"/>
        <v>8.7033333333333331</v>
      </c>
      <c r="Z20" s="26">
        <v>1</v>
      </c>
      <c r="AA20" s="26" t="s">
        <v>250</v>
      </c>
      <c r="AB20" s="38">
        <f t="shared" si="11"/>
        <v>-0.48</v>
      </c>
      <c r="AC20" s="39">
        <v>0.3507291666666667</v>
      </c>
      <c r="AD20" s="37">
        <f t="shared" si="12"/>
        <v>-6.734</v>
      </c>
      <c r="AE20" s="37">
        <v>-10.16</v>
      </c>
      <c r="AF20" s="37">
        <v>-6.5007624999999996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32.627894736842102</v>
      </c>
      <c r="D21" s="27">
        <v>38</v>
      </c>
      <c r="E21" s="27">
        <v>4</v>
      </c>
      <c r="F21" s="30">
        <v>1239.8599999999999</v>
      </c>
      <c r="G21" s="28">
        <v>-16.099999999999998</v>
      </c>
      <c r="H21" s="29">
        <f t="shared" si="1"/>
        <v>1.2985337054183536E-2</v>
      </c>
      <c r="I21" s="29">
        <f t="shared" si="2"/>
        <v>0.31606586630748634</v>
      </c>
      <c r="J21" s="30">
        <f t="shared" si="5"/>
        <v>391.87742500000002</v>
      </c>
      <c r="K21" s="30">
        <f t="shared" si="3"/>
        <v>10.312563815789474</v>
      </c>
      <c r="L21" s="27">
        <v>98</v>
      </c>
      <c r="M21" s="31">
        <f t="shared" si="6"/>
        <v>0.38775510204081631</v>
      </c>
      <c r="N21" s="27">
        <v>156</v>
      </c>
      <c r="O21" s="32">
        <f t="shared" ref="O21:P21" si="29">D21/7</f>
        <v>5.4285714285714288</v>
      </c>
      <c r="P21" s="32">
        <f t="shared" si="29"/>
        <v>0.5714285714285714</v>
      </c>
      <c r="Q21" s="27">
        <f t="shared" si="8"/>
        <v>26</v>
      </c>
      <c r="R21" s="27"/>
      <c r="S21" s="33">
        <v>2.5972288580984202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2.6315789473684209E-2</v>
      </c>
      <c r="Y21" s="37">
        <f t="shared" si="10"/>
        <v>16.099999999999998</v>
      </c>
      <c r="Z21" s="26">
        <v>0</v>
      </c>
      <c r="AA21" s="26" t="s">
        <v>250</v>
      </c>
      <c r="AB21" s="38">
        <f t="shared" si="11"/>
        <v>-0.48</v>
      </c>
      <c r="AC21" s="39">
        <v>0.3507291666666667</v>
      </c>
      <c r="AD21" s="37">
        <f t="shared" si="12"/>
        <v>-12.794599999999999</v>
      </c>
      <c r="AE21" s="37">
        <v>-10.16</v>
      </c>
      <c r="AF21" s="37">
        <v>-6.5007624999999996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31.990000000000006</v>
      </c>
      <c r="D22" s="27">
        <v>32</v>
      </c>
      <c r="E22" s="27">
        <v>0</v>
      </c>
      <c r="F22" s="28">
        <v>1023.6800000000002</v>
      </c>
      <c r="G22" s="28">
        <v>-6.71</v>
      </c>
      <c r="H22" s="29">
        <f t="shared" si="1"/>
        <v>6.5547827446076883E-3</v>
      </c>
      <c r="I22" s="29">
        <f t="shared" si="2"/>
        <v>0.31210847139731168</v>
      </c>
      <c r="J22" s="30">
        <f t="shared" si="5"/>
        <v>319.49920000000009</v>
      </c>
      <c r="K22" s="30">
        <f t="shared" si="3"/>
        <v>9.9843500000000027</v>
      </c>
      <c r="L22" s="27">
        <v>177</v>
      </c>
      <c r="M22" s="31">
        <f t="shared" si="6"/>
        <v>0.1807909604519774</v>
      </c>
      <c r="N22" s="27">
        <v>125</v>
      </c>
      <c r="O22" s="32">
        <f t="shared" ref="O22:P22" si="30">D22/7</f>
        <v>4.5714285714285712</v>
      </c>
      <c r="P22" s="32">
        <f t="shared" si="30"/>
        <v>0</v>
      </c>
      <c r="Q22" s="27">
        <f t="shared" si="8"/>
        <v>27</v>
      </c>
      <c r="R22" s="27"/>
      <c r="S22" s="33">
        <v>2.0151575588352602</v>
      </c>
      <c r="T22" s="26" t="s">
        <v>34</v>
      </c>
      <c r="U22" s="34" t="s">
        <v>34</v>
      </c>
      <c r="V22" s="35" t="s">
        <v>34</v>
      </c>
      <c r="W22" s="26">
        <v>2</v>
      </c>
      <c r="X22" s="36">
        <f t="shared" si="9"/>
        <v>6.25E-2</v>
      </c>
      <c r="Y22" s="37">
        <f t="shared" si="10"/>
        <v>3.355</v>
      </c>
      <c r="Z22" s="26">
        <v>0</v>
      </c>
      <c r="AA22" s="26" t="s">
        <v>250</v>
      </c>
      <c r="AB22" s="38">
        <f t="shared" si="11"/>
        <v>-0.48</v>
      </c>
      <c r="AC22" s="39">
        <v>0.3507291666666667</v>
      </c>
      <c r="AD22" s="37">
        <f t="shared" si="12"/>
        <v>-10.7744</v>
      </c>
      <c r="AE22" s="37">
        <v>-10.16</v>
      </c>
      <c r="AF22" s="37">
        <v>-6.5007624999999996</v>
      </c>
      <c r="AG22" s="37">
        <v>0</v>
      </c>
    </row>
    <row r="23" spans="1:33" ht="15.75" customHeight="1" x14ac:dyDescent="0.2">
      <c r="A23" s="26" t="s">
        <v>68</v>
      </c>
      <c r="B23" s="26" t="s">
        <v>416</v>
      </c>
      <c r="C23" s="14">
        <f t="shared" si="4"/>
        <v>31.990000000000002</v>
      </c>
      <c r="D23" s="27">
        <v>33</v>
      </c>
      <c r="E23" s="27">
        <v>2</v>
      </c>
      <c r="F23" s="30">
        <v>1055.67</v>
      </c>
      <c r="G23" s="28">
        <v>-5.3999999999999995</v>
      </c>
      <c r="H23" s="29">
        <f t="shared" si="1"/>
        <v>5.1152348745346545E-3</v>
      </c>
      <c r="I23" s="29">
        <f t="shared" si="2"/>
        <v>0.31354801926738474</v>
      </c>
      <c r="J23" s="30">
        <f t="shared" si="5"/>
        <v>331.00323750000007</v>
      </c>
      <c r="K23" s="30">
        <f t="shared" si="3"/>
        <v>10.030401136363638</v>
      </c>
      <c r="L23" s="27">
        <v>159</v>
      </c>
      <c r="M23" s="31">
        <f t="shared" si="6"/>
        <v>0.20754716981132076</v>
      </c>
      <c r="N23" s="27">
        <v>90</v>
      </c>
      <c r="O23" s="32">
        <f t="shared" ref="O23:P23" si="31">D23/7</f>
        <v>4.7142857142857144</v>
      </c>
      <c r="P23" s="32">
        <f t="shared" si="31"/>
        <v>0.2857142857142857</v>
      </c>
      <c r="Q23" s="27">
        <f t="shared" si="8"/>
        <v>18</v>
      </c>
      <c r="R23" s="27"/>
      <c r="S23" s="33">
        <v>2.1506910387873299</v>
      </c>
      <c r="T23" s="26">
        <v>7987</v>
      </c>
      <c r="U23" s="34">
        <v>1700</v>
      </c>
      <c r="V23" s="35" t="s">
        <v>417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0.3507291666666667</v>
      </c>
      <c r="AD23" s="37">
        <f t="shared" si="12"/>
        <v>-11.1111</v>
      </c>
      <c r="AE23" s="37">
        <v>-10.16</v>
      </c>
      <c r="AF23" s="37">
        <v>-6.5007624999999996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29.463333333333342</v>
      </c>
      <c r="D24" s="27">
        <v>36</v>
      </c>
      <c r="E24" s="27">
        <v>4</v>
      </c>
      <c r="F24" s="30">
        <v>1060.6800000000003</v>
      </c>
      <c r="G24" s="30">
        <v>-10.040000000000001</v>
      </c>
      <c r="H24" s="29">
        <f t="shared" si="1"/>
        <v>9.4656258249424877E-3</v>
      </c>
      <c r="I24" s="29">
        <f t="shared" si="2"/>
        <v>0.26363215107289678</v>
      </c>
      <c r="J24" s="30">
        <f t="shared" si="5"/>
        <v>279.62935000000022</v>
      </c>
      <c r="K24" s="30">
        <f t="shared" si="3"/>
        <v>7.7674819444444507</v>
      </c>
      <c r="L24" s="27">
        <v>185</v>
      </c>
      <c r="M24" s="31">
        <f t="shared" si="6"/>
        <v>0.19459459459459461</v>
      </c>
      <c r="N24" s="27">
        <v>55</v>
      </c>
      <c r="O24" s="32">
        <f t="shared" ref="O24:P24" si="32">D24/7</f>
        <v>5.1428571428571432</v>
      </c>
      <c r="P24" s="32">
        <f t="shared" si="32"/>
        <v>0.5714285714285714</v>
      </c>
      <c r="Q24" s="27">
        <f t="shared" si="8"/>
        <v>9</v>
      </c>
      <c r="R24" s="27"/>
      <c r="S24" s="33">
        <v>2.2041712403951701</v>
      </c>
      <c r="T24" s="26">
        <v>7987</v>
      </c>
      <c r="U24" s="34">
        <v>1700</v>
      </c>
      <c r="V24" s="35" t="s">
        <v>418</v>
      </c>
      <c r="W24" s="26">
        <v>2</v>
      </c>
      <c r="X24" s="36">
        <f t="shared" si="9"/>
        <v>5.5555555555555552E-2</v>
      </c>
      <c r="Y24" s="37">
        <f t="shared" si="10"/>
        <v>5.0200000000000005</v>
      </c>
      <c r="Z24" s="26">
        <v>0</v>
      </c>
      <c r="AA24" s="26" t="s">
        <v>250</v>
      </c>
      <c r="AB24" s="38">
        <f t="shared" si="11"/>
        <v>-0.48</v>
      </c>
      <c r="AC24" s="39">
        <v>0.3507291666666667</v>
      </c>
      <c r="AD24" s="37">
        <f t="shared" si="12"/>
        <v>-12.1212</v>
      </c>
      <c r="AE24" s="37">
        <v>-10.16</v>
      </c>
      <c r="AF24" s="37">
        <v>-6.5007624999999996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27.085238095238093</v>
      </c>
      <c r="D25" s="15">
        <v>42</v>
      </c>
      <c r="E25" s="15">
        <v>2</v>
      </c>
      <c r="F25" s="16">
        <v>1137.58</v>
      </c>
      <c r="G25" s="16">
        <v>-18.89</v>
      </c>
      <c r="H25" s="29">
        <f t="shared" si="1"/>
        <v>1.6605425552488617E-2</v>
      </c>
      <c r="I25" s="29">
        <f t="shared" si="2"/>
        <v>0.2058682466288084</v>
      </c>
      <c r="J25" s="30">
        <f t="shared" si="5"/>
        <v>234.19159999999985</v>
      </c>
      <c r="K25" s="30">
        <f t="shared" si="3"/>
        <v>5.5759904761904728</v>
      </c>
      <c r="L25" s="15">
        <v>207</v>
      </c>
      <c r="M25" s="31">
        <f t="shared" si="6"/>
        <v>0.20289855072463769</v>
      </c>
      <c r="N25" s="15">
        <v>2</v>
      </c>
      <c r="O25" s="32">
        <f t="shared" ref="O25:P25" si="33">D25/7</f>
        <v>6</v>
      </c>
      <c r="P25" s="32">
        <f t="shared" si="33"/>
        <v>0.2857142857142857</v>
      </c>
      <c r="Q25" s="27">
        <f t="shared" si="8"/>
        <v>0</v>
      </c>
      <c r="R25" s="27"/>
      <c r="S25" s="41">
        <v>2.2001439884809222</v>
      </c>
      <c r="T25" s="26">
        <v>7987</v>
      </c>
      <c r="U25" s="34">
        <v>1700</v>
      </c>
      <c r="V25" s="35" t="s">
        <v>419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0.3507291666666667</v>
      </c>
      <c r="AD25" s="37">
        <f t="shared" si="12"/>
        <v>-14.141400000000001</v>
      </c>
      <c r="AE25" s="42">
        <v>-10.16</v>
      </c>
      <c r="AF25" s="42">
        <v>-6.5</v>
      </c>
      <c r="AG25" s="42">
        <v>0</v>
      </c>
    </row>
    <row r="26" spans="1:33" ht="15.75" customHeight="1" x14ac:dyDescent="0.2">
      <c r="A26" s="40" t="s">
        <v>75</v>
      </c>
      <c r="B26" s="26" t="s">
        <v>76</v>
      </c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7987</v>
      </c>
      <c r="U26" s="34">
        <v>1700</v>
      </c>
      <c r="V26" s="35" t="s">
        <v>420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0.3507291666666667</v>
      </c>
      <c r="AD26" s="37">
        <f t="shared" si="12"/>
        <v>0</v>
      </c>
      <c r="AE26" s="42">
        <v>-10.16</v>
      </c>
      <c r="AF26" s="42">
        <v>-6.5007624999999898</v>
      </c>
      <c r="AG26" s="42">
        <v>0</v>
      </c>
    </row>
    <row r="27" spans="1:33" ht="15.75" customHeight="1" x14ac:dyDescent="0.2">
      <c r="A27" s="40" t="s">
        <v>77</v>
      </c>
      <c r="B27" s="40" t="s">
        <v>361</v>
      </c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1702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0.6927803379416283</v>
      </c>
      <c r="T27" s="26">
        <v>6287</v>
      </c>
      <c r="U27" s="34">
        <v>2250</v>
      </c>
      <c r="V27" s="35" t="s">
        <v>421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0.3507291666666667</v>
      </c>
      <c r="AD27" s="37">
        <f t="shared" si="12"/>
        <v>0</v>
      </c>
      <c r="AE27" s="42">
        <v>-10.16</v>
      </c>
      <c r="AF27" s="42">
        <v>-6.5007624999999898</v>
      </c>
      <c r="AG27" s="42">
        <v>0</v>
      </c>
    </row>
    <row r="28" spans="1:33" ht="15.75" customHeight="1" x14ac:dyDescent="0.2">
      <c r="A28" s="40" t="s">
        <v>79</v>
      </c>
      <c r="B28" s="40" t="s">
        <v>422</v>
      </c>
      <c r="C28" s="14">
        <f t="shared" si="4"/>
        <v>27.374705882352941</v>
      </c>
      <c r="D28" s="15">
        <v>34</v>
      </c>
      <c r="E28" s="15">
        <v>3</v>
      </c>
      <c r="F28" s="16">
        <v>930.74</v>
      </c>
      <c r="G28" s="16">
        <v>-48.23</v>
      </c>
      <c r="H28" s="29">
        <f t="shared" si="1"/>
        <v>5.1818982744912645E-2</v>
      </c>
      <c r="I28" s="29">
        <f t="shared" si="2"/>
        <v>0.16265044480735791</v>
      </c>
      <c r="J28" s="30">
        <f t="shared" si="5"/>
        <v>151.38527500000029</v>
      </c>
      <c r="K28" s="30">
        <f t="shared" si="3"/>
        <v>4.4525080882353025</v>
      </c>
      <c r="L28" s="15">
        <v>205</v>
      </c>
      <c r="M28" s="31">
        <f t="shared" si="6"/>
        <v>0.16585365853658537</v>
      </c>
      <c r="N28" s="15">
        <v>1662</v>
      </c>
      <c r="O28" s="32">
        <f t="shared" ref="O28:P28" si="36">D28/7</f>
        <v>4.8571428571428568</v>
      </c>
      <c r="P28" s="32">
        <f t="shared" si="36"/>
        <v>0.42857142857142855</v>
      </c>
      <c r="Q28" s="27">
        <f t="shared" si="8"/>
        <v>314</v>
      </c>
      <c r="R28" s="27"/>
      <c r="S28" s="41">
        <v>0.63805668016194328</v>
      </c>
      <c r="T28" s="40">
        <v>1437</v>
      </c>
      <c r="U28" s="22">
        <v>2250</v>
      </c>
      <c r="V28" s="1" t="s">
        <v>423</v>
      </c>
      <c r="W28" s="40">
        <v>1</v>
      </c>
      <c r="X28" s="36">
        <f t="shared" si="9"/>
        <v>2.9411764705882353E-2</v>
      </c>
      <c r="Y28" s="37">
        <f t="shared" si="10"/>
        <v>16.076666666666664</v>
      </c>
      <c r="Z28" s="40">
        <v>2</v>
      </c>
      <c r="AA28" s="26" t="s">
        <v>250</v>
      </c>
      <c r="AB28" s="38">
        <f t="shared" si="11"/>
        <v>-0.48</v>
      </c>
      <c r="AC28" s="39">
        <v>0.3507291666666667</v>
      </c>
      <c r="AD28" s="37">
        <f t="shared" si="12"/>
        <v>-11.447800000000001</v>
      </c>
      <c r="AE28" s="42">
        <v>-10.56</v>
      </c>
      <c r="AF28" s="42">
        <v>-6.5007624999999898</v>
      </c>
      <c r="AG28" s="42">
        <v>0</v>
      </c>
    </row>
    <row r="29" spans="1:33" ht="15.75" customHeight="1" x14ac:dyDescent="0.2">
      <c r="A29" s="26" t="s">
        <v>82</v>
      </c>
      <c r="B29" s="26" t="s">
        <v>105</v>
      </c>
      <c r="C29" s="14">
        <f t="shared" si="4"/>
        <v>26.99</v>
      </c>
      <c r="D29" s="27">
        <v>66</v>
      </c>
      <c r="E29" s="27">
        <v>3</v>
      </c>
      <c r="F29" s="30">
        <v>1781.34</v>
      </c>
      <c r="G29" s="30">
        <v>-131.88</v>
      </c>
      <c r="H29" s="29">
        <f t="shared" si="1"/>
        <v>7.4034154063794669E-2</v>
      </c>
      <c r="I29" s="29">
        <f t="shared" si="2"/>
        <v>0.13137664623261183</v>
      </c>
      <c r="J29" s="30">
        <f t="shared" si="5"/>
        <v>234.02647500000074</v>
      </c>
      <c r="K29" s="30">
        <f t="shared" si="3"/>
        <v>3.545855681818193</v>
      </c>
      <c r="L29" s="27">
        <v>315</v>
      </c>
      <c r="M29" s="31">
        <f t="shared" si="6"/>
        <v>0.20952380952380953</v>
      </c>
      <c r="N29" s="15">
        <v>1573</v>
      </c>
      <c r="O29" s="32">
        <f t="shared" ref="O29:P29" si="37">D29/7</f>
        <v>9.4285714285714288</v>
      </c>
      <c r="P29" s="32">
        <f t="shared" si="37"/>
        <v>0.42857142857142855</v>
      </c>
      <c r="Q29" s="27">
        <f t="shared" si="8"/>
        <v>159</v>
      </c>
      <c r="R29" s="27"/>
      <c r="S29" s="41">
        <v>0.71274685816876127</v>
      </c>
      <c r="T29" s="40" t="s">
        <v>34</v>
      </c>
      <c r="U29" s="22" t="s">
        <v>34</v>
      </c>
      <c r="V29" s="1" t="s">
        <v>34</v>
      </c>
      <c r="W29" s="40">
        <v>7</v>
      </c>
      <c r="X29" s="36">
        <f t="shared" si="9"/>
        <v>0.10606060606060606</v>
      </c>
      <c r="Y29" s="37">
        <f t="shared" si="10"/>
        <v>9.42</v>
      </c>
      <c r="Z29" s="40">
        <v>7</v>
      </c>
      <c r="AA29" s="26" t="s">
        <v>250</v>
      </c>
      <c r="AB29" s="38">
        <f t="shared" si="11"/>
        <v>-0.48</v>
      </c>
      <c r="AC29" s="39">
        <v>0.3507291666666667</v>
      </c>
      <c r="AD29" s="37">
        <f t="shared" si="12"/>
        <v>-22.222200000000001</v>
      </c>
      <c r="AE29" s="37">
        <v>-10.56</v>
      </c>
      <c r="AF29" s="42">
        <v>-6.5007624999999898</v>
      </c>
      <c r="AG29" s="37">
        <v>0</v>
      </c>
    </row>
    <row r="30" spans="1:33" ht="15.75" customHeight="1" x14ac:dyDescent="0.2">
      <c r="A30" s="40" t="s">
        <v>84</v>
      </c>
      <c r="B30" s="40" t="s">
        <v>424</v>
      </c>
      <c r="C30" s="14">
        <f t="shared" si="4"/>
        <v>26.989999999999981</v>
      </c>
      <c r="D30" s="15">
        <v>91</v>
      </c>
      <c r="E30" s="15">
        <v>0</v>
      </c>
      <c r="F30" s="16">
        <v>2456.0899999999983</v>
      </c>
      <c r="G30" s="16">
        <v>-91.639999999999972</v>
      </c>
      <c r="H30" s="29">
        <f t="shared" si="1"/>
        <v>3.7311336310965816E-2</v>
      </c>
      <c r="I30" s="29">
        <f t="shared" si="2"/>
        <v>8.7475251163943127E-2</v>
      </c>
      <c r="J30" s="30">
        <f t="shared" si="5"/>
        <v>214.84708963124893</v>
      </c>
      <c r="K30" s="30">
        <f t="shared" si="3"/>
        <v>2.3609570289148234</v>
      </c>
      <c r="L30" s="15">
        <v>316</v>
      </c>
      <c r="M30" s="31">
        <f t="shared" si="6"/>
        <v>0.28797468354430378</v>
      </c>
      <c r="N30" s="15">
        <v>1457</v>
      </c>
      <c r="O30" s="32">
        <f t="shared" ref="O30:P30" si="38">D30/7</f>
        <v>13</v>
      </c>
      <c r="P30" s="32">
        <f t="shared" si="38"/>
        <v>0</v>
      </c>
      <c r="Q30" s="27">
        <f t="shared" si="8"/>
        <v>112</v>
      </c>
      <c r="R30" s="27"/>
      <c r="S30" s="41">
        <v>1.002272727272727</v>
      </c>
      <c r="T30" s="26">
        <v>4037</v>
      </c>
      <c r="U30" s="34">
        <v>2250</v>
      </c>
      <c r="V30" s="35" t="s">
        <v>425</v>
      </c>
      <c r="W30" s="40">
        <v>19</v>
      </c>
      <c r="X30" s="36">
        <f t="shared" si="9"/>
        <v>0.2087912087912088</v>
      </c>
      <c r="Y30" s="37">
        <f t="shared" si="10"/>
        <v>3.9843478260869554</v>
      </c>
      <c r="Z30" s="40">
        <v>4</v>
      </c>
      <c r="AA30" s="26" t="s">
        <v>250</v>
      </c>
      <c r="AB30" s="38">
        <f t="shared" si="11"/>
        <v>-0.48</v>
      </c>
      <c r="AC30" s="39">
        <v>0.3507291666666667</v>
      </c>
      <c r="AD30" s="37">
        <f t="shared" si="12"/>
        <v>-30.639700000000001</v>
      </c>
      <c r="AE30" s="42">
        <v>-10.56</v>
      </c>
      <c r="AF30" s="42">
        <v>-8.4790078062499994</v>
      </c>
      <c r="AG30" s="42">
        <v>-18</v>
      </c>
    </row>
    <row r="31" spans="1:33" ht="15.75" customHeight="1" x14ac:dyDescent="0.2">
      <c r="A31" s="40" t="s">
        <v>87</v>
      </c>
      <c r="B31" s="57" t="s">
        <v>426</v>
      </c>
      <c r="C31" s="14">
        <f t="shared" si="4"/>
        <v>27.00714285714281</v>
      </c>
      <c r="D31" s="15">
        <v>105</v>
      </c>
      <c r="E31" s="15">
        <v>1</v>
      </c>
      <c r="F31" s="16">
        <v>2835.749999999995</v>
      </c>
      <c r="G31" s="43">
        <v>-121.20000000000005</v>
      </c>
      <c r="H31" s="29">
        <f t="shared" si="1"/>
        <v>4.2740015868817864E-2</v>
      </c>
      <c r="I31" s="29">
        <f t="shared" si="2"/>
        <v>7.0788391199416711E-2</v>
      </c>
      <c r="J31" s="30">
        <f t="shared" si="5"/>
        <v>200.73818034374557</v>
      </c>
      <c r="K31" s="30">
        <f t="shared" si="3"/>
        <v>1.9117921937499578</v>
      </c>
      <c r="L31" s="15">
        <v>379</v>
      </c>
      <c r="M31" s="31">
        <f t="shared" si="6"/>
        <v>0.27704485488126651</v>
      </c>
      <c r="N31" s="15">
        <v>1405</v>
      </c>
      <c r="O31" s="32">
        <f t="shared" ref="O31:P31" si="39">D31/7</f>
        <v>15</v>
      </c>
      <c r="P31" s="32">
        <f t="shared" si="39"/>
        <v>0.14285714285714285</v>
      </c>
      <c r="Q31" s="27">
        <f t="shared" si="8"/>
        <v>92</v>
      </c>
      <c r="R31" s="27"/>
      <c r="S31" s="41">
        <v>1.09577314071696</v>
      </c>
      <c r="T31" s="40">
        <v>1787</v>
      </c>
      <c r="U31" s="22">
        <v>2250</v>
      </c>
      <c r="V31" s="1" t="s">
        <v>427</v>
      </c>
      <c r="W31" s="40">
        <v>8</v>
      </c>
      <c r="X31" s="36">
        <f t="shared" si="9"/>
        <v>7.6190476190476197E-2</v>
      </c>
      <c r="Y31" s="37">
        <f t="shared" si="10"/>
        <v>7.1294117647058854</v>
      </c>
      <c r="Z31" s="40">
        <v>9</v>
      </c>
      <c r="AA31" s="40" t="s">
        <v>250</v>
      </c>
      <c r="AB31" s="38">
        <f t="shared" si="11"/>
        <v>-0.48</v>
      </c>
      <c r="AC31" s="44">
        <v>0.3507291666666667</v>
      </c>
      <c r="AD31" s="37">
        <f t="shared" si="12"/>
        <v>-35.353499999999997</v>
      </c>
      <c r="AE31" s="45">
        <v>-10.56</v>
      </c>
      <c r="AF31" s="45">
        <v>-8.4790078062499994</v>
      </c>
      <c r="AG31" s="42">
        <v>-54</v>
      </c>
    </row>
    <row r="32" spans="1:33" ht="15.75" customHeight="1" x14ac:dyDescent="0.2">
      <c r="A32" s="40" t="s">
        <v>90</v>
      </c>
      <c r="B32" s="50" t="s">
        <v>428</v>
      </c>
      <c r="C32" s="14">
        <f t="shared" si="4"/>
        <v>27.590999999999998</v>
      </c>
      <c r="D32" s="15">
        <v>70</v>
      </c>
      <c r="E32" s="15">
        <v>7</v>
      </c>
      <c r="F32" s="16">
        <v>1931.37</v>
      </c>
      <c r="G32" s="16">
        <v>-92.36</v>
      </c>
      <c r="H32" s="29">
        <f t="shared" si="1"/>
        <v>4.7820976819563314E-2</v>
      </c>
      <c r="I32" s="29">
        <f t="shared" si="2"/>
        <v>7.274367602401402E-2</v>
      </c>
      <c r="J32" s="30">
        <f t="shared" si="5"/>
        <v>140.49495356249994</v>
      </c>
      <c r="K32" s="30">
        <f t="shared" si="3"/>
        <v>2.0070707651785704</v>
      </c>
      <c r="L32" s="15">
        <v>339</v>
      </c>
      <c r="M32" s="31">
        <f t="shared" si="6"/>
        <v>0.20648967551622419</v>
      </c>
      <c r="N32" s="15">
        <v>1400</v>
      </c>
      <c r="O32" s="32">
        <f t="shared" ref="O32:P32" si="40">D32/7</f>
        <v>10</v>
      </c>
      <c r="P32" s="32">
        <f t="shared" si="40"/>
        <v>1</v>
      </c>
      <c r="Q32" s="27">
        <f t="shared" si="8"/>
        <v>127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0.65998281294757954</v>
      </c>
      <c r="T32" s="40">
        <f ca="1">IFERROR(__xludf.DUMMYFUNCTION("IFERROR(VLOOKUP($B$2,IMPORTRANGE(""https://docs.google.com/spreadsheets/d/1KiWZV1ko8G7lnRucBRBd29jj3Be6ltMfljMDqzOkQmI/edit#gid=1381463014"",""Lookup!A:D""),4,FALSE),"""")"),1787)</f>
        <v>1787</v>
      </c>
      <c r="U32" s="22">
        <f ca="1">IFERROR(__xludf.DUMMYFUNCTION("IFERROR(VLOOKUP($B$2,IMPORTRANGE(""https://docs.google.com/spreadsheets/d/1KiWZV1ko8G7lnRucBRBd29jj3Be6ltMfljMDqzOkQmI/edit#gid=1381463014"",""Lookup!A:D""),3,FALSE),"""")"),2250)</f>
        <v>2250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- 2250 units 07/22")</f>
        <v>| AGL232  - 2250 units 07/22</v>
      </c>
      <c r="W32" s="40">
        <v>11</v>
      </c>
      <c r="X32" s="36">
        <f t="shared" si="9"/>
        <v>0.15714285714285714</v>
      </c>
      <c r="Y32" s="37">
        <f t="shared" si="10"/>
        <v>3.2985714285714285</v>
      </c>
      <c r="Z32" s="40">
        <v>17</v>
      </c>
      <c r="AA32" s="40" t="s">
        <v>250</v>
      </c>
      <c r="AB32" s="38">
        <f t="shared" si="11"/>
        <v>-0.48</v>
      </c>
      <c r="AC32" s="44">
        <v>0.3507291666666667</v>
      </c>
      <c r="AD32" s="37">
        <f t="shared" si="12"/>
        <v>-23.568999999999999</v>
      </c>
      <c r="AE32" s="42">
        <v>-10.56</v>
      </c>
      <c r="AF32" s="42">
        <v>-8.4790078062499994</v>
      </c>
      <c r="AG32" s="42">
        <v>-52.51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Info!B1:BJ5000""),3,FALSE),"""")"),"59x47"" Office Chair Mat - Hardwood, No Lip")</f>
        <v>59x47" Office Chair Mat - Hardwood, No Lip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Info!B1:BJ5000""),2,FALSE),"""")"),"B06XDSMWYF")</f>
        <v>B06XDSMWYF</v>
      </c>
      <c r="B2" s="3" t="s">
        <v>429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33.361244117647061</v>
      </c>
      <c r="D3" s="5">
        <f>SUM(D4:D99767)</f>
        <v>1694</v>
      </c>
      <c r="E3" s="5"/>
      <c r="F3" s="6">
        <f t="shared" ref="F3:G3" si="0">SUM(F4:F99767)</f>
        <v>60616.639999999985</v>
      </c>
      <c r="G3" s="6">
        <f t="shared" si="0"/>
        <v>-1887.12</v>
      </c>
      <c r="H3" s="7">
        <f t="shared" ref="H3:H32" si="1">G3/F3*-1</f>
        <v>3.1132045590121796E-2</v>
      </c>
      <c r="I3" s="8">
        <f t="shared" ref="I3:I32" si="2">J3/F3</f>
        <v>0.10453943432523603</v>
      </c>
      <c r="J3" s="6">
        <f>SUM(J4:J99767)</f>
        <v>6336.8292562964743</v>
      </c>
      <c r="K3" s="6">
        <f t="shared" ref="K3:K32" si="3">J3/D3</f>
        <v>3.740749265818462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Sheet!a1:g5000""),2,FALSE),"""")"),"15.0 - March
15.0 - April
15.0 - May
15.0 - June
15.0 - July
15.0 - Aug
15.0 - Sept
15.0 - Oct
15.0 - Nov
15.0 - Dec
15.0 - Jan
15.0 - Feb")</f>
        <v>15.0 - March
15.0 - April
15.0 - May
15.0 - June
15.0 - July
15.0 - Aug
15.0 - Sept
15.0 - Oct
15.0 - Nov
15.0 - Dec
15.0 - Jan
15.0 -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142</v>
      </c>
      <c r="X3" s="7">
        <f>W3/D3</f>
        <v>8.3825265643447458E-2</v>
      </c>
      <c r="Y3" s="6"/>
      <c r="Z3" s="5"/>
      <c r="AA3" s="5"/>
      <c r="AB3" s="5"/>
      <c r="AC3" s="5"/>
      <c r="AD3" s="6">
        <f>SUM(AD4:AD99767)</f>
        <v>-1599.1710034762457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Info!B2:BZ3000""),37,FALSE)),"""")*-1"),-15.1370575)</f>
        <v>-15.137057499999999</v>
      </c>
      <c r="AG3" s="6">
        <f>SUM(AG4:AG99767)</f>
        <v>-50</v>
      </c>
    </row>
    <row r="4" spans="1:33" x14ac:dyDescent="0.2">
      <c r="A4" s="1" t="s">
        <v>32</v>
      </c>
      <c r="B4" s="1" t="s">
        <v>46</v>
      </c>
      <c r="C4" s="14">
        <f t="shared" ref="C4:C32" si="4">IFERROR(F4/D4," - ")</f>
        <v>40.048500000000004</v>
      </c>
      <c r="D4" s="15">
        <v>40</v>
      </c>
      <c r="E4" s="15">
        <v>0</v>
      </c>
      <c r="F4" s="16">
        <v>1601.9400000000003</v>
      </c>
      <c r="G4" s="16">
        <v>-78.23</v>
      </c>
      <c r="H4" s="17">
        <f t="shared" si="1"/>
        <v>4.883453812252643E-2</v>
      </c>
      <c r="I4" s="17">
        <f t="shared" si="2"/>
        <v>0.19818895725296717</v>
      </c>
      <c r="J4" s="16">
        <f t="shared" ref="J4:J32" si="5">F4*0.85+G4+AF4*D4+D4*AE4+AG4+AD4</f>
        <v>317.48681818181831</v>
      </c>
      <c r="K4" s="16">
        <f t="shared" si="3"/>
        <v>7.9371704545454573</v>
      </c>
      <c r="L4" s="15">
        <v>249</v>
      </c>
      <c r="M4" s="18">
        <f t="shared" ref="M4:M32" si="6">IFERROR(D4/L4,"-")</f>
        <v>0.1606425702811245</v>
      </c>
      <c r="N4" s="15">
        <v>366</v>
      </c>
      <c r="O4" s="19">
        <f t="shared" ref="O4:P4" si="7">D4/7</f>
        <v>5.7142857142857144</v>
      </c>
      <c r="P4" s="19">
        <f t="shared" si="7"/>
        <v>0</v>
      </c>
      <c r="Q4" s="15">
        <f t="shared" ref="Q4:Q32" si="8">ROUNDDOWN(N4/(O4+P4),0)</f>
        <v>64</v>
      </c>
      <c r="R4" s="15"/>
      <c r="S4" s="20">
        <v>1.16651333946642</v>
      </c>
      <c r="T4" s="2" t="s">
        <v>34</v>
      </c>
      <c r="U4" s="2" t="s">
        <v>34</v>
      </c>
      <c r="V4" s="21" t="s">
        <v>34</v>
      </c>
      <c r="W4" s="22">
        <v>3</v>
      </c>
      <c r="X4" s="23">
        <f t="shared" ref="X4:X32" si="9">IFERROR(W4/D4,0)</f>
        <v>7.4999999999999997E-2</v>
      </c>
      <c r="Y4" s="24">
        <f t="shared" ref="Y4:Y32" si="10">IFERROR(G4/(W4+Z4)*-1,0)</f>
        <v>8.6922222222222221</v>
      </c>
      <c r="Z4" s="22">
        <v>6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0.98333333333333339</v>
      </c>
      <c r="AD4" s="24">
        <f t="shared" ref="AD4:AD32" si="12">IFERROR(AB4*AC4*D4*2,0)</f>
        <v>-37.760000000000005</v>
      </c>
      <c r="AE4" s="24">
        <v>-12.82</v>
      </c>
      <c r="AF4" s="24">
        <v>-10.384304545454548</v>
      </c>
      <c r="AG4" s="24">
        <v>0</v>
      </c>
    </row>
    <row r="5" spans="1:33" ht="15.75" customHeight="1" x14ac:dyDescent="0.2">
      <c r="A5" s="26" t="s">
        <v>35</v>
      </c>
      <c r="B5" s="26" t="s">
        <v>430</v>
      </c>
      <c r="C5" s="14">
        <f t="shared" si="4"/>
        <v>41.629687499999996</v>
      </c>
      <c r="D5" s="27">
        <v>32</v>
      </c>
      <c r="E5" s="27">
        <v>1</v>
      </c>
      <c r="F5" s="28">
        <v>1332.1499999999999</v>
      </c>
      <c r="G5" s="28">
        <v>-119.99000000000004</v>
      </c>
      <c r="H5" s="29">
        <f t="shared" si="1"/>
        <v>9.0072439289869799E-2</v>
      </c>
      <c r="I5" s="29">
        <f t="shared" si="2"/>
        <v>0.17982715990632339</v>
      </c>
      <c r="J5" s="30">
        <f t="shared" si="5"/>
        <v>239.55675106920867</v>
      </c>
      <c r="K5" s="30">
        <f t="shared" si="3"/>
        <v>7.486148470912771</v>
      </c>
      <c r="L5" s="27">
        <v>369</v>
      </c>
      <c r="M5" s="31">
        <f t="shared" si="6"/>
        <v>8.6720867208672087E-2</v>
      </c>
      <c r="N5" s="27">
        <v>325</v>
      </c>
      <c r="O5" s="32">
        <f t="shared" ref="O5:P5" si="13">D5/7</f>
        <v>4.5714285714285712</v>
      </c>
      <c r="P5" s="32">
        <f t="shared" si="13"/>
        <v>0.14285714285714285</v>
      </c>
      <c r="Q5" s="27">
        <f t="shared" si="8"/>
        <v>68</v>
      </c>
      <c r="R5" s="27"/>
      <c r="S5" s="33">
        <v>1.29551315110881</v>
      </c>
      <c r="T5" s="26" t="s">
        <v>34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39.996666666666677</v>
      </c>
      <c r="Z5" s="26">
        <v>3</v>
      </c>
      <c r="AA5" s="26" t="s">
        <v>250</v>
      </c>
      <c r="AB5" s="38">
        <f t="shared" si="11"/>
        <v>-0.48</v>
      </c>
      <c r="AC5" s="39">
        <v>0.98447276940903827</v>
      </c>
      <c r="AD5" s="37">
        <f t="shared" si="12"/>
        <v>-30.243003476245654</v>
      </c>
      <c r="AE5" s="37">
        <v>-12.82</v>
      </c>
      <c r="AF5" s="37">
        <v>-10.384304545454548</v>
      </c>
      <c r="AG5" s="37">
        <v>0</v>
      </c>
    </row>
    <row r="6" spans="1:33" ht="15.75" customHeight="1" x14ac:dyDescent="0.2">
      <c r="A6" s="26" t="s">
        <v>38</v>
      </c>
      <c r="B6" s="26" t="s">
        <v>431</v>
      </c>
      <c r="C6" s="14">
        <f t="shared" si="4"/>
        <v>40.638571428571417</v>
      </c>
      <c r="D6" s="27">
        <v>35</v>
      </c>
      <c r="E6" s="27">
        <v>2</v>
      </c>
      <c r="F6" s="28">
        <v>1422.3499999999997</v>
      </c>
      <c r="G6" s="28">
        <v>-15.41</v>
      </c>
      <c r="H6" s="29">
        <f t="shared" si="1"/>
        <v>1.08341828663831E-2</v>
      </c>
      <c r="I6" s="29">
        <f t="shared" si="2"/>
        <v>0.24494452202980324</v>
      </c>
      <c r="J6" s="30">
        <f t="shared" si="5"/>
        <v>348.39684090909054</v>
      </c>
      <c r="K6" s="30">
        <f t="shared" si="3"/>
        <v>9.9541954545454434</v>
      </c>
      <c r="L6" s="27">
        <v>250</v>
      </c>
      <c r="M6" s="31">
        <f t="shared" si="6"/>
        <v>0.14000000000000001</v>
      </c>
      <c r="N6" s="27">
        <f>286+110</f>
        <v>396</v>
      </c>
      <c r="O6" s="32">
        <f t="shared" ref="O6:P6" si="14">D6/7</f>
        <v>5</v>
      </c>
      <c r="P6" s="32">
        <f t="shared" si="14"/>
        <v>0.2857142857142857</v>
      </c>
      <c r="Q6" s="27">
        <f t="shared" si="8"/>
        <v>74</v>
      </c>
      <c r="R6" s="27"/>
      <c r="S6" s="33">
        <v>1.3595830920671601</v>
      </c>
      <c r="T6" s="26">
        <v>2002</v>
      </c>
      <c r="U6" s="34">
        <v>1100</v>
      </c>
      <c r="V6" s="49" t="s">
        <v>432</v>
      </c>
      <c r="W6" s="26">
        <v>1</v>
      </c>
      <c r="X6" s="36">
        <f t="shared" si="9"/>
        <v>2.8571428571428571E-2</v>
      </c>
      <c r="Y6" s="37">
        <f t="shared" si="10"/>
        <v>7.7050000000000001</v>
      </c>
      <c r="Z6" s="26">
        <v>1</v>
      </c>
      <c r="AA6" s="26" t="s">
        <v>250</v>
      </c>
      <c r="AB6" s="38">
        <f t="shared" si="11"/>
        <v>-0.48</v>
      </c>
      <c r="AC6" s="39">
        <v>0.98333333333333339</v>
      </c>
      <c r="AD6" s="37">
        <f t="shared" si="12"/>
        <v>-33.04</v>
      </c>
      <c r="AE6" s="37">
        <v>-12.82</v>
      </c>
      <c r="AF6" s="37">
        <v>-10.384304545454548</v>
      </c>
      <c r="AG6" s="37">
        <v>0</v>
      </c>
    </row>
    <row r="7" spans="1:33" ht="15.75" customHeight="1" x14ac:dyDescent="0.2">
      <c r="A7" s="26" t="s">
        <v>41</v>
      </c>
      <c r="B7" s="26" t="s">
        <v>254</v>
      </c>
      <c r="C7" s="14">
        <f t="shared" si="4"/>
        <v>37.125507246376785</v>
      </c>
      <c r="D7" s="27">
        <v>69</v>
      </c>
      <c r="E7" s="27">
        <v>3</v>
      </c>
      <c r="F7" s="28">
        <v>2561.659999999998</v>
      </c>
      <c r="G7" s="28">
        <v>-61.56</v>
      </c>
      <c r="H7" s="29">
        <f t="shared" si="1"/>
        <v>2.4031292208958274E-2</v>
      </c>
      <c r="I7" s="29">
        <f t="shared" si="2"/>
        <v>0.17551821333183748</v>
      </c>
      <c r="J7" s="30">
        <f t="shared" si="5"/>
        <v>449.61798636363443</v>
      </c>
      <c r="K7" s="30">
        <f t="shared" si="3"/>
        <v>6.5162027009222383</v>
      </c>
      <c r="L7" s="27">
        <v>378</v>
      </c>
      <c r="M7" s="31">
        <f t="shared" si="6"/>
        <v>0.18253968253968253</v>
      </c>
      <c r="N7" s="27">
        <v>218</v>
      </c>
      <c r="O7" s="32">
        <f t="shared" ref="O7:P7" si="15">D7/7</f>
        <v>9.8571428571428577</v>
      </c>
      <c r="P7" s="32">
        <f t="shared" si="15"/>
        <v>0.42857142857142855</v>
      </c>
      <c r="Q7" s="27">
        <f t="shared" si="8"/>
        <v>21</v>
      </c>
      <c r="R7" s="27"/>
      <c r="S7" s="33">
        <v>1.0725315863359799</v>
      </c>
      <c r="T7" s="26">
        <v>2002</v>
      </c>
      <c r="U7" s="34">
        <v>1100</v>
      </c>
      <c r="V7" s="49" t="s">
        <v>433</v>
      </c>
      <c r="W7" s="26">
        <v>5</v>
      </c>
      <c r="X7" s="36">
        <f t="shared" si="9"/>
        <v>7.2463768115942032E-2</v>
      </c>
      <c r="Y7" s="37">
        <f t="shared" si="10"/>
        <v>6.84</v>
      </c>
      <c r="Z7" s="26">
        <v>4</v>
      </c>
      <c r="AA7" s="26" t="s">
        <v>250</v>
      </c>
      <c r="AB7" s="38">
        <f t="shared" si="11"/>
        <v>-0.48</v>
      </c>
      <c r="AC7" s="39">
        <v>0.98333333333333339</v>
      </c>
      <c r="AD7" s="37">
        <f t="shared" si="12"/>
        <v>-65.13600000000001</v>
      </c>
      <c r="AE7" s="37">
        <v>-12.82</v>
      </c>
      <c r="AF7" s="37">
        <v>-10.384304545454548</v>
      </c>
      <c r="AG7" s="37">
        <v>0</v>
      </c>
    </row>
    <row r="8" spans="1:33" ht="15.75" customHeight="1" x14ac:dyDescent="0.2">
      <c r="A8" s="26" t="s">
        <v>43</v>
      </c>
      <c r="B8" s="26" t="s">
        <v>256</v>
      </c>
      <c r="C8" s="14">
        <f t="shared" si="4"/>
        <v>36.049032258064479</v>
      </c>
      <c r="D8" s="27">
        <v>93</v>
      </c>
      <c r="E8" s="27">
        <v>7</v>
      </c>
      <c r="F8" s="28">
        <v>3352.5599999999963</v>
      </c>
      <c r="G8" s="28">
        <v>-110.02</v>
      </c>
      <c r="H8" s="29">
        <f t="shared" si="1"/>
        <v>3.2816713198272403E-2</v>
      </c>
      <c r="I8" s="29">
        <f t="shared" si="2"/>
        <v>0.14742883050564259</v>
      </c>
      <c r="J8" s="30">
        <f t="shared" si="5"/>
        <v>494.2639999999966</v>
      </c>
      <c r="K8" s="30">
        <f t="shared" si="3"/>
        <v>5.3146666666666302</v>
      </c>
      <c r="L8" s="27">
        <v>396</v>
      </c>
      <c r="M8" s="31">
        <f t="shared" si="6"/>
        <v>0.23484848484848486</v>
      </c>
      <c r="N8" s="27">
        <v>121</v>
      </c>
      <c r="O8" s="32">
        <f t="shared" ref="O8:P8" si="16">D8/7</f>
        <v>13.285714285714286</v>
      </c>
      <c r="P8" s="32">
        <f t="shared" si="16"/>
        <v>1</v>
      </c>
      <c r="Q8" s="27">
        <f t="shared" si="8"/>
        <v>8</v>
      </c>
      <c r="R8" s="27"/>
      <c r="S8" s="33">
        <v>1.35453100158982</v>
      </c>
      <c r="T8" s="26">
        <v>902</v>
      </c>
      <c r="U8" s="34" t="s">
        <v>34</v>
      </c>
      <c r="V8" s="35" t="s">
        <v>34</v>
      </c>
      <c r="W8" s="26">
        <v>6</v>
      </c>
      <c r="X8" s="36">
        <f t="shared" si="9"/>
        <v>6.4516129032258063E-2</v>
      </c>
      <c r="Y8" s="37">
        <f t="shared" si="10"/>
        <v>11.001999999999999</v>
      </c>
      <c r="Z8" s="26">
        <v>4</v>
      </c>
      <c r="AA8" s="26" t="s">
        <v>250</v>
      </c>
      <c r="AB8" s="38">
        <f t="shared" si="11"/>
        <v>-0.48</v>
      </c>
      <c r="AC8" s="39">
        <v>0.98333333333333339</v>
      </c>
      <c r="AD8" s="37">
        <f t="shared" si="12"/>
        <v>-87.792000000000002</v>
      </c>
      <c r="AE8" s="37">
        <v>-12.82</v>
      </c>
      <c r="AF8" s="37">
        <v>-10.38</v>
      </c>
      <c r="AG8" s="37">
        <v>0</v>
      </c>
    </row>
    <row r="9" spans="1:33" ht="15.75" customHeight="1" x14ac:dyDescent="0.2">
      <c r="A9" s="26" t="s">
        <v>45</v>
      </c>
      <c r="B9" s="26" t="s">
        <v>434</v>
      </c>
      <c r="C9" s="14">
        <f t="shared" si="4"/>
        <v>35.99</v>
      </c>
      <c r="D9" s="27">
        <v>56</v>
      </c>
      <c r="E9" s="27">
        <v>8</v>
      </c>
      <c r="F9" s="28">
        <v>2015.4400000000003</v>
      </c>
      <c r="G9" s="28">
        <v>-81.389999999999986</v>
      </c>
      <c r="H9" s="29">
        <f t="shared" si="1"/>
        <v>4.0383241376572843E-2</v>
      </c>
      <c r="I9" s="29">
        <f t="shared" si="2"/>
        <v>0.11668728326411083</v>
      </c>
      <c r="J9" s="30">
        <f t="shared" si="5"/>
        <v>235.17621818181956</v>
      </c>
      <c r="K9" s="30">
        <f t="shared" si="3"/>
        <v>4.1995753246753491</v>
      </c>
      <c r="L9" s="27">
        <v>396</v>
      </c>
      <c r="M9" s="31">
        <f t="shared" si="6"/>
        <v>0.14141414141414141</v>
      </c>
      <c r="N9" s="27">
        <v>1165</v>
      </c>
      <c r="O9" s="32">
        <f t="shared" ref="O9:P9" si="17">D9/7</f>
        <v>8</v>
      </c>
      <c r="P9" s="32">
        <f t="shared" si="17"/>
        <v>1.1428571428571428</v>
      </c>
      <c r="Q9" s="27">
        <f t="shared" si="8"/>
        <v>127</v>
      </c>
      <c r="R9" s="27"/>
      <c r="S9" s="33">
        <v>0.92263404102195001</v>
      </c>
      <c r="T9" s="26">
        <v>902</v>
      </c>
      <c r="U9" s="34" t="s">
        <v>34</v>
      </c>
      <c r="V9" s="35" t="s">
        <v>34</v>
      </c>
      <c r="W9" s="26">
        <v>5</v>
      </c>
      <c r="X9" s="36">
        <f t="shared" si="9"/>
        <v>8.9285714285714288E-2</v>
      </c>
      <c r="Y9" s="37">
        <f t="shared" si="10"/>
        <v>8.1389999999999993</v>
      </c>
      <c r="Z9" s="26">
        <v>5</v>
      </c>
      <c r="AA9" s="26" t="s">
        <v>250</v>
      </c>
      <c r="AB9" s="38">
        <f t="shared" si="11"/>
        <v>-0.48</v>
      </c>
      <c r="AC9" s="39">
        <v>0.98333333333333339</v>
      </c>
      <c r="AD9" s="37">
        <f t="shared" si="12"/>
        <v>-52.864000000000004</v>
      </c>
      <c r="AE9" s="37">
        <v>-12.82</v>
      </c>
      <c r="AF9" s="37">
        <v>-11.1745318181818</v>
      </c>
      <c r="AG9" s="37">
        <v>0</v>
      </c>
    </row>
    <row r="10" spans="1:33" ht="15.75" customHeight="1" x14ac:dyDescent="0.2">
      <c r="A10" s="26" t="s">
        <v>48</v>
      </c>
      <c r="B10" s="26" t="s">
        <v>435</v>
      </c>
      <c r="C10" s="14">
        <f t="shared" si="4"/>
        <v>34.504285714285686</v>
      </c>
      <c r="D10" s="27">
        <v>70</v>
      </c>
      <c r="E10" s="27">
        <v>5</v>
      </c>
      <c r="F10" s="28">
        <v>2415.2999999999979</v>
      </c>
      <c r="G10" s="28">
        <v>-68.31</v>
      </c>
      <c r="H10" s="29">
        <f t="shared" si="1"/>
        <v>2.8282200968823775E-2</v>
      </c>
      <c r="I10" s="29">
        <f t="shared" si="2"/>
        <v>9.8951588923642045E-2</v>
      </c>
      <c r="J10" s="30">
        <f t="shared" si="5"/>
        <v>238.99777272727243</v>
      </c>
      <c r="K10" s="30">
        <f t="shared" si="3"/>
        <v>3.414253896103892</v>
      </c>
      <c r="L10" s="27">
        <v>364</v>
      </c>
      <c r="M10" s="31">
        <f t="shared" si="6"/>
        <v>0.19230769230769232</v>
      </c>
      <c r="N10" s="27">
        <v>1043</v>
      </c>
      <c r="O10" s="32">
        <f t="shared" ref="O10:P10" si="18">D10/7</f>
        <v>10</v>
      </c>
      <c r="P10" s="32">
        <f t="shared" si="18"/>
        <v>0.7142857142857143</v>
      </c>
      <c r="Q10" s="27">
        <f t="shared" si="8"/>
        <v>97</v>
      </c>
      <c r="R10" s="27"/>
      <c r="S10" s="33">
        <v>1.0481879729191499</v>
      </c>
      <c r="T10" s="26">
        <v>902</v>
      </c>
      <c r="U10" s="34" t="s">
        <v>34</v>
      </c>
      <c r="V10" s="35" t="s">
        <v>34</v>
      </c>
      <c r="W10" s="26">
        <v>8</v>
      </c>
      <c r="X10" s="36">
        <f t="shared" si="9"/>
        <v>0.11428571428571428</v>
      </c>
      <c r="Y10" s="37">
        <f t="shared" si="10"/>
        <v>8.5387500000000003</v>
      </c>
      <c r="Z10" s="26">
        <v>0</v>
      </c>
      <c r="AA10" s="26" t="s">
        <v>250</v>
      </c>
      <c r="AB10" s="38">
        <f t="shared" si="11"/>
        <v>-0.48</v>
      </c>
      <c r="AC10" s="39">
        <v>0.98333333333333339</v>
      </c>
      <c r="AD10" s="37">
        <f t="shared" si="12"/>
        <v>-66.08</v>
      </c>
      <c r="AE10" s="37">
        <v>-12.82</v>
      </c>
      <c r="AF10" s="37">
        <v>-11.1745318181818</v>
      </c>
      <c r="AG10" s="37">
        <v>0</v>
      </c>
    </row>
    <row r="11" spans="1:33" ht="15.75" customHeight="1" x14ac:dyDescent="0.2">
      <c r="A11" s="26" t="s">
        <v>50</v>
      </c>
      <c r="B11" s="26" t="s">
        <v>436</v>
      </c>
      <c r="C11" s="14">
        <f t="shared" si="4"/>
        <v>34.39449438202243</v>
      </c>
      <c r="D11" s="27">
        <v>89</v>
      </c>
      <c r="E11" s="27">
        <v>7</v>
      </c>
      <c r="F11" s="28">
        <v>3061.109999999996</v>
      </c>
      <c r="G11" s="28">
        <v>-55.56</v>
      </c>
      <c r="H11" s="29">
        <f t="shared" si="1"/>
        <v>1.8150278820427908E-2</v>
      </c>
      <c r="I11" s="29">
        <f t="shared" si="2"/>
        <v>0.10677635504173877</v>
      </c>
      <c r="J11" s="30">
        <f t="shared" si="5"/>
        <v>326.85416818181653</v>
      </c>
      <c r="K11" s="30">
        <f t="shared" si="3"/>
        <v>3.6725187436159161</v>
      </c>
      <c r="L11" s="27">
        <v>334</v>
      </c>
      <c r="M11" s="31">
        <f t="shared" si="6"/>
        <v>0.26646706586826346</v>
      </c>
      <c r="N11" s="27">
        <v>999</v>
      </c>
      <c r="O11" s="32">
        <f t="shared" ref="O11:P11" si="19">D11/7</f>
        <v>12.714285714285714</v>
      </c>
      <c r="P11" s="32">
        <f t="shared" si="19"/>
        <v>1</v>
      </c>
      <c r="Q11" s="27">
        <f t="shared" si="8"/>
        <v>72</v>
      </c>
      <c r="R11" s="27"/>
      <c r="S11" s="33">
        <v>1.19487179487179</v>
      </c>
      <c r="T11" s="26">
        <v>902</v>
      </c>
      <c r="U11" s="34" t="s">
        <v>34</v>
      </c>
      <c r="V11" s="35" t="s">
        <v>34</v>
      </c>
      <c r="W11" s="26">
        <v>8</v>
      </c>
      <c r="X11" s="36">
        <f t="shared" si="9"/>
        <v>8.98876404494382E-2</v>
      </c>
      <c r="Y11" s="37">
        <f t="shared" si="10"/>
        <v>6.9450000000000003</v>
      </c>
      <c r="Z11" s="26">
        <v>0</v>
      </c>
      <c r="AA11" s="26" t="s">
        <v>250</v>
      </c>
      <c r="AB11" s="38">
        <f t="shared" si="11"/>
        <v>-0.48</v>
      </c>
      <c r="AC11" s="39">
        <v>0.98333333333333339</v>
      </c>
      <c r="AD11" s="37">
        <f t="shared" si="12"/>
        <v>-84.016000000000005</v>
      </c>
      <c r="AE11" s="37">
        <v>-12.82</v>
      </c>
      <c r="AF11" s="37">
        <v>-11.1745318181818</v>
      </c>
      <c r="AG11" s="37">
        <v>0</v>
      </c>
    </row>
    <row r="12" spans="1:33" ht="15.75" customHeight="1" x14ac:dyDescent="0.2">
      <c r="A12" s="26" t="s">
        <v>52</v>
      </c>
      <c r="B12" s="26" t="s">
        <v>46</v>
      </c>
      <c r="C12" s="14">
        <f t="shared" si="4"/>
        <v>35.886551724137931</v>
      </c>
      <c r="D12" s="27">
        <v>58</v>
      </c>
      <c r="E12" s="27">
        <v>3</v>
      </c>
      <c r="F12" s="28">
        <v>2081.42</v>
      </c>
      <c r="G12" s="28">
        <v>-47.129999999999995</v>
      </c>
      <c r="H12" s="29">
        <f t="shared" si="1"/>
        <v>2.2643195510757077E-2</v>
      </c>
      <c r="I12" s="29">
        <f t="shared" si="2"/>
        <v>0.13242985776318847</v>
      </c>
      <c r="J12" s="30">
        <f t="shared" si="5"/>
        <v>275.64215454545575</v>
      </c>
      <c r="K12" s="30">
        <f t="shared" si="3"/>
        <v>4.7524509404388926</v>
      </c>
      <c r="L12" s="27">
        <v>296</v>
      </c>
      <c r="M12" s="31">
        <f t="shared" si="6"/>
        <v>0.19594594594594594</v>
      </c>
      <c r="N12" s="27">
        <v>932</v>
      </c>
      <c r="O12" s="32">
        <f t="shared" ref="O12:P12" si="20">D12/7</f>
        <v>8.2857142857142865</v>
      </c>
      <c r="P12" s="32">
        <f t="shared" si="20"/>
        <v>0.42857142857142855</v>
      </c>
      <c r="Q12" s="27">
        <f t="shared" si="8"/>
        <v>106</v>
      </c>
      <c r="R12" s="27"/>
      <c r="S12" s="33">
        <v>1.3843944471038701</v>
      </c>
      <c r="T12" s="26">
        <v>902</v>
      </c>
      <c r="U12" s="34" t="s">
        <v>34</v>
      </c>
      <c r="V12" s="35" t="s">
        <v>34</v>
      </c>
      <c r="W12" s="26">
        <v>2</v>
      </c>
      <c r="X12" s="36">
        <f t="shared" si="9"/>
        <v>3.4482758620689655E-2</v>
      </c>
      <c r="Y12" s="37">
        <f t="shared" si="10"/>
        <v>4.7129999999999992</v>
      </c>
      <c r="Z12" s="26">
        <v>8</v>
      </c>
      <c r="AA12" s="26" t="s">
        <v>250</v>
      </c>
      <c r="AB12" s="38">
        <f t="shared" si="11"/>
        <v>-0.48</v>
      </c>
      <c r="AC12" s="39">
        <v>0.98333333333333339</v>
      </c>
      <c r="AD12" s="37">
        <f t="shared" si="12"/>
        <v>-54.752000000000002</v>
      </c>
      <c r="AE12" s="37">
        <v>-12.82</v>
      </c>
      <c r="AF12" s="37">
        <v>-11.1745318181818</v>
      </c>
      <c r="AG12" s="37">
        <v>0</v>
      </c>
    </row>
    <row r="13" spans="1:33" ht="15.75" customHeight="1" x14ac:dyDescent="0.2">
      <c r="A13" s="26" t="s">
        <v>54</v>
      </c>
      <c r="B13" s="26" t="s">
        <v>437</v>
      </c>
      <c r="C13" s="14">
        <f t="shared" si="4"/>
        <v>34.855671641791027</v>
      </c>
      <c r="D13" s="27">
        <v>67</v>
      </c>
      <c r="E13" s="27">
        <v>7</v>
      </c>
      <c r="F13" s="30">
        <v>2335.329999999999</v>
      </c>
      <c r="G13" s="28">
        <v>-38.099999999999994</v>
      </c>
      <c r="H13" s="29">
        <f t="shared" si="1"/>
        <v>1.63146107830585E-2</v>
      </c>
      <c r="I13" s="29">
        <f t="shared" si="2"/>
        <v>0.10627318584136243</v>
      </c>
      <c r="J13" s="30">
        <f t="shared" si="5"/>
        <v>248.18295909090881</v>
      </c>
      <c r="K13" s="30">
        <f t="shared" si="3"/>
        <v>3.7042232700135642</v>
      </c>
      <c r="L13" s="27">
        <v>201</v>
      </c>
      <c r="M13" s="31">
        <f t="shared" si="6"/>
        <v>0.33333333333333331</v>
      </c>
      <c r="N13" s="27">
        <v>855</v>
      </c>
      <c r="O13" s="32">
        <f t="shared" ref="O13:P13" si="21">D13/7</f>
        <v>9.5714285714285712</v>
      </c>
      <c r="P13" s="32">
        <f t="shared" si="21"/>
        <v>1</v>
      </c>
      <c r="Q13" s="27">
        <f t="shared" si="8"/>
        <v>80</v>
      </c>
      <c r="R13" s="27"/>
      <c r="S13" s="33">
        <v>1.4671968190854801</v>
      </c>
      <c r="T13" s="26">
        <v>902</v>
      </c>
      <c r="U13" s="34" t="s">
        <v>34</v>
      </c>
      <c r="V13" s="35" t="s">
        <v>34</v>
      </c>
      <c r="W13" s="26">
        <v>2</v>
      </c>
      <c r="X13" s="36">
        <f t="shared" si="9"/>
        <v>2.9850746268656716E-2</v>
      </c>
      <c r="Y13" s="37">
        <f t="shared" si="10"/>
        <v>7.6199999999999992</v>
      </c>
      <c r="Z13" s="26">
        <v>3</v>
      </c>
      <c r="AA13" s="26" t="s">
        <v>250</v>
      </c>
      <c r="AB13" s="38">
        <f t="shared" si="11"/>
        <v>-0.48</v>
      </c>
      <c r="AC13" s="39">
        <v>0.98333333333333339</v>
      </c>
      <c r="AD13" s="37">
        <f t="shared" si="12"/>
        <v>-63.248000000000005</v>
      </c>
      <c r="AE13" s="37">
        <v>-12.82</v>
      </c>
      <c r="AF13" s="37">
        <v>-11.5904409090909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35.519411764705858</v>
      </c>
      <c r="D14" s="27">
        <v>68</v>
      </c>
      <c r="E14" s="27">
        <v>2</v>
      </c>
      <c r="F14" s="30">
        <v>2415.3199999999983</v>
      </c>
      <c r="G14" s="28">
        <v>-44.72999999999999</v>
      </c>
      <c r="H14" s="29">
        <f t="shared" si="1"/>
        <v>1.8519285229286395E-2</v>
      </c>
      <c r="I14" s="29">
        <f t="shared" si="2"/>
        <v>0.1176614354130375</v>
      </c>
      <c r="J14" s="30">
        <f t="shared" si="5"/>
        <v>284.19001818181755</v>
      </c>
      <c r="K14" s="30">
        <f t="shared" si="3"/>
        <v>4.1792649732620228</v>
      </c>
      <c r="L14" s="27">
        <v>271</v>
      </c>
      <c r="M14" s="31">
        <f t="shared" si="6"/>
        <v>0.25092250922509224</v>
      </c>
      <c r="N14" s="27">
        <v>785</v>
      </c>
      <c r="O14" s="32">
        <f t="shared" ref="O14:P14" si="22">D14/7</f>
        <v>9.7142857142857135</v>
      </c>
      <c r="P14" s="32">
        <f t="shared" si="22"/>
        <v>0.2857142857142857</v>
      </c>
      <c r="Q14" s="27">
        <f t="shared" si="8"/>
        <v>78</v>
      </c>
      <c r="R14" s="27"/>
      <c r="S14" s="33">
        <v>1.14945956019381</v>
      </c>
      <c r="T14" s="26">
        <v>902</v>
      </c>
      <c r="U14" s="34" t="s">
        <v>34</v>
      </c>
      <c r="V14" s="35" t="s">
        <v>34</v>
      </c>
      <c r="W14" s="26">
        <v>4</v>
      </c>
      <c r="X14" s="36">
        <f t="shared" si="9"/>
        <v>5.8823529411764705E-2</v>
      </c>
      <c r="Y14" s="37">
        <f t="shared" si="10"/>
        <v>7.4549999999999983</v>
      </c>
      <c r="Z14" s="26">
        <v>2</v>
      </c>
      <c r="AA14" s="26" t="s">
        <v>250</v>
      </c>
      <c r="AB14" s="38">
        <f t="shared" si="11"/>
        <v>-0.48</v>
      </c>
      <c r="AC14" s="39">
        <v>0.98333333333333339</v>
      </c>
      <c r="AD14" s="37">
        <f t="shared" si="12"/>
        <v>-64.192000000000007</v>
      </c>
      <c r="AE14" s="37">
        <v>-12.82</v>
      </c>
      <c r="AF14" s="37">
        <v>-11.5904409090909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35.989999999999988</v>
      </c>
      <c r="D15" s="27">
        <v>65</v>
      </c>
      <c r="E15" s="27">
        <v>5</v>
      </c>
      <c r="F15" s="30">
        <v>2339.349999999999</v>
      </c>
      <c r="G15" s="28">
        <v>-43.49</v>
      </c>
      <c r="H15" s="29">
        <f t="shared" si="1"/>
        <v>1.8590634150511903E-2</v>
      </c>
      <c r="I15" s="29">
        <f t="shared" si="2"/>
        <v>0.1269236501203713</v>
      </c>
      <c r="J15" s="30">
        <f t="shared" si="5"/>
        <v>296.91884090909048</v>
      </c>
      <c r="K15" s="30">
        <f t="shared" si="3"/>
        <v>4.5679821678321613</v>
      </c>
      <c r="L15" s="27">
        <v>224</v>
      </c>
      <c r="M15" s="31">
        <f t="shared" si="6"/>
        <v>0.29017857142857145</v>
      </c>
      <c r="N15" s="27">
        <v>722</v>
      </c>
      <c r="O15" s="32">
        <f t="shared" ref="O15:P15" si="23">D15/7</f>
        <v>9.2857142857142865</v>
      </c>
      <c r="P15" s="32">
        <f t="shared" si="23"/>
        <v>0.7142857142857143</v>
      </c>
      <c r="Q15" s="27">
        <f t="shared" si="8"/>
        <v>72</v>
      </c>
      <c r="R15" s="27"/>
      <c r="S15" s="33">
        <v>1.2842273819055201</v>
      </c>
      <c r="T15" s="26">
        <v>1702</v>
      </c>
      <c r="U15" s="34" t="s">
        <v>34</v>
      </c>
      <c r="V15" s="35" t="s">
        <v>34</v>
      </c>
      <c r="W15" s="26">
        <v>4</v>
      </c>
      <c r="X15" s="36">
        <f t="shared" si="9"/>
        <v>6.1538461538461542E-2</v>
      </c>
      <c r="Y15" s="37">
        <f t="shared" si="10"/>
        <v>6.2128571428571435</v>
      </c>
      <c r="Z15" s="26">
        <v>3</v>
      </c>
      <c r="AA15" s="26" t="s">
        <v>250</v>
      </c>
      <c r="AB15" s="38">
        <f t="shared" si="11"/>
        <v>-0.48</v>
      </c>
      <c r="AC15" s="39">
        <v>0.98333333333333339</v>
      </c>
      <c r="AD15" s="37">
        <f t="shared" si="12"/>
        <v>-61.360000000000007</v>
      </c>
      <c r="AE15" s="37">
        <v>-12.82</v>
      </c>
      <c r="AF15" s="37">
        <v>-11.5904409090909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35.369482758620691</v>
      </c>
      <c r="D16" s="27">
        <v>58</v>
      </c>
      <c r="E16" s="27">
        <v>4</v>
      </c>
      <c r="F16" s="30">
        <v>2051.4300000000003</v>
      </c>
      <c r="G16" s="28">
        <v>-49.430000000000007</v>
      </c>
      <c r="H16" s="29">
        <f t="shared" si="1"/>
        <v>2.4095387120203954E-2</v>
      </c>
      <c r="I16" s="29">
        <f t="shared" si="2"/>
        <v>0.10905949862911625</v>
      </c>
      <c r="J16" s="30">
        <f t="shared" si="5"/>
        <v>223.72792727272798</v>
      </c>
      <c r="K16" s="30">
        <f t="shared" si="3"/>
        <v>3.8573780564263447</v>
      </c>
      <c r="L16" s="27">
        <v>202</v>
      </c>
      <c r="M16" s="31">
        <f t="shared" si="6"/>
        <v>0.28712871287128711</v>
      </c>
      <c r="N16" s="27">
        <v>666</v>
      </c>
      <c r="O16" s="32">
        <f t="shared" ref="O16:P16" si="24">D16/7</f>
        <v>8.2857142857142865</v>
      </c>
      <c r="P16" s="32">
        <f t="shared" si="24"/>
        <v>0.5714285714285714</v>
      </c>
      <c r="Q16" s="27">
        <f t="shared" si="8"/>
        <v>75</v>
      </c>
      <c r="R16" s="27"/>
      <c r="S16" s="33">
        <v>1.4709791758972</v>
      </c>
      <c r="T16" s="26">
        <v>1702</v>
      </c>
      <c r="U16" s="34" t="s">
        <v>34</v>
      </c>
      <c r="V16" s="35" t="s">
        <v>34</v>
      </c>
      <c r="W16" s="26">
        <v>2</v>
      </c>
      <c r="X16" s="36">
        <f t="shared" si="9"/>
        <v>3.4482758620689655E-2</v>
      </c>
      <c r="Y16" s="37">
        <f t="shared" si="10"/>
        <v>16.47666666666667</v>
      </c>
      <c r="Z16" s="26">
        <v>1</v>
      </c>
      <c r="AA16" s="26" t="s">
        <v>250</v>
      </c>
      <c r="AB16" s="38">
        <f t="shared" si="11"/>
        <v>-0.48</v>
      </c>
      <c r="AC16" s="39">
        <v>0.98333333333333339</v>
      </c>
      <c r="AD16" s="37">
        <f t="shared" si="12"/>
        <v>-54.752000000000002</v>
      </c>
      <c r="AE16" s="37">
        <v>-12.82</v>
      </c>
      <c r="AF16" s="37">
        <v>-11.5904409090909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35.989999999999966</v>
      </c>
      <c r="D17" s="27">
        <v>75</v>
      </c>
      <c r="E17" s="27">
        <v>3</v>
      </c>
      <c r="F17" s="30">
        <v>2699.2499999999977</v>
      </c>
      <c r="G17" s="28">
        <v>-54.059999999999995</v>
      </c>
      <c r="H17" s="29">
        <f t="shared" si="1"/>
        <v>2.0027785495971118E-2</v>
      </c>
      <c r="I17" s="29">
        <f t="shared" si="2"/>
        <v>0.12548649877491183</v>
      </c>
      <c r="J17" s="30">
        <f t="shared" si="5"/>
        <v>338.71943181818045</v>
      </c>
      <c r="K17" s="30">
        <f t="shared" si="3"/>
        <v>4.516259090909073</v>
      </c>
      <c r="L17" s="27">
        <v>234</v>
      </c>
      <c r="M17" s="31">
        <f t="shared" si="6"/>
        <v>0.32051282051282054</v>
      </c>
      <c r="N17" s="27">
        <v>591</v>
      </c>
      <c r="O17" s="32">
        <f t="shared" ref="O17:P17" si="25">D17/7</f>
        <v>10.714285714285714</v>
      </c>
      <c r="P17" s="32">
        <f t="shared" si="25"/>
        <v>0.42857142857142855</v>
      </c>
      <c r="Q17" s="27">
        <f t="shared" si="8"/>
        <v>53</v>
      </c>
      <c r="R17" s="27"/>
      <c r="S17" s="33">
        <v>1.4063492063492</v>
      </c>
      <c r="T17" s="26">
        <v>1702</v>
      </c>
      <c r="U17" s="34" t="s">
        <v>34</v>
      </c>
      <c r="V17" s="35" t="s">
        <v>34</v>
      </c>
      <c r="W17" s="26">
        <v>4</v>
      </c>
      <c r="X17" s="36">
        <f t="shared" si="9"/>
        <v>5.3333333333333337E-2</v>
      </c>
      <c r="Y17" s="37">
        <f t="shared" si="10"/>
        <v>10.811999999999999</v>
      </c>
      <c r="Z17" s="26">
        <v>1</v>
      </c>
      <c r="AA17" s="26" t="s">
        <v>250</v>
      </c>
      <c r="AB17" s="38">
        <f t="shared" si="11"/>
        <v>-0.48</v>
      </c>
      <c r="AC17" s="39">
        <v>0.98333333333333339</v>
      </c>
      <c r="AD17" s="37">
        <f t="shared" si="12"/>
        <v>-70.800000000000011</v>
      </c>
      <c r="AE17" s="37">
        <v>-12.82</v>
      </c>
      <c r="AF17" s="37">
        <v>-11.5904409090909</v>
      </c>
      <c r="AG17" s="37">
        <v>0</v>
      </c>
    </row>
    <row r="18" spans="1:33" ht="15.75" customHeight="1" x14ac:dyDescent="0.2">
      <c r="A18" s="26" t="s">
        <v>62</v>
      </c>
      <c r="B18" s="26" t="s">
        <v>53</v>
      </c>
      <c r="C18" s="14">
        <f t="shared" si="4"/>
        <v>35.989999999999981</v>
      </c>
      <c r="D18" s="27">
        <v>64</v>
      </c>
      <c r="E18" s="27">
        <v>0</v>
      </c>
      <c r="F18" s="30">
        <v>2303.3599999999988</v>
      </c>
      <c r="G18" s="28">
        <v>-55.65</v>
      </c>
      <c r="H18" s="29">
        <f t="shared" si="1"/>
        <v>2.4160357043623241E-2</v>
      </c>
      <c r="I18" s="29">
        <f t="shared" si="2"/>
        <v>0.12135392722725984</v>
      </c>
      <c r="J18" s="30">
        <f t="shared" si="5"/>
        <v>279.52178181818107</v>
      </c>
      <c r="K18" s="30">
        <f t="shared" si="3"/>
        <v>4.3675278409090792</v>
      </c>
      <c r="L18" s="27">
        <v>213</v>
      </c>
      <c r="M18" s="31">
        <f t="shared" si="6"/>
        <v>0.30046948356807512</v>
      </c>
      <c r="N18" s="27">
        <v>520</v>
      </c>
      <c r="O18" s="32">
        <f t="shared" ref="O18:P18" si="26">D18/7</f>
        <v>9.1428571428571423</v>
      </c>
      <c r="P18" s="32">
        <f t="shared" si="26"/>
        <v>0</v>
      </c>
      <c r="Q18" s="27">
        <f t="shared" si="8"/>
        <v>56</v>
      </c>
      <c r="R18" s="27"/>
      <c r="S18" s="33">
        <v>1.31709064851307</v>
      </c>
      <c r="T18" s="26">
        <v>1702</v>
      </c>
      <c r="U18" s="34" t="s">
        <v>34</v>
      </c>
      <c r="V18" s="35" t="s">
        <v>34</v>
      </c>
      <c r="W18" s="26">
        <v>8</v>
      </c>
      <c r="X18" s="36">
        <f t="shared" si="9"/>
        <v>0.125</v>
      </c>
      <c r="Y18" s="37">
        <f t="shared" si="10"/>
        <v>6.1833333333333336</v>
      </c>
      <c r="Z18" s="26">
        <v>1</v>
      </c>
      <c r="AA18" s="26" t="s">
        <v>250</v>
      </c>
      <c r="AB18" s="38">
        <f t="shared" si="11"/>
        <v>-0.48</v>
      </c>
      <c r="AC18" s="39">
        <v>0.98333333333333339</v>
      </c>
      <c r="AD18" s="37">
        <f t="shared" si="12"/>
        <v>-60.416000000000004</v>
      </c>
      <c r="AE18" s="37">
        <v>-12.82</v>
      </c>
      <c r="AF18" s="37">
        <v>-11.5904409090909</v>
      </c>
      <c r="AG18" s="37">
        <v>0</v>
      </c>
    </row>
    <row r="19" spans="1:33" ht="15.75" customHeight="1" x14ac:dyDescent="0.2">
      <c r="A19" s="26" t="s">
        <v>64</v>
      </c>
      <c r="B19" s="26" t="s">
        <v>438</v>
      </c>
      <c r="C19" s="14">
        <f t="shared" si="4"/>
        <v>35.460735294117633</v>
      </c>
      <c r="D19" s="27">
        <v>68</v>
      </c>
      <c r="E19" s="27">
        <v>3</v>
      </c>
      <c r="F19" s="30">
        <v>2411.329999999999</v>
      </c>
      <c r="G19" s="28">
        <v>-54.36</v>
      </c>
      <c r="H19" s="29">
        <f t="shared" si="1"/>
        <v>2.2543575537151705E-2</v>
      </c>
      <c r="I19" s="29">
        <f t="shared" si="2"/>
        <v>0.11245599655866995</v>
      </c>
      <c r="J19" s="30">
        <f t="shared" si="5"/>
        <v>271.16851818181749</v>
      </c>
      <c r="K19" s="30">
        <f t="shared" si="3"/>
        <v>3.9877723262031983</v>
      </c>
      <c r="L19" s="27">
        <v>182</v>
      </c>
      <c r="M19" s="31">
        <f t="shared" si="6"/>
        <v>0.37362637362637363</v>
      </c>
      <c r="N19" s="27">
        <v>448</v>
      </c>
      <c r="O19" s="32">
        <f t="shared" ref="O19:P19" si="27">D19/7</f>
        <v>9.7142857142857135</v>
      </c>
      <c r="P19" s="32">
        <f t="shared" si="27"/>
        <v>0.42857142857142855</v>
      </c>
      <c r="Q19" s="27">
        <f t="shared" si="8"/>
        <v>44</v>
      </c>
      <c r="R19" s="27"/>
      <c r="S19" s="33">
        <v>1.4164133738601801</v>
      </c>
      <c r="T19" s="26">
        <v>3382</v>
      </c>
      <c r="U19" s="34">
        <v>902</v>
      </c>
      <c r="V19" s="35" t="s">
        <v>439</v>
      </c>
      <c r="W19" s="26">
        <v>8</v>
      </c>
      <c r="X19" s="36">
        <f t="shared" si="9"/>
        <v>0.11764705882352941</v>
      </c>
      <c r="Y19" s="37">
        <f t="shared" si="10"/>
        <v>6.04</v>
      </c>
      <c r="Z19" s="26">
        <v>1</v>
      </c>
      <c r="AA19" s="26" t="s">
        <v>250</v>
      </c>
      <c r="AB19" s="38">
        <f t="shared" si="11"/>
        <v>-0.48</v>
      </c>
      <c r="AC19" s="39">
        <v>0.98333333333333339</v>
      </c>
      <c r="AD19" s="37">
        <f t="shared" si="12"/>
        <v>-64.192000000000007</v>
      </c>
      <c r="AE19" s="37">
        <v>-12.82</v>
      </c>
      <c r="AF19" s="37">
        <v>-11.59044090909091</v>
      </c>
      <c r="AG19" s="37">
        <v>0</v>
      </c>
    </row>
    <row r="20" spans="1:33" ht="15.75" customHeight="1" x14ac:dyDescent="0.2">
      <c r="A20" s="26" t="s">
        <v>65</v>
      </c>
      <c r="B20" s="26" t="s">
        <v>440</v>
      </c>
      <c r="C20" s="14">
        <f t="shared" si="4"/>
        <v>36.368648648648652</v>
      </c>
      <c r="D20" s="27">
        <v>37</v>
      </c>
      <c r="E20" s="27">
        <v>3</v>
      </c>
      <c r="F20" s="30">
        <v>1345.64</v>
      </c>
      <c r="G20" s="28">
        <v>-51.519999999999996</v>
      </c>
      <c r="H20" s="29">
        <f t="shared" si="1"/>
        <v>3.8286614547724494E-2</v>
      </c>
      <c r="I20" s="29">
        <f t="shared" si="2"/>
        <v>0.11456235424306382</v>
      </c>
      <c r="J20" s="30">
        <f t="shared" si="5"/>
        <v>154.15968636363641</v>
      </c>
      <c r="K20" s="30">
        <f t="shared" si="3"/>
        <v>4.166478009828011</v>
      </c>
      <c r="L20" s="27">
        <v>174</v>
      </c>
      <c r="M20" s="31">
        <f t="shared" si="6"/>
        <v>0.21264367816091953</v>
      </c>
      <c r="N20" s="27">
        <v>407</v>
      </c>
      <c r="O20" s="32">
        <f t="shared" ref="O20:P20" si="28">D20/7</f>
        <v>5.2857142857142856</v>
      </c>
      <c r="P20" s="32">
        <f t="shared" si="28"/>
        <v>0.42857142857142855</v>
      </c>
      <c r="Q20" s="27">
        <f t="shared" si="8"/>
        <v>71</v>
      </c>
      <c r="R20" s="27"/>
      <c r="S20" s="33">
        <v>1.58225198827961</v>
      </c>
      <c r="T20" s="26">
        <v>3382</v>
      </c>
      <c r="U20" s="34">
        <v>902</v>
      </c>
      <c r="V20" s="35" t="s">
        <v>439</v>
      </c>
      <c r="W20" s="26">
        <v>4</v>
      </c>
      <c r="X20" s="36">
        <f t="shared" si="9"/>
        <v>0.10810810810810811</v>
      </c>
      <c r="Y20" s="37">
        <f t="shared" si="10"/>
        <v>12.879999999999999</v>
      </c>
      <c r="Z20" s="26">
        <v>0</v>
      </c>
      <c r="AA20" s="26" t="s">
        <v>250</v>
      </c>
      <c r="AB20" s="38">
        <f t="shared" si="11"/>
        <v>-0.48</v>
      </c>
      <c r="AC20" s="39">
        <v>0.98333333333333339</v>
      </c>
      <c r="AD20" s="37">
        <f t="shared" si="12"/>
        <v>-34.928000000000004</v>
      </c>
      <c r="AE20" s="37">
        <v>-12.82</v>
      </c>
      <c r="AF20" s="37">
        <v>-11.59044090909091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36.38703703703704</v>
      </c>
      <c r="D21" s="27">
        <v>54</v>
      </c>
      <c r="E21" s="27">
        <v>3</v>
      </c>
      <c r="F21" s="30">
        <v>1964.9</v>
      </c>
      <c r="G21" s="28">
        <v>-85.47999999999999</v>
      </c>
      <c r="H21" s="29">
        <f t="shared" si="1"/>
        <v>4.3503486182502916E-2</v>
      </c>
      <c r="I21" s="29">
        <f t="shared" si="2"/>
        <v>0.1096977916988604</v>
      </c>
      <c r="J21" s="30">
        <f t="shared" si="5"/>
        <v>215.54519090909082</v>
      </c>
      <c r="K21" s="30">
        <f t="shared" si="3"/>
        <v>3.9915776094276079</v>
      </c>
      <c r="L21" s="27">
        <v>100</v>
      </c>
      <c r="M21" s="31">
        <f t="shared" si="6"/>
        <v>0.54</v>
      </c>
      <c r="N21" s="27">
        <v>356</v>
      </c>
      <c r="O21" s="32">
        <f t="shared" ref="O21:P21" si="29">D21/7</f>
        <v>7.7142857142857144</v>
      </c>
      <c r="P21" s="32">
        <f t="shared" si="29"/>
        <v>0.42857142857142855</v>
      </c>
      <c r="Q21" s="27">
        <f t="shared" si="8"/>
        <v>43</v>
      </c>
      <c r="R21" s="27"/>
      <c r="S21" s="33">
        <v>1.69868356899073</v>
      </c>
      <c r="T21" s="26" t="s">
        <v>34</v>
      </c>
      <c r="U21" s="34" t="s">
        <v>34</v>
      </c>
      <c r="V21" s="35" t="s">
        <v>34</v>
      </c>
      <c r="W21" s="26">
        <v>10</v>
      </c>
      <c r="X21" s="36">
        <f t="shared" si="9"/>
        <v>0.18518518518518517</v>
      </c>
      <c r="Y21" s="37">
        <f t="shared" si="10"/>
        <v>7.1233333333333322</v>
      </c>
      <c r="Z21" s="26">
        <v>2</v>
      </c>
      <c r="AA21" s="26" t="s">
        <v>250</v>
      </c>
      <c r="AB21" s="38">
        <f t="shared" si="11"/>
        <v>-0.48</v>
      </c>
      <c r="AC21" s="39">
        <v>0.98333333333333339</v>
      </c>
      <c r="AD21" s="37">
        <f t="shared" si="12"/>
        <v>-50.976000000000006</v>
      </c>
      <c r="AE21" s="37">
        <v>-12.82</v>
      </c>
      <c r="AF21" s="37">
        <v>-11.59044090909091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35.99</v>
      </c>
      <c r="D22" s="27">
        <v>51</v>
      </c>
      <c r="E22" s="27">
        <v>4</v>
      </c>
      <c r="F22" s="28">
        <v>1835.4900000000002</v>
      </c>
      <c r="G22" s="28">
        <v>-73.58</v>
      </c>
      <c r="H22" s="29">
        <f t="shared" si="1"/>
        <v>4.0087388108897344E-2</v>
      </c>
      <c r="I22" s="29">
        <f t="shared" si="2"/>
        <v>0.10542689616198608</v>
      </c>
      <c r="J22" s="30">
        <f t="shared" si="5"/>
        <v>193.51001363636385</v>
      </c>
      <c r="K22" s="30">
        <f t="shared" si="3"/>
        <v>3.7943139928698795</v>
      </c>
      <c r="L22" s="27">
        <v>173</v>
      </c>
      <c r="M22" s="31">
        <f t="shared" si="6"/>
        <v>0.2947976878612717</v>
      </c>
      <c r="N22" s="27">
        <v>306</v>
      </c>
      <c r="O22" s="32">
        <f t="shared" ref="O22:P22" si="30">D22/7</f>
        <v>7.2857142857142856</v>
      </c>
      <c r="P22" s="32">
        <f t="shared" si="30"/>
        <v>0.5714285714285714</v>
      </c>
      <c r="Q22" s="27">
        <f t="shared" si="8"/>
        <v>38</v>
      </c>
      <c r="R22" s="27"/>
      <c r="S22" s="33">
        <v>1.1786574870912201</v>
      </c>
      <c r="T22" s="26" t="s">
        <v>34</v>
      </c>
      <c r="U22" s="34" t="s">
        <v>34</v>
      </c>
      <c r="V22" s="35" t="s">
        <v>34</v>
      </c>
      <c r="W22" s="26">
        <v>8</v>
      </c>
      <c r="X22" s="36">
        <f t="shared" si="9"/>
        <v>0.15686274509803921</v>
      </c>
      <c r="Y22" s="37">
        <f t="shared" si="10"/>
        <v>8.1755555555555546</v>
      </c>
      <c r="Z22" s="26">
        <v>1</v>
      </c>
      <c r="AA22" s="26" t="s">
        <v>250</v>
      </c>
      <c r="AB22" s="38">
        <f t="shared" si="11"/>
        <v>-0.48</v>
      </c>
      <c r="AC22" s="39">
        <v>0.98333333333333339</v>
      </c>
      <c r="AD22" s="37">
        <f t="shared" si="12"/>
        <v>-48.144000000000005</v>
      </c>
      <c r="AE22" s="37">
        <v>-12.82</v>
      </c>
      <c r="AF22" s="37">
        <v>-11.59044090909091</v>
      </c>
      <c r="AG22" s="37">
        <v>0</v>
      </c>
    </row>
    <row r="23" spans="1:33" ht="15.75" customHeight="1" x14ac:dyDescent="0.2">
      <c r="A23" s="26" t="s">
        <v>68</v>
      </c>
      <c r="B23" s="26" t="s">
        <v>441</v>
      </c>
      <c r="C23" s="14">
        <f t="shared" si="4"/>
        <v>35.172045454545461</v>
      </c>
      <c r="D23" s="27">
        <v>44</v>
      </c>
      <c r="E23" s="27">
        <v>3</v>
      </c>
      <c r="F23" s="30">
        <v>1547.5700000000002</v>
      </c>
      <c r="G23" s="28">
        <v>-81.650000000000006</v>
      </c>
      <c r="H23" s="29">
        <f t="shared" si="1"/>
        <v>5.2760133628850389E-2</v>
      </c>
      <c r="I23" s="29">
        <f t="shared" si="2"/>
        <v>7.637076190414642E-2</v>
      </c>
      <c r="J23" s="30">
        <f t="shared" si="5"/>
        <v>118.18909999999988</v>
      </c>
      <c r="K23" s="30">
        <f t="shared" si="3"/>
        <v>2.6861159090909066</v>
      </c>
      <c r="L23" s="27">
        <v>190</v>
      </c>
      <c r="M23" s="31">
        <f t="shared" si="6"/>
        <v>0.23157894736842105</v>
      </c>
      <c r="N23" s="27">
        <v>260</v>
      </c>
      <c r="O23" s="32">
        <f t="shared" ref="O23:P23" si="31">D23/7</f>
        <v>6.2857142857142856</v>
      </c>
      <c r="P23" s="32">
        <f t="shared" si="31"/>
        <v>0.42857142857142855</v>
      </c>
      <c r="Q23" s="27">
        <f t="shared" si="8"/>
        <v>38</v>
      </c>
      <c r="R23" s="27"/>
      <c r="S23" s="33">
        <v>1.2426168224298999</v>
      </c>
      <c r="T23" s="26">
        <v>3080</v>
      </c>
      <c r="U23" s="34">
        <v>902</v>
      </c>
      <c r="V23" s="35" t="s">
        <v>442</v>
      </c>
      <c r="W23" s="26">
        <v>6</v>
      </c>
      <c r="X23" s="36">
        <f t="shared" si="9"/>
        <v>0.13636363636363635</v>
      </c>
      <c r="Y23" s="37">
        <f t="shared" si="10"/>
        <v>9.0722222222222229</v>
      </c>
      <c r="Z23" s="26">
        <v>3</v>
      </c>
      <c r="AA23" s="26" t="s">
        <v>250</v>
      </c>
      <c r="AB23" s="38">
        <f t="shared" si="11"/>
        <v>-0.48</v>
      </c>
      <c r="AC23" s="39">
        <v>0.98333333333333339</v>
      </c>
      <c r="AD23" s="37">
        <f t="shared" si="12"/>
        <v>-41.536000000000001</v>
      </c>
      <c r="AE23" s="37">
        <v>-12.82</v>
      </c>
      <c r="AF23" s="37">
        <v>-11.59044090909091</v>
      </c>
      <c r="AG23" s="37">
        <v>0</v>
      </c>
    </row>
    <row r="24" spans="1:33" ht="15.75" customHeight="1" x14ac:dyDescent="0.2">
      <c r="A24" s="26" t="s">
        <v>71</v>
      </c>
      <c r="B24" s="26" t="s">
        <v>443</v>
      </c>
      <c r="C24" s="14">
        <f t="shared" si="4"/>
        <v>33.911063829787231</v>
      </c>
      <c r="D24" s="27">
        <v>47</v>
      </c>
      <c r="E24" s="27">
        <v>3</v>
      </c>
      <c r="F24" s="30">
        <v>1593.82</v>
      </c>
      <c r="G24" s="30">
        <v>-85.179999999999993</v>
      </c>
      <c r="H24" s="29">
        <f t="shared" si="1"/>
        <v>5.3443927168689058E-2</v>
      </c>
      <c r="I24" s="29">
        <f t="shared" si="2"/>
        <v>4.8881478004245804E-2</v>
      </c>
      <c r="J24" s="30">
        <f t="shared" si="5"/>
        <v>77.908277272727048</v>
      </c>
      <c r="K24" s="30">
        <f t="shared" si="3"/>
        <v>1.6576229206963202</v>
      </c>
      <c r="L24" s="27">
        <v>193</v>
      </c>
      <c r="M24" s="31">
        <f t="shared" si="6"/>
        <v>0.24352331606217617</v>
      </c>
      <c r="N24" s="27">
        <v>206</v>
      </c>
      <c r="O24" s="32">
        <f t="shared" ref="O24:P24" si="32">D24/7</f>
        <v>6.7142857142857144</v>
      </c>
      <c r="P24" s="32">
        <f t="shared" si="32"/>
        <v>0.42857142857142855</v>
      </c>
      <c r="Q24" s="27">
        <f t="shared" si="8"/>
        <v>28</v>
      </c>
      <c r="R24" s="27"/>
      <c r="S24" s="33">
        <v>1.3057918185500199</v>
      </c>
      <c r="T24" s="26">
        <v>3080</v>
      </c>
      <c r="U24" s="34">
        <v>902</v>
      </c>
      <c r="V24" s="35" t="s">
        <v>444</v>
      </c>
      <c r="W24" s="26">
        <v>5</v>
      </c>
      <c r="X24" s="36">
        <f t="shared" si="9"/>
        <v>0.10638297872340426</v>
      </c>
      <c r="Y24" s="37">
        <f t="shared" si="10"/>
        <v>17.035999999999998</v>
      </c>
      <c r="Z24" s="26">
        <v>0</v>
      </c>
      <c r="AA24" s="26" t="s">
        <v>250</v>
      </c>
      <c r="AB24" s="38">
        <f t="shared" si="11"/>
        <v>-0.48</v>
      </c>
      <c r="AC24" s="39">
        <v>0.98333333333333339</v>
      </c>
      <c r="AD24" s="37">
        <f t="shared" si="12"/>
        <v>-44.368000000000002</v>
      </c>
      <c r="AE24" s="37">
        <v>-12.82</v>
      </c>
      <c r="AF24" s="37">
        <v>-11.59044090909091</v>
      </c>
      <c r="AG24" s="37">
        <v>0</v>
      </c>
    </row>
    <row r="25" spans="1:33" ht="15.75" customHeight="1" x14ac:dyDescent="0.2">
      <c r="A25" s="40" t="s">
        <v>73</v>
      </c>
      <c r="B25" s="40" t="s">
        <v>445</v>
      </c>
      <c r="C25" s="14">
        <f t="shared" si="4"/>
        <v>32.349345794392526</v>
      </c>
      <c r="D25" s="15">
        <v>107</v>
      </c>
      <c r="E25" s="15">
        <v>0</v>
      </c>
      <c r="F25" s="16">
        <v>3461.38</v>
      </c>
      <c r="G25" s="16">
        <v>-83.85</v>
      </c>
      <c r="H25" s="29">
        <f t="shared" si="1"/>
        <v>2.4224442274468561E-2</v>
      </c>
      <c r="I25" s="29">
        <f t="shared" si="2"/>
        <v>4.2019367997735126E-2</v>
      </c>
      <c r="J25" s="30">
        <f t="shared" si="5"/>
        <v>145.44500000000042</v>
      </c>
      <c r="K25" s="30">
        <f t="shared" si="3"/>
        <v>1.3592990654205648</v>
      </c>
      <c r="L25" s="15">
        <v>246</v>
      </c>
      <c r="M25" s="31">
        <f t="shared" si="6"/>
        <v>0.43495934959349591</v>
      </c>
      <c r="N25" s="15">
        <v>108</v>
      </c>
      <c r="O25" s="32">
        <f t="shared" ref="O25:P25" si="33">D25/7</f>
        <v>15.285714285714286</v>
      </c>
      <c r="P25" s="32">
        <f t="shared" si="33"/>
        <v>0</v>
      </c>
      <c r="Q25" s="27">
        <f t="shared" si="8"/>
        <v>7</v>
      </c>
      <c r="R25" s="27"/>
      <c r="S25" s="41">
        <v>1.4210768522779571</v>
      </c>
      <c r="T25" s="26">
        <v>3080</v>
      </c>
      <c r="U25" s="34">
        <v>902</v>
      </c>
      <c r="V25" s="35" t="s">
        <v>446</v>
      </c>
      <c r="W25" s="40">
        <v>6</v>
      </c>
      <c r="X25" s="36">
        <f t="shared" si="9"/>
        <v>5.6074766355140186E-2</v>
      </c>
      <c r="Y25" s="37">
        <f t="shared" si="10"/>
        <v>10.481249999999999</v>
      </c>
      <c r="Z25" s="40">
        <v>2</v>
      </c>
      <c r="AA25" s="26" t="s">
        <v>250</v>
      </c>
      <c r="AB25" s="38">
        <f t="shared" si="11"/>
        <v>-0.48</v>
      </c>
      <c r="AC25" s="39">
        <v>0.98333333333333339</v>
      </c>
      <c r="AD25" s="37">
        <f t="shared" si="12"/>
        <v>-101.00800000000001</v>
      </c>
      <c r="AE25" s="42">
        <v>-12.82</v>
      </c>
      <c r="AF25" s="42">
        <v>-11.59</v>
      </c>
      <c r="AG25" s="42">
        <v>0</v>
      </c>
    </row>
    <row r="26" spans="1:33" ht="15.75" customHeight="1" x14ac:dyDescent="0.2">
      <c r="A26" s="40" t="s">
        <v>75</v>
      </c>
      <c r="B26" s="40" t="s">
        <v>447</v>
      </c>
      <c r="C26" s="14">
        <f t="shared" si="4"/>
        <v>35.596862745098043</v>
      </c>
      <c r="D26" s="15">
        <v>51</v>
      </c>
      <c r="E26" s="15">
        <v>4</v>
      </c>
      <c r="F26" s="16">
        <v>1815.44</v>
      </c>
      <c r="G26" s="16">
        <v>-34</v>
      </c>
      <c r="H26" s="29">
        <f t="shared" si="1"/>
        <v>1.8728242189221346E-2</v>
      </c>
      <c r="I26" s="29">
        <f t="shared" si="2"/>
        <v>0.10776864762061215</v>
      </c>
      <c r="J26" s="30">
        <f t="shared" si="5"/>
        <v>195.64751363636412</v>
      </c>
      <c r="K26" s="30">
        <f t="shared" si="3"/>
        <v>3.8362257575757672</v>
      </c>
      <c r="L26" s="15">
        <v>154</v>
      </c>
      <c r="M26" s="31">
        <f t="shared" si="6"/>
        <v>0.33116883116883117</v>
      </c>
      <c r="N26" s="15">
        <v>65</v>
      </c>
      <c r="O26" s="32">
        <f t="shared" ref="O26:P26" si="34">D26/7</f>
        <v>7.2857142857142856</v>
      </c>
      <c r="P26" s="32">
        <f t="shared" si="34"/>
        <v>0.5714285714285714</v>
      </c>
      <c r="Q26" s="27">
        <f t="shared" si="8"/>
        <v>8</v>
      </c>
      <c r="R26" s="27"/>
      <c r="S26" s="41">
        <v>1.681986265187533</v>
      </c>
      <c r="T26" s="26">
        <v>3080</v>
      </c>
      <c r="U26" s="34">
        <v>902</v>
      </c>
      <c r="V26" s="35" t="s">
        <v>448</v>
      </c>
      <c r="W26" s="40">
        <v>1</v>
      </c>
      <c r="X26" s="36">
        <f t="shared" si="9"/>
        <v>1.9607843137254902E-2</v>
      </c>
      <c r="Y26" s="37">
        <f t="shared" si="10"/>
        <v>8.5</v>
      </c>
      <c r="Z26" s="40">
        <v>3</v>
      </c>
      <c r="AA26" s="26" t="s">
        <v>250</v>
      </c>
      <c r="AB26" s="38">
        <f t="shared" si="11"/>
        <v>-0.48</v>
      </c>
      <c r="AC26" s="40">
        <v>0.98333333333333339</v>
      </c>
      <c r="AD26" s="37">
        <f t="shared" si="12"/>
        <v>-48.144000000000005</v>
      </c>
      <c r="AE26" s="42">
        <v>-13.22</v>
      </c>
      <c r="AF26" s="42">
        <v>-11.5904409090909</v>
      </c>
      <c r="AG26" s="42">
        <v>0</v>
      </c>
    </row>
    <row r="27" spans="1:33" ht="15.75" customHeight="1" x14ac:dyDescent="0.2">
      <c r="A27" s="40" t="s">
        <v>77</v>
      </c>
      <c r="B27" s="40" t="s">
        <v>449</v>
      </c>
      <c r="C27" s="14">
        <f t="shared" si="4"/>
        <v>37.323333333333331</v>
      </c>
      <c r="D27" s="15">
        <v>24</v>
      </c>
      <c r="E27" s="15">
        <v>1</v>
      </c>
      <c r="F27" s="16">
        <v>895.76</v>
      </c>
      <c r="G27" s="16">
        <v>-46.59</v>
      </c>
      <c r="H27" s="29">
        <f t="shared" si="1"/>
        <v>5.2011699562382788E-2</v>
      </c>
      <c r="I27" s="29">
        <f t="shared" si="2"/>
        <v>0.10795237360656684</v>
      </c>
      <c r="J27" s="30">
        <f t="shared" si="5"/>
        <v>96.699418181818316</v>
      </c>
      <c r="K27" s="30">
        <f t="shared" si="3"/>
        <v>4.0291424242424299</v>
      </c>
      <c r="L27" s="15">
        <v>160</v>
      </c>
      <c r="M27" s="31">
        <f t="shared" si="6"/>
        <v>0.15</v>
      </c>
      <c r="N27" s="15">
        <v>921</v>
      </c>
      <c r="O27" s="32">
        <f t="shared" ref="O27:P27" si="35">D27/7</f>
        <v>3.4285714285714284</v>
      </c>
      <c r="P27" s="32">
        <f t="shared" si="35"/>
        <v>0.14285714285714285</v>
      </c>
      <c r="Q27" s="27">
        <f t="shared" si="8"/>
        <v>257</v>
      </c>
      <c r="R27" s="27"/>
      <c r="S27" s="41">
        <v>1.2108362779740871</v>
      </c>
      <c r="T27" s="26">
        <v>2178</v>
      </c>
      <c r="U27" s="34">
        <v>600</v>
      </c>
      <c r="V27" s="35" t="s">
        <v>450</v>
      </c>
      <c r="W27" s="40">
        <v>1</v>
      </c>
      <c r="X27" s="36">
        <f t="shared" si="9"/>
        <v>4.1666666666666664E-2</v>
      </c>
      <c r="Y27" s="37">
        <f t="shared" si="10"/>
        <v>46.59</v>
      </c>
      <c r="Z27" s="40">
        <v>0</v>
      </c>
      <c r="AA27" s="26" t="s">
        <v>250</v>
      </c>
      <c r="AB27" s="38">
        <f t="shared" si="11"/>
        <v>-0.48</v>
      </c>
      <c r="AC27" s="39">
        <v>0.98333333333333339</v>
      </c>
      <c r="AD27" s="37">
        <f t="shared" si="12"/>
        <v>-22.656000000000002</v>
      </c>
      <c r="AE27" s="42">
        <v>-13.22</v>
      </c>
      <c r="AF27" s="42">
        <v>-11.5904409090909</v>
      </c>
      <c r="AG27" s="42">
        <v>0</v>
      </c>
    </row>
    <row r="28" spans="1:33" ht="15.75" customHeight="1" x14ac:dyDescent="0.2">
      <c r="A28" s="40" t="s">
        <v>79</v>
      </c>
      <c r="B28" s="40" t="s">
        <v>451</v>
      </c>
      <c r="C28" s="14">
        <f t="shared" si="4"/>
        <v>36.364285714285714</v>
      </c>
      <c r="D28" s="15">
        <v>42</v>
      </c>
      <c r="E28" s="15">
        <v>0</v>
      </c>
      <c r="F28" s="16">
        <v>1527.3</v>
      </c>
      <c r="G28" s="16">
        <v>-73.509999999999991</v>
      </c>
      <c r="H28" s="29">
        <f t="shared" si="1"/>
        <v>4.8130688142473642E-2</v>
      </c>
      <c r="I28" s="29">
        <f t="shared" si="2"/>
        <v>9.3634833901775752E-2</v>
      </c>
      <c r="J28" s="30">
        <f t="shared" si="5"/>
        <v>143.0084818181821</v>
      </c>
      <c r="K28" s="30">
        <f t="shared" si="3"/>
        <v>3.4049638528138595</v>
      </c>
      <c r="L28" s="15">
        <v>187</v>
      </c>
      <c r="M28" s="31">
        <f t="shared" si="6"/>
        <v>0.22459893048128343</v>
      </c>
      <c r="N28" s="15">
        <v>889</v>
      </c>
      <c r="O28" s="32">
        <f t="shared" ref="O28:P28" si="36">D28/7</f>
        <v>6</v>
      </c>
      <c r="P28" s="32">
        <f t="shared" si="36"/>
        <v>0</v>
      </c>
      <c r="Q28" s="27">
        <f t="shared" si="8"/>
        <v>148</v>
      </c>
      <c r="R28" s="27"/>
      <c r="S28" s="41">
        <v>1.2676295666949871</v>
      </c>
      <c r="T28" s="40">
        <v>778</v>
      </c>
      <c r="U28" s="22">
        <v>600</v>
      </c>
      <c r="V28" s="1" t="s">
        <v>452</v>
      </c>
      <c r="W28" s="40">
        <v>4</v>
      </c>
      <c r="X28" s="36">
        <f t="shared" si="9"/>
        <v>9.5238095238095233E-2</v>
      </c>
      <c r="Y28" s="37">
        <f t="shared" si="10"/>
        <v>18.377499999999998</v>
      </c>
      <c r="Z28" s="40">
        <v>0</v>
      </c>
      <c r="AA28" s="26" t="s">
        <v>250</v>
      </c>
      <c r="AB28" s="38">
        <f t="shared" si="11"/>
        <v>-0.48</v>
      </c>
      <c r="AC28" s="39">
        <v>0.98333333333333339</v>
      </c>
      <c r="AD28" s="37">
        <f t="shared" si="12"/>
        <v>-39.648000000000003</v>
      </c>
      <c r="AE28" s="42">
        <v>-13.22</v>
      </c>
      <c r="AF28" s="42">
        <v>-11.5904409090909</v>
      </c>
      <c r="AG28" s="42">
        <v>0</v>
      </c>
    </row>
    <row r="29" spans="1:33" ht="15.75" customHeight="1" x14ac:dyDescent="0.2">
      <c r="A29" s="26" t="s">
        <v>82</v>
      </c>
      <c r="B29" s="26" t="s">
        <v>105</v>
      </c>
      <c r="C29" s="14">
        <f t="shared" si="4"/>
        <v>34.989999999999995</v>
      </c>
      <c r="D29" s="27">
        <v>61</v>
      </c>
      <c r="E29" s="27">
        <v>0</v>
      </c>
      <c r="F29" s="30">
        <v>2134.39</v>
      </c>
      <c r="G29" s="30">
        <v>-97.52000000000001</v>
      </c>
      <c r="H29" s="29">
        <f t="shared" si="1"/>
        <v>4.5689869236643733E-2</v>
      </c>
      <c r="I29" s="29">
        <f t="shared" si="2"/>
        <v>6.8258661512401661E-2</v>
      </c>
      <c r="J29" s="30">
        <f t="shared" si="5"/>
        <v>145.69060454545496</v>
      </c>
      <c r="K29" s="30">
        <f t="shared" si="3"/>
        <v>2.3883705663189336</v>
      </c>
      <c r="L29" s="27">
        <v>221</v>
      </c>
      <c r="M29" s="31">
        <f t="shared" si="6"/>
        <v>0.27601809954751133</v>
      </c>
      <c r="N29" s="15">
        <v>817</v>
      </c>
      <c r="O29" s="32">
        <f t="shared" ref="O29:P29" si="37">D29/7</f>
        <v>8.7142857142857135</v>
      </c>
      <c r="P29" s="32">
        <f t="shared" si="37"/>
        <v>0</v>
      </c>
      <c r="Q29" s="27">
        <f t="shared" si="8"/>
        <v>93</v>
      </c>
      <c r="R29" s="27"/>
      <c r="S29" s="41">
        <v>1.4005655042412819</v>
      </c>
      <c r="T29" s="40" t="s">
        <v>34</v>
      </c>
      <c r="U29" s="22" t="s">
        <v>34</v>
      </c>
      <c r="V29" s="1" t="s">
        <v>34</v>
      </c>
      <c r="W29" s="40">
        <v>9</v>
      </c>
      <c r="X29" s="36">
        <f t="shared" si="9"/>
        <v>0.14754098360655737</v>
      </c>
      <c r="Y29" s="37">
        <f t="shared" si="10"/>
        <v>7.5015384615384626</v>
      </c>
      <c r="Z29" s="40">
        <v>4</v>
      </c>
      <c r="AA29" s="26" t="s">
        <v>250</v>
      </c>
      <c r="AB29" s="38">
        <f t="shared" si="11"/>
        <v>-0.48</v>
      </c>
      <c r="AC29" s="39">
        <v>0.98333333333333339</v>
      </c>
      <c r="AD29" s="37">
        <f t="shared" si="12"/>
        <v>-57.584000000000003</v>
      </c>
      <c r="AE29" s="37">
        <v>-13.22</v>
      </c>
      <c r="AF29" s="42">
        <v>-11.5904409090909</v>
      </c>
      <c r="AG29" s="37">
        <v>0</v>
      </c>
    </row>
    <row r="30" spans="1:33" ht="15.75" customHeight="1" x14ac:dyDescent="0.2">
      <c r="A30" s="40" t="s">
        <v>84</v>
      </c>
      <c r="B30" s="40" t="s">
        <v>424</v>
      </c>
      <c r="C30" s="14">
        <f t="shared" si="4"/>
        <v>34.99</v>
      </c>
      <c r="D30" s="15">
        <v>53</v>
      </c>
      <c r="E30" s="15">
        <v>1</v>
      </c>
      <c r="F30" s="16">
        <v>1854.4700000000003</v>
      </c>
      <c r="G30" s="16">
        <v>-69.95</v>
      </c>
      <c r="H30" s="29">
        <f t="shared" si="1"/>
        <v>3.7719671927828435E-2</v>
      </c>
      <c r="I30" s="29">
        <f t="shared" si="2"/>
        <v>-2.836742977778017E-2</v>
      </c>
      <c r="J30" s="30">
        <f t="shared" si="5"/>
        <v>-52.606547499999998</v>
      </c>
      <c r="K30" s="30">
        <f t="shared" si="3"/>
        <v>-0.9925763679245283</v>
      </c>
      <c r="L30" s="15">
        <v>186</v>
      </c>
      <c r="M30" s="31">
        <f t="shared" si="6"/>
        <v>0.28494623655913981</v>
      </c>
      <c r="N30" s="15">
        <v>585</v>
      </c>
      <c r="O30" s="32">
        <f t="shared" ref="O30:P30" si="38">D30/7</f>
        <v>7.5714285714285712</v>
      </c>
      <c r="P30" s="32">
        <f t="shared" si="38"/>
        <v>0.14285714285714285</v>
      </c>
      <c r="Q30" s="27">
        <f t="shared" si="8"/>
        <v>75</v>
      </c>
      <c r="R30" s="27"/>
      <c r="S30" s="41">
        <v>1.741857659831122</v>
      </c>
      <c r="T30" s="26">
        <v>1578</v>
      </c>
      <c r="U30" s="34">
        <v>600</v>
      </c>
      <c r="V30" s="35" t="s">
        <v>453</v>
      </c>
      <c r="W30" s="40">
        <v>4</v>
      </c>
      <c r="X30" s="36">
        <f t="shared" si="9"/>
        <v>7.5471698113207544E-2</v>
      </c>
      <c r="Y30" s="37">
        <f t="shared" si="10"/>
        <v>13.99</v>
      </c>
      <c r="Z30" s="40">
        <v>1</v>
      </c>
      <c r="AA30" s="26" t="s">
        <v>250</v>
      </c>
      <c r="AB30" s="38">
        <f t="shared" si="11"/>
        <v>-0.48</v>
      </c>
      <c r="AC30" s="39">
        <v>0.98333333333333339</v>
      </c>
      <c r="AD30" s="37">
        <f t="shared" si="12"/>
        <v>-50.032000000000004</v>
      </c>
      <c r="AE30" s="42">
        <v>-13.22</v>
      </c>
      <c r="AF30" s="42">
        <v>-15.137057499999999</v>
      </c>
      <c r="AG30" s="42">
        <v>-6</v>
      </c>
    </row>
    <row r="31" spans="1:33" ht="15.75" customHeight="1" x14ac:dyDescent="0.2">
      <c r="A31" s="40" t="s">
        <v>87</v>
      </c>
      <c r="B31" s="40" t="s">
        <v>454</v>
      </c>
      <c r="C31" s="14">
        <f t="shared" si="4"/>
        <v>34.989999999999995</v>
      </c>
      <c r="D31" s="15">
        <v>65</v>
      </c>
      <c r="E31" s="15">
        <v>0</v>
      </c>
      <c r="F31" s="16">
        <v>2274.3499999999995</v>
      </c>
      <c r="G31" s="43">
        <v>-78.33</v>
      </c>
      <c r="H31" s="29">
        <f t="shared" si="1"/>
        <v>3.4440609404884921E-2</v>
      </c>
      <c r="I31" s="29">
        <f t="shared" si="2"/>
        <v>-3.5043523424275247E-2</v>
      </c>
      <c r="J31" s="30">
        <f t="shared" si="5"/>
        <v>-79.701237500000389</v>
      </c>
      <c r="K31" s="30">
        <f t="shared" si="3"/>
        <v>-1.2261728846153905</v>
      </c>
      <c r="L31" s="15">
        <v>198</v>
      </c>
      <c r="M31" s="31">
        <f t="shared" si="6"/>
        <v>0.32828282828282829</v>
      </c>
      <c r="N31" s="15">
        <v>624</v>
      </c>
      <c r="O31" s="32">
        <f t="shared" ref="O31:P31" si="39">D31/7</f>
        <v>9.2857142857142865</v>
      </c>
      <c r="P31" s="32">
        <f t="shared" si="39"/>
        <v>0</v>
      </c>
      <c r="Q31" s="27">
        <f t="shared" si="8"/>
        <v>67</v>
      </c>
      <c r="R31" s="27"/>
      <c r="S31" s="41">
        <v>1.82931596091205</v>
      </c>
      <c r="T31" s="40">
        <v>978</v>
      </c>
      <c r="U31" s="22">
        <v>600</v>
      </c>
      <c r="V31" s="1" t="s">
        <v>455</v>
      </c>
      <c r="W31" s="40">
        <v>6</v>
      </c>
      <c r="X31" s="36">
        <f t="shared" si="9"/>
        <v>9.2307692307692313E-2</v>
      </c>
      <c r="Y31" s="37">
        <f t="shared" si="10"/>
        <v>8.7033333333333331</v>
      </c>
      <c r="Z31" s="40">
        <v>3</v>
      </c>
      <c r="AA31" s="40" t="s">
        <v>250</v>
      </c>
      <c r="AB31" s="38">
        <f t="shared" si="11"/>
        <v>-0.48</v>
      </c>
      <c r="AC31" s="44">
        <v>0.98333333333333339</v>
      </c>
      <c r="AD31" s="37">
        <f t="shared" si="12"/>
        <v>-61.360000000000007</v>
      </c>
      <c r="AE31" s="45">
        <v>-13.22</v>
      </c>
      <c r="AF31" s="45">
        <v>-15.137057499999999</v>
      </c>
      <c r="AG31" s="42">
        <v>-30</v>
      </c>
    </row>
    <row r="32" spans="1:33" ht="15.75" customHeight="1" x14ac:dyDescent="0.2">
      <c r="A32" s="40" t="s">
        <v>90</v>
      </c>
      <c r="B32" s="50" t="s">
        <v>105</v>
      </c>
      <c r="C32" s="14">
        <f t="shared" si="4"/>
        <v>38.565294117647056</v>
      </c>
      <c r="D32" s="15">
        <v>51</v>
      </c>
      <c r="E32" s="15">
        <v>2</v>
      </c>
      <c r="F32" s="16">
        <v>1966.83</v>
      </c>
      <c r="G32" s="16">
        <v>-48.539999999999992</v>
      </c>
      <c r="H32" s="29">
        <f t="shared" si="1"/>
        <v>2.4679306294900928E-2</v>
      </c>
      <c r="I32" s="29">
        <f t="shared" si="2"/>
        <v>5.8424758367525378E-2</v>
      </c>
      <c r="J32" s="30">
        <f t="shared" si="5"/>
        <v>114.91156749999993</v>
      </c>
      <c r="K32" s="30">
        <f t="shared" si="3"/>
        <v>2.2531679901960771</v>
      </c>
      <c r="L32" s="15">
        <v>182</v>
      </c>
      <c r="M32" s="31">
        <f t="shared" si="6"/>
        <v>0.28021978021978022</v>
      </c>
      <c r="N32" s="15">
        <v>564</v>
      </c>
      <c r="O32" s="32">
        <f t="shared" ref="O32:P32" si="40">D32/7</f>
        <v>7.2857142857142856</v>
      </c>
      <c r="P32" s="32">
        <f t="shared" si="40"/>
        <v>0.2857142857142857</v>
      </c>
      <c r="Q32" s="27">
        <f t="shared" si="8"/>
        <v>74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1.2384341637010681</v>
      </c>
      <c r="T32" s="40">
        <f ca="1">IFERROR(__xludf.DUMMYFUNCTION("IFERROR(VLOOKUP($B$2,IMPORTRANGE(""https://docs.google.com/spreadsheets/d/1KiWZV1ko8G7lnRucBRBd29jj3Be6ltMfljMDqzOkQmI/edit#gid=1381463014"",""Lookup!A:D""),4,FALSE),"""")"),978)</f>
        <v>978</v>
      </c>
      <c r="U32" s="22">
        <f ca="1">IFERROR(__xludf.DUMMYFUNCTION("IFERROR(VLOOKUP($B$2,IMPORTRANGE(""https://docs.google.com/spreadsheets/d/1KiWZV1ko8G7lnRucBRBd29jj3Be6ltMfljMDqzOkQmI/edit#gid=1381463014"",""Lookup!A:D""),3,FALSE),"""")"),600)</f>
        <v>600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- 600 units 07/22")</f>
        <v>| AGL232  - 600 units 07/22</v>
      </c>
      <c r="W32" s="40">
        <v>8</v>
      </c>
      <c r="X32" s="36">
        <f t="shared" si="9"/>
        <v>0.15686274509803921</v>
      </c>
      <c r="Y32" s="37">
        <f t="shared" si="10"/>
        <v>5.3933333333333326</v>
      </c>
      <c r="Z32" s="40">
        <v>1</v>
      </c>
      <c r="AA32" s="40" t="s">
        <v>250</v>
      </c>
      <c r="AB32" s="38">
        <f t="shared" si="11"/>
        <v>-0.48</v>
      </c>
      <c r="AC32" s="44">
        <v>0.98333333333333339</v>
      </c>
      <c r="AD32" s="37">
        <f t="shared" si="12"/>
        <v>-48.144000000000005</v>
      </c>
      <c r="AE32" s="42">
        <v>-13.22</v>
      </c>
      <c r="AF32" s="42">
        <v>-15.137057499999999</v>
      </c>
      <c r="AG32" s="42">
        <v>-14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Cream &amp; Black, Textured - 28 x 17 Inch Plastic Computer Pad for Desk")</f>
        <v>Office Desk Mat, Cream &amp; Black, Textured - 28 x 17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Info!B1:BJ5000""),2,FALSE),"""")"),"B07T9NKT3S")</f>
        <v>B07T9NKT3S</v>
      </c>
      <c r="B2" s="3" t="s">
        <v>456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8.950511351102941</v>
      </c>
      <c r="D3" s="5">
        <f>SUM(D4:D99767)</f>
        <v>147</v>
      </c>
      <c r="E3" s="5"/>
      <c r="F3" s="6">
        <f t="shared" ref="F3:G3" si="0">SUM(F4:F99767)</f>
        <v>1822.2100000000003</v>
      </c>
      <c r="G3" s="6">
        <f t="shared" si="0"/>
        <v>-1.8</v>
      </c>
      <c r="H3" s="7">
        <f t="shared" ref="H3:H32" si="1">G3/F3*-1</f>
        <v>9.878115036137437E-4</v>
      </c>
      <c r="I3" s="8">
        <f t="shared" ref="I3:I32" si="2">J3/F3</f>
        <v>0.23116439689546278</v>
      </c>
      <c r="J3" s="6">
        <f>SUM(J4:J99767)</f>
        <v>421.23007566688131</v>
      </c>
      <c r="K3" s="6">
        <f t="shared" ref="K3:K32" si="3">J3/D3</f>
        <v>2.8655107188223217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-16.365022280561991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Info!B2:BZ3000""),37,FALSE)),"""")*-1"),-2.6579346484375)</f>
        <v>-2.6579346484375002</v>
      </c>
      <c r="AG3" s="6">
        <f>SUM(AG4:AG99767)</f>
        <v>0</v>
      </c>
    </row>
    <row r="4" spans="1:33" x14ac:dyDescent="0.2">
      <c r="A4" s="1" t="s">
        <v>32</v>
      </c>
      <c r="B4" s="1" t="s">
        <v>53</v>
      </c>
      <c r="C4" s="14">
        <f t="shared" ref="C4:C32" si="4">IFERROR(F4/D4," - ")</f>
        <v>12.028823529411769</v>
      </c>
      <c r="D4" s="15">
        <v>17</v>
      </c>
      <c r="E4" s="15">
        <v>0</v>
      </c>
      <c r="F4" s="16">
        <v>204.49000000000007</v>
      </c>
      <c r="G4" s="16">
        <v>0</v>
      </c>
      <c r="H4" s="17">
        <f t="shared" si="1"/>
        <v>0</v>
      </c>
      <c r="I4" s="17">
        <f t="shared" si="2"/>
        <v>0.21707573747771636</v>
      </c>
      <c r="J4" s="16">
        <f t="shared" ref="J4:J32" si="5">F4*0.85+G4+AF4*D4+D4*AE4+AG4+AD4</f>
        <v>44.38981755681823</v>
      </c>
      <c r="K4" s="16">
        <f t="shared" si="3"/>
        <v>2.6111657386363665</v>
      </c>
      <c r="L4" s="15">
        <v>98</v>
      </c>
      <c r="M4" s="18">
        <f t="shared" ref="M4:M32" si="6">IFERROR(D4/L4,"-")</f>
        <v>0.17346938775510204</v>
      </c>
      <c r="N4" s="15">
        <v>90</v>
      </c>
      <c r="O4" s="19">
        <f t="shared" ref="O4:P4" si="7">D4/7</f>
        <v>2.4285714285714284</v>
      </c>
      <c r="P4" s="19">
        <f t="shared" si="7"/>
        <v>0</v>
      </c>
      <c r="Q4" s="15">
        <f t="shared" ref="Q4:Q32" si="8">ROUNDDOWN(N4/(O4+P4),0)</f>
        <v>37</v>
      </c>
      <c r="R4" s="15"/>
      <c r="S4" s="20">
        <v>0.94017094017094005</v>
      </c>
      <c r="T4" s="2">
        <v>720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8.0656249999999999E-2</v>
      </c>
      <c r="AD4" s="24">
        <f t="shared" ref="AD4:AD32" si="12">IFERROR(AB4*AC4*D4*2,0)</f>
        <v>-1.8921956249999998</v>
      </c>
      <c r="AE4" s="24">
        <v>-4.9000000000000004</v>
      </c>
      <c r="AF4" s="24">
        <v>-2.6020286363636367</v>
      </c>
      <c r="AG4" s="24">
        <v>0</v>
      </c>
    </row>
    <row r="5" spans="1:33" ht="15.75" customHeight="1" x14ac:dyDescent="0.2">
      <c r="A5" s="26" t="s">
        <v>35</v>
      </c>
      <c r="B5" s="1" t="s">
        <v>53</v>
      </c>
      <c r="C5" s="14">
        <f t="shared" si="4"/>
        <v>12.222500000000004</v>
      </c>
      <c r="D5" s="27">
        <v>24</v>
      </c>
      <c r="E5" s="27">
        <v>0</v>
      </c>
      <c r="F5" s="28">
        <v>293.34000000000009</v>
      </c>
      <c r="G5" s="28">
        <v>0</v>
      </c>
      <c r="H5" s="29">
        <f t="shared" si="1"/>
        <v>0</v>
      </c>
      <c r="I5" s="29">
        <f t="shared" si="2"/>
        <v>0.22709443758679604</v>
      </c>
      <c r="J5" s="30">
        <f t="shared" si="5"/>
        <v>66.615882321710771</v>
      </c>
      <c r="K5" s="30">
        <f t="shared" si="3"/>
        <v>2.7756617634046155</v>
      </c>
      <c r="L5" s="27">
        <v>186</v>
      </c>
      <c r="M5" s="31">
        <f t="shared" si="6"/>
        <v>0.12903225806451613</v>
      </c>
      <c r="N5" s="27">
        <v>64</v>
      </c>
      <c r="O5" s="32">
        <f t="shared" ref="O5:P5" si="13">D5/7</f>
        <v>3.4285714285714284</v>
      </c>
      <c r="P5" s="32">
        <f t="shared" si="13"/>
        <v>0</v>
      </c>
      <c r="Q5" s="27">
        <f t="shared" si="8"/>
        <v>18</v>
      </c>
      <c r="R5" s="27"/>
      <c r="S5" s="33">
        <v>1.64</v>
      </c>
      <c r="T5" s="26">
        <v>720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8.07497103128621E-2</v>
      </c>
      <c r="AD5" s="37">
        <f t="shared" si="12"/>
        <v>-2.6744304055619925</v>
      </c>
      <c r="AE5" s="37">
        <v>-4.9000000000000004</v>
      </c>
      <c r="AF5" s="37">
        <v>-2.6020286363636367</v>
      </c>
      <c r="AG5" s="37">
        <v>0</v>
      </c>
    </row>
    <row r="6" spans="1:33" ht="15.75" customHeight="1" x14ac:dyDescent="0.2">
      <c r="A6" s="26" t="s">
        <v>38</v>
      </c>
      <c r="B6" s="1" t="s">
        <v>457</v>
      </c>
      <c r="C6" s="14">
        <f t="shared" si="4"/>
        <v>12.060714285714285</v>
      </c>
      <c r="D6" s="27">
        <v>14</v>
      </c>
      <c r="E6" s="27">
        <v>0</v>
      </c>
      <c r="F6" s="28">
        <v>168.85</v>
      </c>
      <c r="G6" s="28">
        <v>0</v>
      </c>
      <c r="H6" s="29">
        <f t="shared" si="1"/>
        <v>0</v>
      </c>
      <c r="I6" s="29">
        <f t="shared" si="2"/>
        <v>0.21874930613508475</v>
      </c>
      <c r="J6" s="30">
        <f t="shared" si="5"/>
        <v>36.935820340909061</v>
      </c>
      <c r="K6" s="30">
        <f t="shared" si="3"/>
        <v>2.6382728814935041</v>
      </c>
      <c r="L6" s="27">
        <v>139</v>
      </c>
      <c r="M6" s="31">
        <f t="shared" si="6"/>
        <v>0.10071942446043165</v>
      </c>
      <c r="N6" s="27">
        <v>47</v>
      </c>
      <c r="O6" s="32">
        <f t="shared" ref="O6:P6" si="14">D6/7</f>
        <v>2</v>
      </c>
      <c r="P6" s="32">
        <f t="shared" si="14"/>
        <v>0</v>
      </c>
      <c r="Q6" s="27">
        <f t="shared" si="8"/>
        <v>23</v>
      </c>
      <c r="R6" s="27"/>
      <c r="S6" s="33">
        <v>1.17994100294985</v>
      </c>
      <c r="T6" s="26">
        <v>720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8.0656249999999999E-2</v>
      </c>
      <c r="AD6" s="37">
        <f t="shared" si="12"/>
        <v>-1.5582787499999999</v>
      </c>
      <c r="AE6" s="37">
        <v>-4.9000000000000004</v>
      </c>
      <c r="AF6" s="37">
        <v>-2.6020286363636367</v>
      </c>
      <c r="AG6" s="37">
        <v>0</v>
      </c>
    </row>
    <row r="7" spans="1:33" ht="15.75" customHeight="1" x14ac:dyDescent="0.2">
      <c r="A7" s="26" t="s">
        <v>41</v>
      </c>
      <c r="B7" s="1" t="s">
        <v>458</v>
      </c>
      <c r="C7" s="14">
        <f t="shared" si="4"/>
        <v>13.097692307692309</v>
      </c>
      <c r="D7" s="27">
        <v>13</v>
      </c>
      <c r="E7" s="27">
        <v>0</v>
      </c>
      <c r="F7" s="28">
        <v>170.27</v>
      </c>
      <c r="G7" s="28">
        <v>0</v>
      </c>
      <c r="H7" s="29">
        <f t="shared" si="1"/>
        <v>0</v>
      </c>
      <c r="I7" s="29">
        <f t="shared" si="2"/>
        <v>0.26872704881818715</v>
      </c>
      <c r="J7" s="30">
        <f t="shared" si="5"/>
        <v>45.75615460227273</v>
      </c>
      <c r="K7" s="30">
        <f t="shared" si="3"/>
        <v>3.5197042001748255</v>
      </c>
      <c r="L7" s="27">
        <v>127</v>
      </c>
      <c r="M7" s="31">
        <f t="shared" si="6"/>
        <v>0.10236220472440945</v>
      </c>
      <c r="N7" s="27">
        <v>36</v>
      </c>
      <c r="O7" s="32">
        <f t="shared" ref="O7:P7" si="15">D7/7</f>
        <v>1.8571428571428572</v>
      </c>
      <c r="P7" s="32">
        <f t="shared" si="15"/>
        <v>0</v>
      </c>
      <c r="Q7" s="27">
        <f t="shared" si="8"/>
        <v>19</v>
      </c>
      <c r="R7" s="27"/>
      <c r="S7" s="33">
        <v>1.4849498327759101</v>
      </c>
      <c r="T7" s="26">
        <v>720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8.0656249999999999E-2</v>
      </c>
      <c r="AD7" s="37">
        <f t="shared" si="12"/>
        <v>-1.446973125</v>
      </c>
      <c r="AE7" s="37">
        <v>-4.9000000000000004</v>
      </c>
      <c r="AF7" s="37">
        <v>-2.6020286363636367</v>
      </c>
      <c r="AG7" s="37">
        <v>0</v>
      </c>
    </row>
    <row r="8" spans="1:33" ht="15.75" customHeight="1" x14ac:dyDescent="0.2">
      <c r="A8" s="26" t="s">
        <v>43</v>
      </c>
      <c r="B8" s="1" t="s">
        <v>53</v>
      </c>
      <c r="C8" s="14">
        <f t="shared" si="4"/>
        <v>14.67</v>
      </c>
      <c r="D8" s="27">
        <v>9</v>
      </c>
      <c r="E8" s="27">
        <v>0</v>
      </c>
      <c r="F8" s="28">
        <v>132.03</v>
      </c>
      <c r="G8" s="28">
        <v>0</v>
      </c>
      <c r="H8" s="29">
        <f t="shared" si="1"/>
        <v>0</v>
      </c>
      <c r="I8" s="29">
        <f t="shared" si="2"/>
        <v>0.33116526073619623</v>
      </c>
      <c r="J8" s="30">
        <f t="shared" si="5"/>
        <v>43.72374937499999</v>
      </c>
      <c r="K8" s="30">
        <f t="shared" si="3"/>
        <v>4.8581943749999992</v>
      </c>
      <c r="L8" s="27">
        <v>115</v>
      </c>
      <c r="M8" s="31">
        <f t="shared" si="6"/>
        <v>7.8260869565217397E-2</v>
      </c>
      <c r="N8" s="27">
        <v>26</v>
      </c>
      <c r="O8" s="32">
        <f t="shared" ref="O8:P8" si="16">D8/7</f>
        <v>1.2857142857142858</v>
      </c>
      <c r="P8" s="32">
        <f t="shared" si="16"/>
        <v>0</v>
      </c>
      <c r="Q8" s="27">
        <f t="shared" si="8"/>
        <v>20</v>
      </c>
      <c r="R8" s="27"/>
      <c r="S8" s="33">
        <v>1.90839694656488</v>
      </c>
      <c r="T8" s="26">
        <v>720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8.0656249999999999E-2</v>
      </c>
      <c r="AD8" s="37">
        <f t="shared" si="12"/>
        <v>-1.0017506249999999</v>
      </c>
      <c r="AE8" s="37">
        <v>-4.9000000000000004</v>
      </c>
      <c r="AF8" s="37">
        <v>-2.6</v>
      </c>
      <c r="AG8" s="37">
        <v>0</v>
      </c>
    </row>
    <row r="9" spans="1:33" ht="15.75" customHeight="1" x14ac:dyDescent="0.2">
      <c r="A9" s="26" t="s">
        <v>45</v>
      </c>
      <c r="B9" s="26" t="s">
        <v>459</v>
      </c>
      <c r="C9" s="14">
        <f t="shared" si="4"/>
        <v>14.991818181818182</v>
      </c>
      <c r="D9" s="27">
        <v>11</v>
      </c>
      <c r="E9" s="27">
        <v>0</v>
      </c>
      <c r="F9" s="28">
        <v>164.91</v>
      </c>
      <c r="G9" s="28">
        <v>0</v>
      </c>
      <c r="H9" s="29">
        <f t="shared" si="1"/>
        <v>0</v>
      </c>
      <c r="I9" s="29">
        <f t="shared" si="2"/>
        <v>0.33730677718149316</v>
      </c>
      <c r="J9" s="30">
        <f t="shared" si="5"/>
        <v>55.625260625000038</v>
      </c>
      <c r="K9" s="30">
        <f t="shared" si="3"/>
        <v>5.0568418750000035</v>
      </c>
      <c r="L9" s="27">
        <v>81</v>
      </c>
      <c r="M9" s="31">
        <f t="shared" si="6"/>
        <v>0.13580246913580246</v>
      </c>
      <c r="N9" s="27">
        <v>14</v>
      </c>
      <c r="O9" s="32">
        <f t="shared" ref="O9:P9" si="17">D9/7</f>
        <v>1.5714285714285714</v>
      </c>
      <c r="P9" s="32">
        <f t="shared" si="17"/>
        <v>0</v>
      </c>
      <c r="Q9" s="27">
        <f t="shared" si="8"/>
        <v>8</v>
      </c>
      <c r="R9" s="27"/>
      <c r="S9" s="33">
        <v>2.4909090909090899</v>
      </c>
      <c r="T9" s="26">
        <v>720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8.0656249999999999E-2</v>
      </c>
      <c r="AD9" s="37">
        <f t="shared" si="12"/>
        <v>-1.2243618749999998</v>
      </c>
      <c r="AE9" s="37">
        <v>-4.9000000000000004</v>
      </c>
      <c r="AF9" s="37">
        <v>-2.6748979545454499</v>
      </c>
      <c r="AG9" s="37">
        <v>0</v>
      </c>
    </row>
    <row r="10" spans="1:33" ht="15.75" customHeight="1" x14ac:dyDescent="0.2">
      <c r="A10" s="26" t="s">
        <v>48</v>
      </c>
      <c r="B10" s="26" t="s">
        <v>460</v>
      </c>
      <c r="C10" s="14">
        <f t="shared" si="4"/>
        <v>15.767777777777777</v>
      </c>
      <c r="D10" s="27">
        <v>9</v>
      </c>
      <c r="E10" s="27">
        <v>0</v>
      </c>
      <c r="F10" s="28">
        <v>141.91</v>
      </c>
      <c r="G10" s="28">
        <v>0</v>
      </c>
      <c r="H10" s="29">
        <f t="shared" si="1"/>
        <v>0</v>
      </c>
      <c r="I10" s="29">
        <f t="shared" si="2"/>
        <v>0.3625372967661965</v>
      </c>
      <c r="J10" s="30">
        <f t="shared" si="5"/>
        <v>51.447667784090946</v>
      </c>
      <c r="K10" s="30">
        <f t="shared" si="3"/>
        <v>5.7164075315656611</v>
      </c>
      <c r="L10" s="27">
        <v>60</v>
      </c>
      <c r="M10" s="31">
        <f t="shared" si="6"/>
        <v>0.15</v>
      </c>
      <c r="N10" s="27">
        <v>9</v>
      </c>
      <c r="O10" s="32">
        <f t="shared" ref="O10:P10" si="18">D10/7</f>
        <v>1.2857142857142858</v>
      </c>
      <c r="P10" s="32">
        <f t="shared" si="18"/>
        <v>0</v>
      </c>
      <c r="Q10" s="27">
        <f t="shared" si="8"/>
        <v>7</v>
      </c>
      <c r="R10" s="27"/>
      <c r="S10" s="33">
        <v>1.61581920903954</v>
      </c>
      <c r="T10" s="26">
        <v>720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8.0656249999999999E-2</v>
      </c>
      <c r="AD10" s="37">
        <f t="shared" si="12"/>
        <v>-1.0017506249999999</v>
      </c>
      <c r="AE10" s="37">
        <v>-4.9000000000000004</v>
      </c>
      <c r="AF10" s="37">
        <v>-2.6748979545454499</v>
      </c>
      <c r="AG10" s="37">
        <v>0</v>
      </c>
    </row>
    <row r="11" spans="1:33" ht="15.75" customHeight="1" x14ac:dyDescent="0.2">
      <c r="A11" s="26" t="s">
        <v>50</v>
      </c>
      <c r="B11" s="26" t="s">
        <v>461</v>
      </c>
      <c r="C11" s="14">
        <f t="shared" si="4"/>
        <v>16.79</v>
      </c>
      <c r="D11" s="27">
        <v>5</v>
      </c>
      <c r="E11" s="27">
        <v>2</v>
      </c>
      <c r="F11" s="28">
        <v>83.949999999999989</v>
      </c>
      <c r="G11" s="28">
        <v>0</v>
      </c>
      <c r="H11" s="29">
        <f t="shared" si="1"/>
        <v>0</v>
      </c>
      <c r="I11" s="29">
        <f t="shared" si="2"/>
        <v>0.39221539133142036</v>
      </c>
      <c r="J11" s="30">
        <f t="shared" si="5"/>
        <v>32.926482102272736</v>
      </c>
      <c r="K11" s="30">
        <f t="shared" si="3"/>
        <v>6.5852964204545472</v>
      </c>
      <c r="L11" s="27">
        <v>22</v>
      </c>
      <c r="M11" s="31">
        <f t="shared" si="6"/>
        <v>0.22727272727272727</v>
      </c>
      <c r="N11" s="27">
        <v>0</v>
      </c>
      <c r="O11" s="32">
        <f t="shared" ref="O11:P11" si="19">D11/7</f>
        <v>0.7142857142857143</v>
      </c>
      <c r="P11" s="32">
        <f t="shared" si="19"/>
        <v>0.2857142857142857</v>
      </c>
      <c r="Q11" s="27">
        <f t="shared" si="8"/>
        <v>0</v>
      </c>
      <c r="R11" s="27"/>
      <c r="S11" s="33" t="e">
        <v>#N/A</v>
      </c>
      <c r="T11" s="26">
        <v>720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8.0656249999999999E-2</v>
      </c>
      <c r="AD11" s="37">
        <f t="shared" si="12"/>
        <v>-0.55652812499999993</v>
      </c>
      <c r="AE11" s="37">
        <v>-4.9000000000000004</v>
      </c>
      <c r="AF11" s="37">
        <v>-2.6748979545454499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720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-2.6748979545454499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720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-2.7132502272727201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720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-2.7132502272727201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500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-2.7132502272727201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500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-2.7132502272727201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500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e">
        <v>#N/A</v>
      </c>
      <c r="AB17" s="38" t="e">
        <f t="shared" si="11"/>
        <v>#N/A</v>
      </c>
      <c r="AC17" s="39" t="e">
        <v>#N/A</v>
      </c>
      <c r="AD17" s="37">
        <f t="shared" si="12"/>
        <v>0</v>
      </c>
      <c r="AE17" s="37">
        <v>0</v>
      </c>
      <c r="AF17" s="37">
        <v>-2.7132502272727201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500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-2.7132502272727201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500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e">
        <v>#N/A</v>
      </c>
      <c r="AB19" s="38" t="e">
        <f t="shared" si="11"/>
        <v>#N/A</v>
      </c>
      <c r="AC19" s="39" t="e">
        <v>#N/A</v>
      </c>
      <c r="AD19" s="37">
        <f t="shared" si="12"/>
        <v>0</v>
      </c>
      <c r="AE19" s="37">
        <v>0</v>
      </c>
      <c r="AF19" s="37">
        <v>-2.7132502272727277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680</v>
      </c>
      <c r="U20" s="34">
        <v>180</v>
      </c>
      <c r="V20" s="35" t="s">
        <v>462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e">
        <v>#N/A</v>
      </c>
      <c r="AB20" s="38" t="e">
        <f t="shared" si="11"/>
        <v>#N/A</v>
      </c>
      <c r="AC20" s="39" t="e">
        <v>#N/A</v>
      </c>
      <c r="AD20" s="37">
        <f t="shared" si="12"/>
        <v>0</v>
      </c>
      <c r="AE20" s="37">
        <v>0</v>
      </c>
      <c r="AF20" s="37">
        <v>-2.7132502272727277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1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>
        <v>3.2727272727272698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8.0656249999999999E-2</v>
      </c>
      <c r="AD21" s="37">
        <f t="shared" si="12"/>
        <v>0</v>
      </c>
      <c r="AE21" s="37">
        <v>-4.9000000000000004</v>
      </c>
      <c r="AF21" s="37">
        <v>-2.7132502272727277</v>
      </c>
      <c r="AG21" s="37">
        <v>0</v>
      </c>
    </row>
    <row r="22" spans="1:33" ht="15.75" customHeight="1" x14ac:dyDescent="0.2">
      <c r="A22" s="26" t="s">
        <v>67</v>
      </c>
      <c r="B22" s="26" t="s">
        <v>76</v>
      </c>
      <c r="C22" s="14">
        <f t="shared" si="4"/>
        <v>16.989999999999998</v>
      </c>
      <c r="D22" s="27">
        <v>1</v>
      </c>
      <c r="E22" s="27">
        <v>0</v>
      </c>
      <c r="F22" s="28">
        <v>16.989999999999998</v>
      </c>
      <c r="G22" s="28">
        <v>0</v>
      </c>
      <c r="H22" s="29">
        <f t="shared" si="1"/>
        <v>0</v>
      </c>
      <c r="I22" s="29">
        <f t="shared" si="2"/>
        <v>0.39534691864198179</v>
      </c>
      <c r="J22" s="30">
        <f t="shared" si="5"/>
        <v>6.7169441477272702</v>
      </c>
      <c r="K22" s="30">
        <f t="shared" si="3"/>
        <v>6.7169441477272702</v>
      </c>
      <c r="L22" s="27">
        <v>21</v>
      </c>
      <c r="M22" s="31">
        <f t="shared" si="6"/>
        <v>4.7619047619047616E-2</v>
      </c>
      <c r="N22" s="27">
        <v>0</v>
      </c>
      <c r="O22" s="32">
        <f t="shared" ref="O22:P22" si="30">D22/7</f>
        <v>0.14285714285714285</v>
      </c>
      <c r="P22" s="32">
        <f t="shared" si="30"/>
        <v>0</v>
      </c>
      <c r="Q22" s="27">
        <f t="shared" si="8"/>
        <v>0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8.0656249999999999E-2</v>
      </c>
      <c r="AD22" s="37">
        <f t="shared" si="12"/>
        <v>-0.11130562499999999</v>
      </c>
      <c r="AE22" s="37">
        <v>-4.9000000000000004</v>
      </c>
      <c r="AF22" s="37">
        <v>-2.7132502272727277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680</v>
      </c>
      <c r="U23" s="34" t="s">
        <v>34</v>
      </c>
      <c r="V23" s="35" t="s">
        <v>463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 t="e">
        <v>#N/A</v>
      </c>
      <c r="AD23" s="37">
        <f t="shared" si="12"/>
        <v>0</v>
      </c>
      <c r="AE23" s="37">
        <v>-4.9000000000000004</v>
      </c>
      <c r="AF23" s="37">
        <v>-2.7132502272727277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680</v>
      </c>
      <c r="U24" s="34" t="s">
        <v>34</v>
      </c>
      <c r="V24" s="35" t="s">
        <v>463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8.0656249999999999E-2</v>
      </c>
      <c r="AD24" s="37">
        <f t="shared" si="12"/>
        <v>0</v>
      </c>
      <c r="AE24" s="37">
        <v>-4.9000000000000004</v>
      </c>
      <c r="AF24" s="37">
        <v>-2.7132502272727277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-1.2</v>
      </c>
      <c r="H25" s="29" t="e">
        <f t="shared" si="1"/>
        <v>#DIV/0!</v>
      </c>
      <c r="I25" s="29" t="e">
        <f t="shared" si="2"/>
        <v>#DIV/0!</v>
      </c>
      <c r="J25" s="30">
        <f t="shared" si="5"/>
        <v>-1.2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680</v>
      </c>
      <c r="U25" s="34">
        <v>180</v>
      </c>
      <c r="V25" s="35" t="s">
        <v>464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8.0656249999999999E-2</v>
      </c>
      <c r="AD25" s="37">
        <f t="shared" si="12"/>
        <v>0</v>
      </c>
      <c r="AE25" s="42">
        <v>-4.9000000000000004</v>
      </c>
      <c r="AF25" s="42">
        <v>-2.71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680</v>
      </c>
      <c r="U26" s="34">
        <v>180</v>
      </c>
      <c r="V26" s="35" t="s">
        <v>464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8.0656249999999999E-2</v>
      </c>
      <c r="AD26" s="37">
        <f t="shared" si="12"/>
        <v>0</v>
      </c>
      <c r="AE26" s="42">
        <v>-4.9000000000000004</v>
      </c>
      <c r="AF26" s="42">
        <v>-2.7132502272727201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680</v>
      </c>
      <c r="U27" s="34">
        <v>180</v>
      </c>
      <c r="V27" s="35" t="s">
        <v>465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8.0656249999999999E-2</v>
      </c>
      <c r="AD27" s="37">
        <f t="shared" si="12"/>
        <v>0</v>
      </c>
      <c r="AE27" s="42">
        <v>-4.9000000000000004</v>
      </c>
      <c r="AF27" s="42">
        <v>-2.7132502272727201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180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2.1621621621621619E-2</v>
      </c>
      <c r="T28" s="40" t="s">
        <v>34</v>
      </c>
      <c r="U28" s="22" t="s">
        <v>34</v>
      </c>
      <c r="V28" s="1" t="s">
        <v>466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8.0656249999999999E-2</v>
      </c>
      <c r="AD28" s="37">
        <f t="shared" si="12"/>
        <v>0</v>
      </c>
      <c r="AE28" s="42">
        <v>-4.95</v>
      </c>
      <c r="AF28" s="42">
        <v>-2.7132502272727201</v>
      </c>
      <c r="AG28" s="42">
        <v>0</v>
      </c>
    </row>
    <row r="29" spans="1:33" ht="15.75" customHeight="1" x14ac:dyDescent="0.2">
      <c r="A29" s="26" t="s">
        <v>82</v>
      </c>
      <c r="B29" s="26" t="s">
        <v>467</v>
      </c>
      <c r="C29" s="14">
        <f t="shared" si="4"/>
        <v>16.86</v>
      </c>
      <c r="D29" s="27">
        <v>2</v>
      </c>
      <c r="E29" s="27">
        <v>0</v>
      </c>
      <c r="F29" s="30">
        <v>33.72</v>
      </c>
      <c r="G29" s="30">
        <v>-0.3</v>
      </c>
      <c r="H29" s="29">
        <f t="shared" si="1"/>
        <v>8.8967971530249101E-3</v>
      </c>
      <c r="I29" s="29">
        <f t="shared" si="2"/>
        <v>0.37997889369675442</v>
      </c>
      <c r="J29" s="30">
        <f t="shared" si="5"/>
        <v>12.812888295454558</v>
      </c>
      <c r="K29" s="30">
        <f t="shared" si="3"/>
        <v>6.4064441477272789</v>
      </c>
      <c r="L29" s="27">
        <v>55</v>
      </c>
      <c r="M29" s="31">
        <f t="shared" si="6"/>
        <v>3.6363636363636362E-2</v>
      </c>
      <c r="N29" s="15">
        <v>167</v>
      </c>
      <c r="O29" s="32">
        <f t="shared" ref="O29:P29" si="37">D29/7</f>
        <v>0.2857142857142857</v>
      </c>
      <c r="P29" s="32">
        <f t="shared" si="37"/>
        <v>0</v>
      </c>
      <c r="Q29" s="27">
        <f t="shared" si="8"/>
        <v>584</v>
      </c>
      <c r="R29" s="27"/>
      <c r="S29" s="41">
        <v>4.5977011494252873E-2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8.0656249999999999E-2</v>
      </c>
      <c r="AD29" s="37">
        <f t="shared" si="12"/>
        <v>-0.22261124999999998</v>
      </c>
      <c r="AE29" s="37">
        <v>-4.95</v>
      </c>
      <c r="AF29" s="42">
        <v>-2.7132502272727201</v>
      </c>
      <c r="AG29" s="37">
        <v>0</v>
      </c>
    </row>
    <row r="30" spans="1:33" ht="15.75" customHeight="1" x14ac:dyDescent="0.2">
      <c r="A30" s="40" t="s">
        <v>84</v>
      </c>
      <c r="B30" s="40" t="s">
        <v>468</v>
      </c>
      <c r="C30" s="14">
        <f t="shared" si="4"/>
        <v>12.407</v>
      </c>
      <c r="D30" s="15">
        <v>10</v>
      </c>
      <c r="E30" s="15">
        <v>0</v>
      </c>
      <c r="F30" s="16">
        <v>124.07000000000001</v>
      </c>
      <c r="G30" s="16">
        <v>0</v>
      </c>
      <c r="H30" s="29">
        <f t="shared" si="1"/>
        <v>0</v>
      </c>
      <c r="I30" s="29">
        <f t="shared" si="2"/>
        <v>0.2278318470671799</v>
      </c>
      <c r="J30" s="30">
        <f t="shared" si="5"/>
        <v>28.267097265625011</v>
      </c>
      <c r="K30" s="30">
        <f t="shared" si="3"/>
        <v>2.826709726562501</v>
      </c>
      <c r="L30" s="15">
        <v>52</v>
      </c>
      <c r="M30" s="31">
        <f t="shared" si="6"/>
        <v>0.19230769230769232</v>
      </c>
      <c r="N30" s="15">
        <v>141</v>
      </c>
      <c r="O30" s="32">
        <f t="shared" ref="O30:P30" si="38">D30/7</f>
        <v>1.4285714285714286</v>
      </c>
      <c r="P30" s="32">
        <f t="shared" si="38"/>
        <v>0</v>
      </c>
      <c r="Q30" s="27">
        <f t="shared" si="8"/>
        <v>98</v>
      </c>
      <c r="R30" s="27"/>
      <c r="S30" s="41">
        <v>0.17948717948717949</v>
      </c>
      <c r="T30" s="26">
        <v>324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8.0656249999999999E-2</v>
      </c>
      <c r="AD30" s="37">
        <f t="shared" si="12"/>
        <v>-1.1130562499999999</v>
      </c>
      <c r="AE30" s="42">
        <v>-4.95</v>
      </c>
      <c r="AF30" s="42">
        <v>-2.6579346484375002</v>
      </c>
      <c r="AG30" s="42">
        <v>0</v>
      </c>
    </row>
    <row r="31" spans="1:33" ht="15.75" customHeight="1" x14ac:dyDescent="0.2">
      <c r="A31" s="40" t="s">
        <v>87</v>
      </c>
      <c r="B31" s="40" t="s">
        <v>46</v>
      </c>
      <c r="C31" s="14">
        <f t="shared" si="4"/>
        <v>8.990000000000002</v>
      </c>
      <c r="D31" s="15">
        <v>23</v>
      </c>
      <c r="E31" s="15">
        <v>1</v>
      </c>
      <c r="F31" s="16">
        <v>206.77000000000004</v>
      </c>
      <c r="G31" s="43">
        <v>-0.3</v>
      </c>
      <c r="H31" s="29">
        <f t="shared" si="1"/>
        <v>1.4508874594960581E-3</v>
      </c>
      <c r="I31" s="29">
        <f t="shared" si="2"/>
        <v>-1.009830385966283E-2</v>
      </c>
      <c r="J31" s="30">
        <f t="shared" si="5"/>
        <v>-2.0880262890624839</v>
      </c>
      <c r="K31" s="30">
        <f t="shared" si="3"/>
        <v>-9.0783751698368859E-2</v>
      </c>
      <c r="L31" s="15">
        <v>61</v>
      </c>
      <c r="M31" s="31">
        <f t="shared" si="6"/>
        <v>0.37704918032786883</v>
      </c>
      <c r="N31" s="15">
        <v>115</v>
      </c>
      <c r="O31" s="32">
        <f t="shared" ref="O31:P31" si="39">D31/7</f>
        <v>3.2857142857142856</v>
      </c>
      <c r="P31" s="32">
        <f t="shared" si="39"/>
        <v>0.14285714285714285</v>
      </c>
      <c r="Q31" s="27">
        <f t="shared" si="8"/>
        <v>33</v>
      </c>
      <c r="R31" s="27"/>
      <c r="S31" s="41">
        <v>0.48920863309352502</v>
      </c>
      <c r="T31" s="40">
        <v>324</v>
      </c>
      <c r="U31" s="22" t="s">
        <v>34</v>
      </c>
      <c r="V31" s="1" t="s">
        <v>469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8.0656249999999999E-2</v>
      </c>
      <c r="AD31" s="37">
        <f t="shared" si="12"/>
        <v>-2.5600293749999996</v>
      </c>
      <c r="AE31" s="45">
        <v>-4.95</v>
      </c>
      <c r="AF31" s="45">
        <v>-2.6579346484375002</v>
      </c>
      <c r="AG31" s="42">
        <v>0</v>
      </c>
    </row>
    <row r="32" spans="1:33" ht="15.75" customHeight="1" x14ac:dyDescent="0.2">
      <c r="A32" s="40" t="s">
        <v>90</v>
      </c>
      <c r="B32" s="40" t="s">
        <v>46</v>
      </c>
      <c r="C32" s="14">
        <f t="shared" si="4"/>
        <v>8.99</v>
      </c>
      <c r="D32" s="15">
        <v>9</v>
      </c>
      <c r="E32" s="15">
        <v>0</v>
      </c>
      <c r="F32" s="16">
        <v>80.91</v>
      </c>
      <c r="G32" s="16">
        <v>0</v>
      </c>
      <c r="H32" s="29">
        <f t="shared" si="1"/>
        <v>0</v>
      </c>
      <c r="I32" s="29">
        <f t="shared" si="2"/>
        <v>-8.6474164001669844E-3</v>
      </c>
      <c r="J32" s="30">
        <f t="shared" si="5"/>
        <v>-0.69966246093751061</v>
      </c>
      <c r="K32" s="30">
        <f t="shared" si="3"/>
        <v>-7.7740273437501173E-2</v>
      </c>
      <c r="L32" s="15">
        <v>60</v>
      </c>
      <c r="M32" s="31">
        <f t="shared" si="6"/>
        <v>0.15</v>
      </c>
      <c r="N32" s="15">
        <v>107</v>
      </c>
      <c r="O32" s="32">
        <f t="shared" ref="O32:P32" si="40">D32/7</f>
        <v>1.2857142857142858</v>
      </c>
      <c r="P32" s="32">
        <f t="shared" si="40"/>
        <v>0</v>
      </c>
      <c r="Q32" s="27">
        <f t="shared" si="8"/>
        <v>83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0.58904109589041098</v>
      </c>
      <c r="T32" s="40">
        <f ca="1">IFERROR(__xludf.DUMMYFUNCTION("IFERROR(VLOOKUP($B$2,IMPORTRANGE(""https://docs.google.com/spreadsheets/d/1KiWZV1ko8G7lnRucBRBd29jj3Be6ltMfljMDqzOkQmI/edit#gid=1381463014"",""Lookup!A:D""),4,FALSE),"""")"),324)</f>
        <v>324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324 At Factory 50-75 days from Earliest Arrival")</f>
        <v>No Transit, But 324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8.0656249999999999E-2</v>
      </c>
      <c r="AD32" s="37">
        <f t="shared" si="12"/>
        <v>-1.0017506249999999</v>
      </c>
      <c r="AE32" s="42">
        <v>-4.95</v>
      </c>
      <c r="AF32" s="42">
        <v>-2.6579346484375002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1:33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1:33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Pink &amp; Gray, Textured - 28 x 17 Inch Plastic Computer Pad for Desk")</f>
        <v>Office Desk Mat, Pink &amp; Gray, Textured - 28 x 17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Info!B1:BJ5000""),2,FALSE),"""")"),"B07TBP4QDX")</f>
        <v>B07TBP4QDX</v>
      </c>
      <c r="B2" s="3" t="s">
        <v>470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8.950511351102941</v>
      </c>
      <c r="D3" s="5">
        <f>SUM(D4:D99767)</f>
        <v>151</v>
      </c>
      <c r="E3" s="5"/>
      <c r="F3" s="6">
        <f t="shared" ref="F3:G3" si="0">SUM(F4:F99767)</f>
        <v>1796.3600000000008</v>
      </c>
      <c r="G3" s="6">
        <f t="shared" si="0"/>
        <v>-29</v>
      </c>
      <c r="H3" s="7">
        <f t="shared" ref="H3:H32" si="1">G3/F3*-1</f>
        <v>1.6143757376027069E-2</v>
      </c>
      <c r="I3" s="8">
        <f t="shared" ref="I3:I32" si="2">J3/F3</f>
        <v>0.18886410294842829</v>
      </c>
      <c r="J3" s="6">
        <f>SUM(J4:J99767)</f>
        <v>339.26791997243879</v>
      </c>
      <c r="K3" s="6">
        <f t="shared" ref="K3:K32" si="3">J3/D3</f>
        <v>2.2468074170360186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4</v>
      </c>
      <c r="X3" s="7">
        <f>W3/D3</f>
        <v>2.6490066225165563E-2</v>
      </c>
      <c r="Y3" s="6"/>
      <c r="Z3" s="5"/>
      <c r="AA3" s="5"/>
      <c r="AB3" s="5"/>
      <c r="AC3" s="5"/>
      <c r="AD3" s="6">
        <f>SUM(AD4:AD99767)</f>
        <v>-19.452232676709148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Info!B2:BZ3000""),37,FALSE)),"""")*-1"),-2.6579346484375)</f>
        <v>-2.6579346484375002</v>
      </c>
      <c r="AG3" s="6">
        <f>SUM(AG4:AG99767)</f>
        <v>0</v>
      </c>
    </row>
    <row r="4" spans="1:33" x14ac:dyDescent="0.2">
      <c r="A4" s="1" t="s">
        <v>32</v>
      </c>
      <c r="B4" s="2" t="s">
        <v>53</v>
      </c>
      <c r="C4" s="14">
        <f t="shared" ref="C4:C32" si="4">IFERROR(F4/D4," - ")</f>
        <v>10.071052631578949</v>
      </c>
      <c r="D4" s="15">
        <v>19</v>
      </c>
      <c r="E4" s="15">
        <v>0</v>
      </c>
      <c r="F4" s="16">
        <v>191.35000000000002</v>
      </c>
      <c r="G4" s="16">
        <v>0</v>
      </c>
      <c r="H4" s="17">
        <f t="shared" si="1"/>
        <v>0</v>
      </c>
      <c r="I4" s="17">
        <f t="shared" si="2"/>
        <v>9.2300788654773494E-2</v>
      </c>
      <c r="J4" s="16">
        <f t="shared" ref="J4:J32" si="5">F4*0.85+G4+AF4*D4+D4*AE4+AG4+AD4</f>
        <v>17.66175590909091</v>
      </c>
      <c r="K4" s="16">
        <f t="shared" si="3"/>
        <v>0.92956610047846899</v>
      </c>
      <c r="L4" s="15">
        <v>110</v>
      </c>
      <c r="M4" s="18">
        <f t="shared" ref="M4:M32" si="6">IFERROR(D4/L4,"-")</f>
        <v>0.17272727272727273</v>
      </c>
      <c r="N4" s="15">
        <v>123</v>
      </c>
      <c r="O4" s="19">
        <f t="shared" ref="O4:P4" si="7">D4/7</f>
        <v>2.7142857142857144</v>
      </c>
      <c r="P4" s="19">
        <f t="shared" si="7"/>
        <v>0</v>
      </c>
      <c r="Q4" s="15">
        <f t="shared" ref="Q4:Q32" si="8">ROUNDDOWN(N4/(O4+P4),0)</f>
        <v>45</v>
      </c>
      <c r="R4" s="15"/>
      <c r="S4" s="20">
        <v>0.68196721311475395</v>
      </c>
      <c r="T4" s="2">
        <v>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9.3333333333333338E-2</v>
      </c>
      <c r="AD4" s="24">
        <f t="shared" ref="AD4:AD32" si="12">IFERROR(AB4*AC4*D4*2,0)</f>
        <v>-2.4472</v>
      </c>
      <c r="AE4" s="24">
        <v>-4.9000000000000004</v>
      </c>
      <c r="AF4" s="24">
        <v>-2.6020286363636367</v>
      </c>
      <c r="AG4" s="24">
        <v>0</v>
      </c>
    </row>
    <row r="5" spans="1:33" ht="15.75" customHeight="1" x14ac:dyDescent="0.2">
      <c r="A5" s="26" t="s">
        <v>35</v>
      </c>
      <c r="B5" s="2" t="s">
        <v>471</v>
      </c>
      <c r="C5" s="14">
        <f t="shared" si="4"/>
        <v>9.990000000000002</v>
      </c>
      <c r="D5" s="27">
        <v>23</v>
      </c>
      <c r="E5" s="27">
        <v>0</v>
      </c>
      <c r="F5" s="28">
        <v>229.77000000000004</v>
      </c>
      <c r="G5" s="28">
        <v>0</v>
      </c>
      <c r="H5" s="29">
        <f t="shared" si="1"/>
        <v>0</v>
      </c>
      <c r="I5" s="29">
        <f t="shared" si="2"/>
        <v>8.6138350032324507E-2</v>
      </c>
      <c r="J5" s="30">
        <f t="shared" si="5"/>
        <v>19.792008686927204</v>
      </c>
      <c r="K5" s="30">
        <f t="shared" si="3"/>
        <v>0.8605221168229219</v>
      </c>
      <c r="L5" s="27">
        <v>200</v>
      </c>
      <c r="M5" s="31">
        <f t="shared" si="6"/>
        <v>0.115</v>
      </c>
      <c r="N5" s="27">
        <v>95</v>
      </c>
      <c r="O5" s="32">
        <f t="shared" ref="O5:P5" si="13">D5/7</f>
        <v>3.2857142857142856</v>
      </c>
      <c r="P5" s="32">
        <f t="shared" si="13"/>
        <v>0</v>
      </c>
      <c r="Q5" s="27">
        <f t="shared" si="8"/>
        <v>28</v>
      </c>
      <c r="R5" s="27"/>
      <c r="S5" s="33">
        <v>1.0909090909090899</v>
      </c>
      <c r="T5" s="26">
        <v>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9.3441483198146005E-2</v>
      </c>
      <c r="AD5" s="37">
        <f t="shared" si="12"/>
        <v>-2.9658326767091538</v>
      </c>
      <c r="AE5" s="37">
        <v>-4.9000000000000004</v>
      </c>
      <c r="AF5" s="37">
        <v>-2.6020286363636367</v>
      </c>
      <c r="AG5" s="37">
        <v>0</v>
      </c>
    </row>
    <row r="6" spans="1:33" ht="15.75" customHeight="1" x14ac:dyDescent="0.2">
      <c r="A6" s="26" t="s">
        <v>38</v>
      </c>
      <c r="B6" s="2" t="s">
        <v>472</v>
      </c>
      <c r="C6" s="14">
        <f t="shared" si="4"/>
        <v>10.812307692307693</v>
      </c>
      <c r="D6" s="27">
        <v>13</v>
      </c>
      <c r="E6" s="27">
        <v>0</v>
      </c>
      <c r="F6" s="28">
        <v>140.56</v>
      </c>
      <c r="G6" s="28">
        <v>0</v>
      </c>
      <c r="H6" s="29">
        <f t="shared" si="1"/>
        <v>0</v>
      </c>
      <c r="I6" s="29">
        <f t="shared" si="2"/>
        <v>0.14424607091116057</v>
      </c>
      <c r="J6" s="30">
        <f t="shared" si="5"/>
        <v>20.275227727272728</v>
      </c>
      <c r="K6" s="30">
        <f t="shared" si="3"/>
        <v>1.5596329020979023</v>
      </c>
      <c r="L6" s="27">
        <v>183</v>
      </c>
      <c r="M6" s="31">
        <f t="shared" si="6"/>
        <v>7.1038251366120214E-2</v>
      </c>
      <c r="N6" s="27">
        <v>77</v>
      </c>
      <c r="O6" s="32">
        <f t="shared" ref="O6:P6" si="14">D6/7</f>
        <v>1.8571428571428572</v>
      </c>
      <c r="P6" s="32">
        <f t="shared" si="14"/>
        <v>0</v>
      </c>
      <c r="Q6" s="27">
        <f t="shared" si="8"/>
        <v>41</v>
      </c>
      <c r="R6" s="27"/>
      <c r="S6" s="33">
        <v>0.85403050108932399</v>
      </c>
      <c r="T6" s="26">
        <v>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9.3333333333333338E-2</v>
      </c>
      <c r="AD6" s="37">
        <f t="shared" si="12"/>
        <v>-1.6743999999999999</v>
      </c>
      <c r="AE6" s="37">
        <v>-4.9000000000000004</v>
      </c>
      <c r="AF6" s="37">
        <v>-2.6020286363636367</v>
      </c>
      <c r="AG6" s="37">
        <v>0</v>
      </c>
    </row>
    <row r="7" spans="1:33" ht="15.75" customHeight="1" x14ac:dyDescent="0.2">
      <c r="A7" s="26" t="s">
        <v>41</v>
      </c>
      <c r="B7" s="2" t="s">
        <v>473</v>
      </c>
      <c r="C7" s="14">
        <f t="shared" si="4"/>
        <v>11.21727272727273</v>
      </c>
      <c r="D7" s="27">
        <v>22</v>
      </c>
      <c r="E7" s="27">
        <v>0</v>
      </c>
      <c r="F7" s="28">
        <v>246.78000000000006</v>
      </c>
      <c r="G7" s="28">
        <v>0</v>
      </c>
      <c r="H7" s="29">
        <f t="shared" si="1"/>
        <v>0</v>
      </c>
      <c r="I7" s="29">
        <f t="shared" si="2"/>
        <v>0.1697251398006322</v>
      </c>
      <c r="J7" s="30">
        <f t="shared" si="5"/>
        <v>41.884770000000024</v>
      </c>
      <c r="K7" s="30">
        <f t="shared" si="3"/>
        <v>1.903853181818183</v>
      </c>
      <c r="L7" s="27">
        <v>133</v>
      </c>
      <c r="M7" s="31">
        <f t="shared" si="6"/>
        <v>0.16541353383458646</v>
      </c>
      <c r="N7" s="27">
        <v>55</v>
      </c>
      <c r="O7" s="32">
        <f t="shared" ref="O7:P7" si="15">D7/7</f>
        <v>3.1428571428571428</v>
      </c>
      <c r="P7" s="32">
        <f t="shared" si="15"/>
        <v>0</v>
      </c>
      <c r="Q7" s="27">
        <f t="shared" si="8"/>
        <v>17</v>
      </c>
      <c r="R7" s="27"/>
      <c r="S7" s="33">
        <v>1.17</v>
      </c>
      <c r="T7" s="26">
        <v>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9.3333333333333338E-2</v>
      </c>
      <c r="AD7" s="37">
        <f t="shared" si="12"/>
        <v>-2.8336000000000001</v>
      </c>
      <c r="AE7" s="37">
        <v>-4.9000000000000004</v>
      </c>
      <c r="AF7" s="37">
        <v>-2.6020286363636367</v>
      </c>
      <c r="AG7" s="37">
        <v>0</v>
      </c>
    </row>
    <row r="8" spans="1:33" ht="15.75" customHeight="1" x14ac:dyDescent="0.2">
      <c r="A8" s="26" t="s">
        <v>43</v>
      </c>
      <c r="B8" s="2" t="s">
        <v>53</v>
      </c>
      <c r="C8" s="14">
        <f t="shared" si="4"/>
        <v>13.239999999999998</v>
      </c>
      <c r="D8" s="27">
        <v>8</v>
      </c>
      <c r="E8" s="27">
        <v>0</v>
      </c>
      <c r="F8" s="28">
        <v>105.91999999999999</v>
      </c>
      <c r="G8" s="28">
        <v>0</v>
      </c>
      <c r="H8" s="29">
        <f t="shared" si="1"/>
        <v>0</v>
      </c>
      <c r="I8" s="29">
        <f t="shared" si="2"/>
        <v>0.2738066465256796</v>
      </c>
      <c r="J8" s="30">
        <f t="shared" si="5"/>
        <v>29.001599999999982</v>
      </c>
      <c r="K8" s="30">
        <f t="shared" si="3"/>
        <v>3.6251999999999978</v>
      </c>
      <c r="L8" s="27">
        <v>119</v>
      </c>
      <c r="M8" s="31">
        <f t="shared" si="6"/>
        <v>6.7226890756302518E-2</v>
      </c>
      <c r="N8" s="27">
        <v>48</v>
      </c>
      <c r="O8" s="32">
        <f t="shared" ref="O8:P8" si="16">D8/7</f>
        <v>1.1428571428571428</v>
      </c>
      <c r="P8" s="32">
        <f t="shared" si="16"/>
        <v>0</v>
      </c>
      <c r="Q8" s="27">
        <f t="shared" si="8"/>
        <v>42</v>
      </c>
      <c r="R8" s="27"/>
      <c r="S8" s="33">
        <v>1.4957507082152901</v>
      </c>
      <c r="T8" s="26">
        <v>0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9.3333333333333338E-2</v>
      </c>
      <c r="AD8" s="37">
        <f t="shared" si="12"/>
        <v>-1.0304</v>
      </c>
      <c r="AE8" s="37">
        <v>-4.9000000000000004</v>
      </c>
      <c r="AF8" s="37">
        <v>-2.6</v>
      </c>
      <c r="AG8" s="37">
        <v>0</v>
      </c>
    </row>
    <row r="9" spans="1:33" ht="15.75" customHeight="1" x14ac:dyDescent="0.2">
      <c r="A9" s="26" t="s">
        <v>45</v>
      </c>
      <c r="B9" s="2" t="s">
        <v>53</v>
      </c>
      <c r="C9" s="14">
        <f t="shared" si="4"/>
        <v>13.99</v>
      </c>
      <c r="D9" s="27">
        <v>6</v>
      </c>
      <c r="E9" s="27">
        <v>0</v>
      </c>
      <c r="F9" s="28">
        <v>83.94</v>
      </c>
      <c r="G9" s="28">
        <v>-0.02</v>
      </c>
      <c r="H9" s="29">
        <f t="shared" si="1"/>
        <v>2.3826542768644272E-4</v>
      </c>
      <c r="I9" s="29">
        <f t="shared" si="2"/>
        <v>0.29910426820022978</v>
      </c>
      <c r="J9" s="30">
        <f t="shared" si="5"/>
        <v>25.106812272727289</v>
      </c>
      <c r="K9" s="30">
        <f t="shared" si="3"/>
        <v>4.1844687121212152</v>
      </c>
      <c r="L9" s="27">
        <v>90</v>
      </c>
      <c r="M9" s="31">
        <f t="shared" si="6"/>
        <v>6.6666666666666666E-2</v>
      </c>
      <c r="N9" s="27">
        <v>42</v>
      </c>
      <c r="O9" s="32">
        <f t="shared" ref="O9:P9" si="17">D9/7</f>
        <v>0.8571428571428571</v>
      </c>
      <c r="P9" s="32">
        <f t="shared" si="17"/>
        <v>0</v>
      </c>
      <c r="Q9" s="27">
        <f t="shared" si="8"/>
        <v>49</v>
      </c>
      <c r="R9" s="27"/>
      <c r="S9" s="33">
        <v>1.7250000000000001</v>
      </c>
      <c r="T9" s="26">
        <v>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9.3333333333333338E-2</v>
      </c>
      <c r="AD9" s="37">
        <f t="shared" si="12"/>
        <v>-0.77279999999999993</v>
      </c>
      <c r="AE9" s="37">
        <v>-4.9000000000000004</v>
      </c>
      <c r="AF9" s="37">
        <v>-2.6748979545454499</v>
      </c>
      <c r="AG9" s="37">
        <v>0</v>
      </c>
    </row>
    <row r="10" spans="1:33" ht="15.75" customHeight="1" x14ac:dyDescent="0.2">
      <c r="A10" s="26" t="s">
        <v>48</v>
      </c>
      <c r="B10" s="26" t="s">
        <v>474</v>
      </c>
      <c r="C10" s="14">
        <f t="shared" si="4"/>
        <v>13.989999999999998</v>
      </c>
      <c r="D10" s="27">
        <v>9</v>
      </c>
      <c r="E10" s="27">
        <v>0</v>
      </c>
      <c r="F10" s="28">
        <v>125.90999999999998</v>
      </c>
      <c r="G10" s="28">
        <v>0</v>
      </c>
      <c r="H10" s="29">
        <f t="shared" si="1"/>
        <v>0</v>
      </c>
      <c r="I10" s="29">
        <f t="shared" si="2"/>
        <v>0.2993425336279163</v>
      </c>
      <c r="J10" s="30">
        <f t="shared" si="5"/>
        <v>37.690218409090939</v>
      </c>
      <c r="K10" s="30">
        <f t="shared" si="3"/>
        <v>4.187802045454549</v>
      </c>
      <c r="L10" s="27">
        <v>90</v>
      </c>
      <c r="M10" s="31">
        <f t="shared" si="6"/>
        <v>0.1</v>
      </c>
      <c r="N10" s="27">
        <v>33</v>
      </c>
      <c r="O10" s="32">
        <f t="shared" ref="O10:P10" si="18">D10/7</f>
        <v>1.2857142857142858</v>
      </c>
      <c r="P10" s="32">
        <f t="shared" si="18"/>
        <v>0</v>
      </c>
      <c r="Q10" s="27">
        <f t="shared" si="8"/>
        <v>25</v>
      </c>
      <c r="R10" s="27"/>
      <c r="S10" s="33">
        <v>1.1462925851703401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9.3333333333333338E-2</v>
      </c>
      <c r="AD10" s="37">
        <f t="shared" si="12"/>
        <v>-1.1592</v>
      </c>
      <c r="AE10" s="37">
        <v>-4.9000000000000004</v>
      </c>
      <c r="AF10" s="37">
        <v>-2.6748979545454499</v>
      </c>
      <c r="AG10" s="37">
        <v>0</v>
      </c>
    </row>
    <row r="11" spans="1:33" ht="15.75" customHeight="1" x14ac:dyDescent="0.2">
      <c r="A11" s="26" t="s">
        <v>50</v>
      </c>
      <c r="B11" s="2" t="s">
        <v>53</v>
      </c>
      <c r="C11" s="14">
        <f t="shared" si="4"/>
        <v>14.99</v>
      </c>
      <c r="D11" s="27">
        <v>5</v>
      </c>
      <c r="E11" s="27">
        <v>0</v>
      </c>
      <c r="F11" s="28">
        <v>74.95</v>
      </c>
      <c r="G11" s="28">
        <v>0</v>
      </c>
      <c r="H11" s="29">
        <f t="shared" si="1"/>
        <v>0</v>
      </c>
      <c r="I11" s="29">
        <f t="shared" si="2"/>
        <v>0.3360775213778886</v>
      </c>
      <c r="J11" s="30">
        <f t="shared" si="5"/>
        <v>25.189010227272753</v>
      </c>
      <c r="K11" s="30">
        <f t="shared" si="3"/>
        <v>5.0378020454545505</v>
      </c>
      <c r="L11" s="27">
        <v>79</v>
      </c>
      <c r="M11" s="31">
        <f t="shared" si="6"/>
        <v>6.3291139240506333E-2</v>
      </c>
      <c r="N11" s="27">
        <v>30</v>
      </c>
      <c r="O11" s="32">
        <f t="shared" ref="O11:P11" si="19">D11/7</f>
        <v>0.7142857142857143</v>
      </c>
      <c r="P11" s="32">
        <f t="shared" si="19"/>
        <v>0</v>
      </c>
      <c r="Q11" s="27">
        <f t="shared" si="8"/>
        <v>42</v>
      </c>
      <c r="R11" s="27"/>
      <c r="S11" s="33">
        <v>1.3302961275626399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9.3333333333333338E-2</v>
      </c>
      <c r="AD11" s="37">
        <f t="shared" si="12"/>
        <v>-0.64400000000000002</v>
      </c>
      <c r="AE11" s="37">
        <v>-4.9000000000000004</v>
      </c>
      <c r="AF11" s="37">
        <v>-2.6748979545454499</v>
      </c>
      <c r="AG11" s="37">
        <v>0</v>
      </c>
    </row>
    <row r="12" spans="1:33" ht="15.75" customHeight="1" x14ac:dyDescent="0.2">
      <c r="A12" s="26" t="s">
        <v>52</v>
      </c>
      <c r="B12" s="2" t="s">
        <v>53</v>
      </c>
      <c r="C12" s="14">
        <f t="shared" si="4"/>
        <v>14.99</v>
      </c>
      <c r="D12" s="27">
        <v>4</v>
      </c>
      <c r="E12" s="27">
        <v>0</v>
      </c>
      <c r="F12" s="28">
        <v>59.96</v>
      </c>
      <c r="G12" s="28">
        <v>0</v>
      </c>
      <c r="H12" s="29">
        <f t="shared" si="1"/>
        <v>0</v>
      </c>
      <c r="I12" s="29">
        <f t="shared" si="2"/>
        <v>0.33607752137788854</v>
      </c>
      <c r="J12" s="30">
        <f t="shared" si="5"/>
        <v>20.151208181818198</v>
      </c>
      <c r="K12" s="30">
        <f t="shared" si="3"/>
        <v>5.0378020454545496</v>
      </c>
      <c r="L12" s="27">
        <v>76</v>
      </c>
      <c r="M12" s="31">
        <f t="shared" si="6"/>
        <v>5.2631578947368418E-2</v>
      </c>
      <c r="N12" s="27">
        <v>25</v>
      </c>
      <c r="O12" s="32">
        <f t="shared" ref="O12:P12" si="20">D12/7</f>
        <v>0.5714285714285714</v>
      </c>
      <c r="P12" s="32">
        <f t="shared" si="20"/>
        <v>0</v>
      </c>
      <c r="Q12" s="27">
        <f t="shared" si="8"/>
        <v>43</v>
      </c>
      <c r="R12" s="27"/>
      <c r="S12" s="33">
        <v>1.56883116883116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9.3333333333333338E-2</v>
      </c>
      <c r="AD12" s="37">
        <f t="shared" si="12"/>
        <v>-0.51519999999999999</v>
      </c>
      <c r="AE12" s="37">
        <v>-4.9000000000000004</v>
      </c>
      <c r="AF12" s="37">
        <v>-2.6748979545454499</v>
      </c>
      <c r="AG12" s="37">
        <v>0</v>
      </c>
    </row>
    <row r="13" spans="1:33" ht="15.75" customHeight="1" x14ac:dyDescent="0.2">
      <c r="A13" s="26" t="s">
        <v>54</v>
      </c>
      <c r="B13" s="2" t="s">
        <v>53</v>
      </c>
      <c r="C13" s="14">
        <f t="shared" si="4"/>
        <v>14.989999999999998</v>
      </c>
      <c r="D13" s="27">
        <v>7</v>
      </c>
      <c r="E13" s="27">
        <v>0</v>
      </c>
      <c r="F13" s="30">
        <v>104.92999999999999</v>
      </c>
      <c r="G13" s="28">
        <v>0</v>
      </c>
      <c r="H13" s="29">
        <f t="shared" si="1"/>
        <v>0</v>
      </c>
      <c r="I13" s="29">
        <f t="shared" si="2"/>
        <v>0.33351899751349418</v>
      </c>
      <c r="J13" s="30">
        <f t="shared" si="5"/>
        <v>34.996148409090942</v>
      </c>
      <c r="K13" s="30">
        <f t="shared" si="3"/>
        <v>4.9994497727272771</v>
      </c>
      <c r="L13" s="27">
        <v>47</v>
      </c>
      <c r="M13" s="31">
        <f t="shared" si="6"/>
        <v>0.14893617021276595</v>
      </c>
      <c r="N13" s="27">
        <v>19</v>
      </c>
      <c r="O13" s="32">
        <f t="shared" ref="O13:P13" si="21">D13/7</f>
        <v>1</v>
      </c>
      <c r="P13" s="32">
        <f t="shared" si="21"/>
        <v>0</v>
      </c>
      <c r="Q13" s="27">
        <f t="shared" si="8"/>
        <v>19</v>
      </c>
      <c r="R13" s="27"/>
      <c r="S13" s="33">
        <v>1.6426666666666601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9.3333333333333338E-2</v>
      </c>
      <c r="AD13" s="37">
        <f t="shared" si="12"/>
        <v>-0.90159999999999996</v>
      </c>
      <c r="AE13" s="37">
        <v>-4.9000000000000004</v>
      </c>
      <c r="AF13" s="37">
        <v>-2.7132502272727201</v>
      </c>
      <c r="AG13" s="37">
        <v>0</v>
      </c>
    </row>
    <row r="14" spans="1:33" ht="15.75" customHeight="1" x14ac:dyDescent="0.2">
      <c r="A14" s="26" t="s">
        <v>56</v>
      </c>
      <c r="B14" s="2" t="s">
        <v>53</v>
      </c>
      <c r="C14" s="14">
        <f t="shared" si="4"/>
        <v>14.99</v>
      </c>
      <c r="D14" s="27">
        <v>4</v>
      </c>
      <c r="E14" s="27">
        <v>0</v>
      </c>
      <c r="F14" s="30">
        <v>59.96</v>
      </c>
      <c r="G14" s="28">
        <v>0</v>
      </c>
      <c r="H14" s="29">
        <f t="shared" si="1"/>
        <v>0</v>
      </c>
      <c r="I14" s="29">
        <f t="shared" si="2"/>
        <v>0.33351899751349429</v>
      </c>
      <c r="J14" s="30">
        <f t="shared" si="5"/>
        <v>19.997799090909119</v>
      </c>
      <c r="K14" s="30">
        <f t="shared" si="3"/>
        <v>4.9994497727272798</v>
      </c>
      <c r="L14" s="27">
        <v>54</v>
      </c>
      <c r="M14" s="31">
        <f t="shared" si="6"/>
        <v>7.407407407407407E-2</v>
      </c>
      <c r="N14" s="27">
        <v>14</v>
      </c>
      <c r="O14" s="32">
        <f t="shared" ref="O14:P14" si="22">D14/7</f>
        <v>0.5714285714285714</v>
      </c>
      <c r="P14" s="32">
        <f t="shared" si="22"/>
        <v>0</v>
      </c>
      <c r="Q14" s="27">
        <f t="shared" si="8"/>
        <v>24</v>
      </c>
      <c r="R14" s="27"/>
      <c r="S14" s="33">
        <v>1.9543973941368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9.3333333333333338E-2</v>
      </c>
      <c r="AD14" s="37">
        <f t="shared" si="12"/>
        <v>-0.51519999999999999</v>
      </c>
      <c r="AE14" s="37">
        <v>-4.9000000000000004</v>
      </c>
      <c r="AF14" s="37">
        <v>-2.7132502272727201</v>
      </c>
      <c r="AG14" s="37">
        <v>0</v>
      </c>
    </row>
    <row r="15" spans="1:33" ht="15.75" customHeight="1" x14ac:dyDescent="0.2">
      <c r="A15" s="26" t="s">
        <v>58</v>
      </c>
      <c r="B15" s="2" t="s">
        <v>53</v>
      </c>
      <c r="C15" s="14">
        <f t="shared" si="4"/>
        <v>14.99</v>
      </c>
      <c r="D15" s="27">
        <v>5</v>
      </c>
      <c r="E15" s="27">
        <v>0</v>
      </c>
      <c r="F15" s="30">
        <v>74.95</v>
      </c>
      <c r="G15" s="28">
        <v>0</v>
      </c>
      <c r="H15" s="29">
        <f t="shared" si="1"/>
        <v>0</v>
      </c>
      <c r="I15" s="29">
        <f t="shared" si="2"/>
        <v>0.3335189975134944</v>
      </c>
      <c r="J15" s="30">
        <f t="shared" si="5"/>
        <v>24.997248863636408</v>
      </c>
      <c r="K15" s="30">
        <f t="shared" si="3"/>
        <v>4.9994497727272815</v>
      </c>
      <c r="L15" s="27">
        <v>50</v>
      </c>
      <c r="M15" s="31">
        <f t="shared" si="6"/>
        <v>0.1</v>
      </c>
      <c r="N15" s="27">
        <v>10</v>
      </c>
      <c r="O15" s="32">
        <f t="shared" ref="O15:P15" si="23">D15/7</f>
        <v>0.7142857142857143</v>
      </c>
      <c r="P15" s="32">
        <f t="shared" si="23"/>
        <v>0</v>
      </c>
      <c r="Q15" s="27">
        <f t="shared" si="8"/>
        <v>14</v>
      </c>
      <c r="R15" s="27"/>
      <c r="S15" s="33">
        <v>2.09523809523809</v>
      </c>
      <c r="T15" s="26">
        <v>340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9.3333333333333338E-2</v>
      </c>
      <c r="AD15" s="37">
        <f t="shared" si="12"/>
        <v>-0.64400000000000002</v>
      </c>
      <c r="AE15" s="37">
        <v>-4.9000000000000004</v>
      </c>
      <c r="AF15" s="37">
        <v>-2.7132502272727201</v>
      </c>
      <c r="AG15" s="37">
        <v>0</v>
      </c>
    </row>
    <row r="16" spans="1:33" ht="15.75" customHeight="1" x14ac:dyDescent="0.2">
      <c r="A16" s="26" t="s">
        <v>60</v>
      </c>
      <c r="B16" s="2" t="s">
        <v>53</v>
      </c>
      <c r="C16" s="14">
        <f t="shared" si="4"/>
        <v>14.99</v>
      </c>
      <c r="D16" s="27">
        <v>2</v>
      </c>
      <c r="E16" s="27">
        <v>0</v>
      </c>
      <c r="F16" s="30">
        <v>29.98</v>
      </c>
      <c r="G16" s="28">
        <v>0</v>
      </c>
      <c r="H16" s="29">
        <f t="shared" si="1"/>
        <v>0</v>
      </c>
      <c r="I16" s="29">
        <f t="shared" si="2"/>
        <v>0.33351899751349429</v>
      </c>
      <c r="J16" s="30">
        <f t="shared" si="5"/>
        <v>9.9988995454545595</v>
      </c>
      <c r="K16" s="30">
        <f t="shared" si="3"/>
        <v>4.9994497727272798</v>
      </c>
      <c r="L16" s="27">
        <v>72</v>
      </c>
      <c r="M16" s="31">
        <f t="shared" si="6"/>
        <v>2.7777777777777776E-2</v>
      </c>
      <c r="N16" s="27">
        <v>8</v>
      </c>
      <c r="O16" s="32">
        <f t="shared" ref="O16:P16" si="24">D16/7</f>
        <v>0.2857142857142857</v>
      </c>
      <c r="P16" s="32">
        <f t="shared" si="24"/>
        <v>0</v>
      </c>
      <c r="Q16" s="27">
        <f t="shared" si="8"/>
        <v>28</v>
      </c>
      <c r="R16" s="27"/>
      <c r="S16" s="33">
        <v>2.2707423580785999</v>
      </c>
      <c r="T16" s="26">
        <v>340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9.3333333333333338E-2</v>
      </c>
      <c r="AD16" s="37">
        <f t="shared" si="12"/>
        <v>-0.2576</v>
      </c>
      <c r="AE16" s="37">
        <v>-4.9000000000000004</v>
      </c>
      <c r="AF16" s="37">
        <v>-2.7132502272727201</v>
      </c>
      <c r="AG16" s="37">
        <v>0</v>
      </c>
    </row>
    <row r="17" spans="1:33" ht="15.75" customHeight="1" x14ac:dyDescent="0.2">
      <c r="A17" s="26" t="s">
        <v>61</v>
      </c>
      <c r="B17" s="2" t="s">
        <v>76</v>
      </c>
      <c r="C17" s="14">
        <f t="shared" si="4"/>
        <v>14.99</v>
      </c>
      <c r="D17" s="27">
        <v>4</v>
      </c>
      <c r="E17" s="27">
        <v>0</v>
      </c>
      <c r="F17" s="30">
        <v>59.96</v>
      </c>
      <c r="G17" s="28">
        <v>0</v>
      </c>
      <c r="H17" s="29">
        <f t="shared" si="1"/>
        <v>0</v>
      </c>
      <c r="I17" s="29">
        <f t="shared" si="2"/>
        <v>0.33351899751349429</v>
      </c>
      <c r="J17" s="30">
        <f t="shared" si="5"/>
        <v>19.997799090909119</v>
      </c>
      <c r="K17" s="30">
        <f t="shared" si="3"/>
        <v>4.9994497727272798</v>
      </c>
      <c r="L17" s="27">
        <v>55</v>
      </c>
      <c r="M17" s="31">
        <f t="shared" si="6"/>
        <v>7.2727272727272724E-2</v>
      </c>
      <c r="N17" s="27">
        <v>4</v>
      </c>
      <c r="O17" s="32">
        <f t="shared" ref="O17:P17" si="25">D17/7</f>
        <v>0.5714285714285714</v>
      </c>
      <c r="P17" s="32">
        <f t="shared" si="25"/>
        <v>0</v>
      </c>
      <c r="Q17" s="27">
        <f t="shared" si="8"/>
        <v>7</v>
      </c>
      <c r="R17" s="27"/>
      <c r="S17" s="33">
        <v>2.3919597989949701</v>
      </c>
      <c r="T17" s="26">
        <v>340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9.3333333333333338E-2</v>
      </c>
      <c r="AD17" s="37">
        <f t="shared" si="12"/>
        <v>-0.51519999999999999</v>
      </c>
      <c r="AE17" s="37">
        <v>-4.9000000000000004</v>
      </c>
      <c r="AF17" s="37">
        <v>-2.7132502272727201</v>
      </c>
      <c r="AG17" s="37">
        <v>0</v>
      </c>
    </row>
    <row r="18" spans="1:33" ht="15.75" customHeight="1" x14ac:dyDescent="0.2">
      <c r="A18" s="26" t="s">
        <v>62</v>
      </c>
      <c r="B18" s="26"/>
      <c r="C18" s="14">
        <f t="shared" si="4"/>
        <v>14.99</v>
      </c>
      <c r="D18" s="27">
        <v>4</v>
      </c>
      <c r="E18" s="27">
        <v>0</v>
      </c>
      <c r="F18" s="30">
        <v>59.96</v>
      </c>
      <c r="G18" s="28">
        <v>0</v>
      </c>
      <c r="H18" s="29">
        <f t="shared" si="1"/>
        <v>0</v>
      </c>
      <c r="I18" s="29">
        <f t="shared" si="2"/>
        <v>0.33351899751349429</v>
      </c>
      <c r="J18" s="30">
        <f t="shared" si="5"/>
        <v>19.997799090909119</v>
      </c>
      <c r="K18" s="30">
        <f t="shared" si="3"/>
        <v>4.9994497727272798</v>
      </c>
      <c r="L18" s="27">
        <v>16</v>
      </c>
      <c r="M18" s="31">
        <f t="shared" si="6"/>
        <v>0.25</v>
      </c>
      <c r="N18" s="27">
        <v>0</v>
      </c>
      <c r="O18" s="32">
        <f t="shared" ref="O18:P18" si="26">D18/7</f>
        <v>0.5714285714285714</v>
      </c>
      <c r="P18" s="32">
        <f t="shared" si="26"/>
        <v>0</v>
      </c>
      <c r="Q18" s="27">
        <f t="shared" si="8"/>
        <v>0</v>
      </c>
      <c r="R18" s="27"/>
      <c r="S18" s="33">
        <v>2.4968152866242002</v>
      </c>
      <c r="T18" s="26">
        <v>340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9.3333333333333338E-2</v>
      </c>
      <c r="AD18" s="37">
        <f t="shared" si="12"/>
        <v>-0.51519999999999999</v>
      </c>
      <c r="AE18" s="37">
        <v>-4.9000000000000004</v>
      </c>
      <c r="AF18" s="37">
        <v>-2.7132502272727201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340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9.3333333333333296E-2</v>
      </c>
      <c r="AD19" s="37">
        <f t="shared" si="12"/>
        <v>0</v>
      </c>
      <c r="AE19" s="37">
        <v>-4.9000000000000004</v>
      </c>
      <c r="AF19" s="37">
        <v>-2.7132502272727277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484</v>
      </c>
      <c r="U20" s="34">
        <v>144</v>
      </c>
      <c r="V20" s="35" t="s">
        <v>475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9.3333333333333296E-2</v>
      </c>
      <c r="AD20" s="37">
        <f t="shared" si="12"/>
        <v>0</v>
      </c>
      <c r="AE20" s="37">
        <v>-4.9000000000000004</v>
      </c>
      <c r="AF20" s="37">
        <v>-2.7132502272727277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9.3333333333333296E-2</v>
      </c>
      <c r="AD21" s="37">
        <f t="shared" si="12"/>
        <v>0</v>
      </c>
      <c r="AE21" s="37">
        <v>-4.9000000000000004</v>
      </c>
      <c r="AF21" s="37">
        <v>-2.7132502272727277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9.3333333333333296E-2</v>
      </c>
      <c r="AD22" s="37">
        <f t="shared" si="12"/>
        <v>0</v>
      </c>
      <c r="AE22" s="37">
        <v>-4.9000000000000004</v>
      </c>
      <c r="AF22" s="37">
        <v>-2.7132502272727277</v>
      </c>
      <c r="AG22" s="37">
        <v>0</v>
      </c>
    </row>
    <row r="23" spans="1:33" ht="15.75" customHeight="1" x14ac:dyDescent="0.2">
      <c r="A23" s="26" t="s">
        <v>68</v>
      </c>
      <c r="B23" s="1" t="s">
        <v>76</v>
      </c>
      <c r="C23" s="14">
        <f t="shared" si="4"/>
        <v>14.99</v>
      </c>
      <c r="D23" s="27">
        <v>1</v>
      </c>
      <c r="E23" s="27">
        <v>0</v>
      </c>
      <c r="F23" s="30">
        <v>14.99</v>
      </c>
      <c r="G23" s="28">
        <v>0</v>
      </c>
      <c r="H23" s="29">
        <f t="shared" si="1"/>
        <v>0</v>
      </c>
      <c r="I23" s="29">
        <f t="shared" si="2"/>
        <v>0.33351899751349384</v>
      </c>
      <c r="J23" s="30">
        <f t="shared" si="5"/>
        <v>4.9994497727272726</v>
      </c>
      <c r="K23" s="30">
        <f t="shared" si="3"/>
        <v>4.9994497727272726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0.14285714285714285</v>
      </c>
      <c r="P23" s="32">
        <f t="shared" si="31"/>
        <v>0</v>
      </c>
      <c r="Q23" s="27">
        <f t="shared" si="8"/>
        <v>0</v>
      </c>
      <c r="R23" s="27"/>
      <c r="S23" s="33" t="e">
        <v>#N/A</v>
      </c>
      <c r="T23" s="26">
        <v>484</v>
      </c>
      <c r="U23" s="34" t="s">
        <v>34</v>
      </c>
      <c r="V23" s="35" t="s">
        <v>476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9.3333333333333296E-2</v>
      </c>
      <c r="AD23" s="37">
        <f t="shared" si="12"/>
        <v>-0.12879999999999994</v>
      </c>
      <c r="AE23" s="37">
        <v>-4.9000000000000004</v>
      </c>
      <c r="AF23" s="37">
        <v>-2.7132502272727277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-2.1500000000000004</v>
      </c>
      <c r="H24" s="29" t="e">
        <f t="shared" si="1"/>
        <v>#DIV/0!</v>
      </c>
      <c r="I24" s="29" t="e">
        <f t="shared" si="2"/>
        <v>#DIV/0!</v>
      </c>
      <c r="J24" s="30">
        <f t="shared" si="5"/>
        <v>-2.1500000000000004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484</v>
      </c>
      <c r="U24" s="34" t="s">
        <v>34</v>
      </c>
      <c r="V24" s="35" t="s">
        <v>476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9.3333333333333338E-2</v>
      </c>
      <c r="AD24" s="37">
        <f t="shared" si="12"/>
        <v>0</v>
      </c>
      <c r="AE24" s="37">
        <v>-4.9000000000000004</v>
      </c>
      <c r="AF24" s="37">
        <v>-2.7132502272727277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-4.75</v>
      </c>
      <c r="H25" s="29" t="e">
        <f t="shared" si="1"/>
        <v>#DIV/0!</v>
      </c>
      <c r="I25" s="29" t="e">
        <f t="shared" si="2"/>
        <v>#DIV/0!</v>
      </c>
      <c r="J25" s="30">
        <f t="shared" si="5"/>
        <v>-4.75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484</v>
      </c>
      <c r="U25" s="34">
        <v>144</v>
      </c>
      <c r="V25" s="35" t="s">
        <v>477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9.3333333333333338E-2</v>
      </c>
      <c r="AD25" s="37">
        <f t="shared" si="12"/>
        <v>0</v>
      </c>
      <c r="AE25" s="42">
        <v>-4.9000000000000004</v>
      </c>
      <c r="AF25" s="42">
        <v>-2.71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484</v>
      </c>
      <c r="U26" s="34">
        <v>144</v>
      </c>
      <c r="V26" s="35" t="s">
        <v>477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9.3333333333333338E-2</v>
      </c>
      <c r="AD26" s="37">
        <f t="shared" si="12"/>
        <v>0</v>
      </c>
      <c r="AE26" s="42">
        <v>-4.9000000000000004</v>
      </c>
      <c r="AF26" s="42">
        <v>-2.7132502272727201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484</v>
      </c>
      <c r="U27" s="34">
        <v>144</v>
      </c>
      <c r="V27" s="35" t="s">
        <v>478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9.3333333333333338E-2</v>
      </c>
      <c r="AD27" s="37">
        <f t="shared" si="12"/>
        <v>0</v>
      </c>
      <c r="AE27" s="42">
        <v>-4.9000000000000004</v>
      </c>
      <c r="AF27" s="42">
        <v>-2.7132502272727201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-0.3</v>
      </c>
      <c r="H28" s="29" t="e">
        <f t="shared" si="1"/>
        <v>#DIV/0!</v>
      </c>
      <c r="I28" s="29" t="e">
        <f t="shared" si="2"/>
        <v>#DIV/0!</v>
      </c>
      <c r="J28" s="30">
        <f t="shared" si="5"/>
        <v>-0.3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144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0.30188679245283018</v>
      </c>
      <c r="T28" s="40" t="s">
        <v>34</v>
      </c>
      <c r="U28" s="22" t="s">
        <v>34</v>
      </c>
      <c r="V28" s="1" t="s">
        <v>479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9.3333333333333338E-2</v>
      </c>
      <c r="AD28" s="37">
        <f t="shared" si="12"/>
        <v>0</v>
      </c>
      <c r="AE28" s="42">
        <v>-4.95</v>
      </c>
      <c r="AF28" s="42">
        <v>-2.7132502272727201</v>
      </c>
      <c r="AG28" s="42">
        <v>0</v>
      </c>
    </row>
    <row r="29" spans="1:33" ht="15.75" customHeight="1" x14ac:dyDescent="0.2">
      <c r="A29" s="26" t="s">
        <v>82</v>
      </c>
      <c r="B29" s="26" t="s">
        <v>467</v>
      </c>
      <c r="C29" s="14">
        <f t="shared" si="4"/>
        <v>14.99</v>
      </c>
      <c r="D29" s="27">
        <v>1</v>
      </c>
      <c r="E29" s="27">
        <v>0</v>
      </c>
      <c r="F29" s="30">
        <v>14.99</v>
      </c>
      <c r="G29" s="30">
        <v>-1.44</v>
      </c>
      <c r="H29" s="29">
        <f t="shared" si="1"/>
        <v>9.6064042695130081E-2</v>
      </c>
      <c r="I29" s="29">
        <f t="shared" si="2"/>
        <v>0.23411939778033891</v>
      </c>
      <c r="J29" s="30">
        <f t="shared" si="5"/>
        <v>3.5094497727272804</v>
      </c>
      <c r="K29" s="30">
        <f t="shared" si="3"/>
        <v>3.5094497727272804</v>
      </c>
      <c r="L29" s="27">
        <v>63</v>
      </c>
      <c r="M29" s="31">
        <f t="shared" si="6"/>
        <v>1.5873015873015872E-2</v>
      </c>
      <c r="N29" s="15">
        <v>137</v>
      </c>
      <c r="O29" s="32">
        <f t="shared" ref="O29:P29" si="37">D29/7</f>
        <v>0.14285714285714285</v>
      </c>
      <c r="P29" s="32">
        <f t="shared" si="37"/>
        <v>0</v>
      </c>
      <c r="Q29" s="27">
        <f t="shared" si="8"/>
        <v>959</v>
      </c>
      <c r="R29" s="27"/>
      <c r="S29" s="41">
        <v>0.26845637583892618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1.44</v>
      </c>
      <c r="Z29" s="40">
        <v>1</v>
      </c>
      <c r="AA29" s="26" t="s">
        <v>37</v>
      </c>
      <c r="AB29" s="38">
        <f t="shared" si="11"/>
        <v>-0.69</v>
      </c>
      <c r="AC29" s="39">
        <v>9.3333333333333338E-2</v>
      </c>
      <c r="AD29" s="37">
        <f t="shared" si="12"/>
        <v>-0.1288</v>
      </c>
      <c r="AE29" s="37">
        <v>-4.95</v>
      </c>
      <c r="AF29" s="42">
        <v>-2.7132502272727201</v>
      </c>
      <c r="AG29" s="37">
        <v>0</v>
      </c>
    </row>
    <row r="30" spans="1:33" ht="15.75" customHeight="1" x14ac:dyDescent="0.2">
      <c r="A30" s="40" t="s">
        <v>84</v>
      </c>
      <c r="B30" s="40" t="s">
        <v>480</v>
      </c>
      <c r="C30" s="14">
        <f t="shared" si="4"/>
        <v>13.63</v>
      </c>
      <c r="D30" s="15">
        <v>1</v>
      </c>
      <c r="E30" s="15">
        <v>0</v>
      </c>
      <c r="F30" s="16">
        <v>13.63</v>
      </c>
      <c r="G30" s="16">
        <v>-1.19</v>
      </c>
      <c r="H30" s="29">
        <f t="shared" si="1"/>
        <v>8.7307410124724857E-2</v>
      </c>
      <c r="I30" s="29">
        <f t="shared" si="2"/>
        <v>0.1950671571212399</v>
      </c>
      <c r="J30" s="30">
        <f t="shared" si="5"/>
        <v>2.6587653515624998</v>
      </c>
      <c r="K30" s="30">
        <f t="shared" si="3"/>
        <v>2.6587653515624998</v>
      </c>
      <c r="L30" s="15">
        <v>46</v>
      </c>
      <c r="M30" s="31">
        <f t="shared" si="6"/>
        <v>2.1739130434782608E-2</v>
      </c>
      <c r="N30" s="15">
        <v>89</v>
      </c>
      <c r="O30" s="32">
        <f t="shared" ref="O30:P30" si="38">D30/7</f>
        <v>0.14285714285714285</v>
      </c>
      <c r="P30" s="32">
        <f t="shared" si="38"/>
        <v>0</v>
      </c>
      <c r="Q30" s="27">
        <f t="shared" si="8"/>
        <v>623</v>
      </c>
      <c r="R30" s="27"/>
      <c r="S30" s="41">
        <v>0.23703703703703699</v>
      </c>
      <c r="T30" s="26">
        <v>360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9.3333333333333338E-2</v>
      </c>
      <c r="AD30" s="37">
        <f t="shared" si="12"/>
        <v>-0.1288</v>
      </c>
      <c r="AE30" s="42">
        <v>-4.95</v>
      </c>
      <c r="AF30" s="42">
        <v>-2.6579346484375002</v>
      </c>
      <c r="AG30" s="42">
        <v>0</v>
      </c>
    </row>
    <row r="31" spans="1:33" ht="15.75" customHeight="1" x14ac:dyDescent="0.2">
      <c r="A31" s="40" t="s">
        <v>87</v>
      </c>
      <c r="B31" s="40" t="s">
        <v>46</v>
      </c>
      <c r="C31" s="14">
        <f t="shared" si="4"/>
        <v>7.9900000000000011</v>
      </c>
      <c r="D31" s="15">
        <v>6</v>
      </c>
      <c r="E31" s="15">
        <v>0</v>
      </c>
      <c r="F31" s="16">
        <v>47.940000000000005</v>
      </c>
      <c r="G31" s="43">
        <v>-5.14</v>
      </c>
      <c r="H31" s="29">
        <f t="shared" si="1"/>
        <v>0.10721735502711721</v>
      </c>
      <c r="I31" s="29">
        <f t="shared" si="2"/>
        <v>-0.2255195638428244</v>
      </c>
      <c r="J31" s="30">
        <f t="shared" si="5"/>
        <v>-10.811407890625002</v>
      </c>
      <c r="K31" s="30">
        <f t="shared" si="3"/>
        <v>-1.801901315104167</v>
      </c>
      <c r="L31" s="15">
        <v>68</v>
      </c>
      <c r="M31" s="31">
        <f t="shared" si="6"/>
        <v>8.8235294117647065E-2</v>
      </c>
      <c r="N31" s="15">
        <v>115</v>
      </c>
      <c r="O31" s="32">
        <f t="shared" ref="O31:P31" si="39">D31/7</f>
        <v>0.8571428571428571</v>
      </c>
      <c r="P31" s="32">
        <f t="shared" si="39"/>
        <v>0</v>
      </c>
      <c r="Q31" s="27">
        <f t="shared" si="8"/>
        <v>134</v>
      </c>
      <c r="R31" s="27"/>
      <c r="S31" s="41">
        <v>0.125</v>
      </c>
      <c r="T31" s="40">
        <v>360</v>
      </c>
      <c r="U31" s="22" t="s">
        <v>34</v>
      </c>
      <c r="V31" s="1" t="s">
        <v>481</v>
      </c>
      <c r="W31" s="40">
        <v>2</v>
      </c>
      <c r="X31" s="36">
        <f t="shared" si="9"/>
        <v>0.33333333333333331</v>
      </c>
      <c r="Y31" s="37">
        <f t="shared" si="10"/>
        <v>2.57</v>
      </c>
      <c r="Z31" s="40">
        <v>0</v>
      </c>
      <c r="AA31" s="40" t="s">
        <v>37</v>
      </c>
      <c r="AB31" s="38">
        <f t="shared" si="11"/>
        <v>-0.69</v>
      </c>
      <c r="AC31" s="44">
        <v>9.3333333333333338E-2</v>
      </c>
      <c r="AD31" s="37">
        <f t="shared" si="12"/>
        <v>-0.77279999999999993</v>
      </c>
      <c r="AE31" s="45">
        <v>-4.95</v>
      </c>
      <c r="AF31" s="45">
        <v>-2.6579346484375002</v>
      </c>
      <c r="AG31" s="42">
        <v>0</v>
      </c>
    </row>
    <row r="32" spans="1:33" ht="15.75" customHeight="1" x14ac:dyDescent="0.2">
      <c r="A32" s="40" t="s">
        <v>90</v>
      </c>
      <c r="B32" s="50" t="s">
        <v>482</v>
      </c>
      <c r="C32" s="14">
        <f t="shared" si="4"/>
        <v>7.99</v>
      </c>
      <c r="D32" s="15">
        <v>7</v>
      </c>
      <c r="E32" s="15">
        <v>0</v>
      </c>
      <c r="F32" s="16">
        <v>55.93</v>
      </c>
      <c r="G32" s="16">
        <v>-14.01</v>
      </c>
      <c r="H32" s="29">
        <f t="shared" si="1"/>
        <v>0.25049168603611655</v>
      </c>
      <c r="I32" s="29">
        <f t="shared" si="2"/>
        <v>-0.36879389485182362</v>
      </c>
      <c r="J32" s="30">
        <f t="shared" si="5"/>
        <v>-20.626642539062495</v>
      </c>
      <c r="K32" s="30">
        <f t="shared" si="3"/>
        <v>-2.9466632198660707</v>
      </c>
      <c r="L32" s="15">
        <v>74</v>
      </c>
      <c r="M32" s="31">
        <f t="shared" si="6"/>
        <v>9.45945945945946E-2</v>
      </c>
      <c r="N32" s="15">
        <v>106</v>
      </c>
      <c r="O32" s="32">
        <f t="shared" ref="O32:P32" si="40">D32/7</f>
        <v>1</v>
      </c>
      <c r="P32" s="32">
        <f t="shared" si="40"/>
        <v>0</v>
      </c>
      <c r="Q32" s="27">
        <f t="shared" si="8"/>
        <v>106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0.1395348837209302</v>
      </c>
      <c r="T32" s="40">
        <f ca="1">IFERROR(__xludf.DUMMYFUNCTION("IFERROR(VLOOKUP($B$2,IMPORTRANGE(""https://docs.google.com/spreadsheets/d/1KiWZV1ko8G7lnRucBRBd29jj3Be6ltMfljMDqzOkQmI/edit#gid=1381463014"",""Lookup!A:D""),4,FALSE),"""")"),360)</f>
        <v>360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360 At Factory 50-75 days from Earliest Arrival")</f>
        <v>No Transit, But 360 At Factory 50-75 days from Earliest Arrival</v>
      </c>
      <c r="W32" s="40">
        <v>2</v>
      </c>
      <c r="X32" s="36">
        <f t="shared" si="9"/>
        <v>0.2857142857142857</v>
      </c>
      <c r="Y32" s="37">
        <f t="shared" si="10"/>
        <v>2.802</v>
      </c>
      <c r="Z32" s="40">
        <v>3</v>
      </c>
      <c r="AA32" s="40" t="s">
        <v>37</v>
      </c>
      <c r="AB32" s="38">
        <f t="shared" si="11"/>
        <v>-0.69</v>
      </c>
      <c r="AC32" s="44">
        <v>9.3333333333333338E-2</v>
      </c>
      <c r="AD32" s="37">
        <f t="shared" si="12"/>
        <v>-0.90159999999999996</v>
      </c>
      <c r="AE32" s="42">
        <v>-4.95</v>
      </c>
      <c r="AF32" s="42">
        <v>-2.6579346484375002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1:33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1:33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21" customWidth="1"/>
    <col min="22" max="22" width="2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Info!B1:BJ5000""),3,FALSE),"""")"),"Felt Desk Pad, Black Heather - 36 x 17 Inch Office Computer Mat for Desk")</f>
        <v>Felt Desk Pad, Black Heather - 36 x 17 Inch Office Computer Mat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Info!B1:BJ5000""),2,FALSE),"""")"),"B088TW3XLP")</f>
        <v>B088TW3XLP</v>
      </c>
      <c r="B2" s="3" t="s">
        <v>483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7.25" customHeight="1" x14ac:dyDescent="0.2">
      <c r="A3" s="68" t="s">
        <v>31</v>
      </c>
      <c r="B3" s="69"/>
      <c r="C3" s="48">
        <f>((AE32+AF32)/0.85)*-1</f>
        <v>8.435802139037424</v>
      </c>
      <c r="D3" s="5">
        <f>SUM(D4:D99767)</f>
        <v>125</v>
      </c>
      <c r="E3" s="5"/>
      <c r="F3" s="6">
        <f t="shared" ref="F3:G3" si="0">SUM(F4:F99767)</f>
        <v>1345.5200000000004</v>
      </c>
      <c r="G3" s="6">
        <f t="shared" si="0"/>
        <v>-136.20000000000002</v>
      </c>
      <c r="H3" s="7">
        <f t="shared" ref="H3:H32" si="1">G3/F3*-1</f>
        <v>0.10122480527974313</v>
      </c>
      <c r="I3" s="8">
        <f t="shared" ref="I3:I32" si="2">J3/F3</f>
        <v>7.2779657817590757E-2</v>
      </c>
      <c r="J3" s="6">
        <f>SUM(J4:J99767)</f>
        <v>97.926485186724747</v>
      </c>
      <c r="K3" s="6">
        <f t="shared" ref="K3:K32" si="3">J3/D3</f>
        <v>0.78341188149379792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10</v>
      </c>
      <c r="X3" s="7">
        <f>W3/D3</f>
        <v>0.08</v>
      </c>
      <c r="Y3" s="6"/>
      <c r="Z3" s="5"/>
      <c r="AA3" s="5"/>
      <c r="AB3" s="5"/>
      <c r="AC3" s="5"/>
      <c r="AD3" s="6">
        <f>SUM(AD4:AD99767)</f>
        <v>-23.54501799918485</v>
      </c>
      <c r="AE3" s="4"/>
      <c r="AF3" s="6">
        <v>-3.53043181818181</v>
      </c>
      <c r="AG3" s="6">
        <f>SUM(AG4:AG99767)</f>
        <v>-15</v>
      </c>
    </row>
    <row r="4" spans="1:33" x14ac:dyDescent="0.2">
      <c r="A4" s="1" t="s">
        <v>32</v>
      </c>
      <c r="B4" s="1" t="s">
        <v>484</v>
      </c>
      <c r="C4" s="14">
        <f t="shared" ref="C4:C32" si="4">IFERROR(F4/D4," - ")</f>
        <v>11.989999999999998</v>
      </c>
      <c r="D4" s="15">
        <v>10</v>
      </c>
      <c r="E4" s="15">
        <v>0</v>
      </c>
      <c r="F4" s="16">
        <v>119.89999999999998</v>
      </c>
      <c r="G4" s="16">
        <v>0</v>
      </c>
      <c r="H4" s="17">
        <f t="shared" si="1"/>
        <v>0</v>
      </c>
      <c r="I4" s="17">
        <f t="shared" si="2"/>
        <v>0.26425756168861247</v>
      </c>
      <c r="J4" s="16">
        <f t="shared" ref="J4:J32" si="5">F4*0.85+G4+AF4*D4+D4*AE4+AG4+AD4</f>
        <v>31.684481646464629</v>
      </c>
      <c r="K4" s="16">
        <f t="shared" si="3"/>
        <v>3.1684481646464628</v>
      </c>
      <c r="L4" s="15">
        <v>24</v>
      </c>
      <c r="M4" s="18">
        <f t="shared" ref="M4:M32" si="6">IFERROR(D4/L4,"-")</f>
        <v>0.41666666666666669</v>
      </c>
      <c r="N4" s="15">
        <v>113</v>
      </c>
      <c r="O4" s="19">
        <f t="shared" ref="O4:P4" si="7">D4/7</f>
        <v>1.4285714285714286</v>
      </c>
      <c r="P4" s="19">
        <f t="shared" si="7"/>
        <v>0</v>
      </c>
      <c r="Q4" s="15">
        <f t="shared" ref="Q4:Q32" si="8">ROUNDDOWN(N4/(O4+P4),0)</f>
        <v>79</v>
      </c>
      <c r="R4" s="15"/>
      <c r="S4" s="20">
        <v>0.48627450980392101</v>
      </c>
      <c r="T4" s="2">
        <v>858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0.13484981481481484</v>
      </c>
      <c r="AD4" s="24">
        <f t="shared" ref="AD4:AD32" si="12">IFERROR(AB4*AC4*D4*2,0)</f>
        <v>-1.8609274444444446</v>
      </c>
      <c r="AE4" s="24">
        <v>-3.48</v>
      </c>
      <c r="AF4" s="24">
        <v>-3.3569590909090907</v>
      </c>
      <c r="AG4" s="24">
        <v>0</v>
      </c>
    </row>
    <row r="5" spans="1:33" ht="15.75" customHeight="1" x14ac:dyDescent="0.2">
      <c r="A5" s="26" t="s">
        <v>35</v>
      </c>
      <c r="B5" s="26" t="s">
        <v>485</v>
      </c>
      <c r="C5" s="14">
        <f t="shared" si="4"/>
        <v>11.99</v>
      </c>
      <c r="D5" s="27">
        <v>5</v>
      </c>
      <c r="E5" s="27">
        <v>0</v>
      </c>
      <c r="F5" s="28">
        <v>59.95</v>
      </c>
      <c r="G5" s="28">
        <v>0</v>
      </c>
      <c r="H5" s="29">
        <f t="shared" si="1"/>
        <v>0</v>
      </c>
      <c r="I5" s="29">
        <f t="shared" si="2"/>
        <v>0.26423957714331808</v>
      </c>
      <c r="J5" s="30">
        <f t="shared" si="5"/>
        <v>15.841162649741921</v>
      </c>
      <c r="K5" s="30">
        <f t="shared" si="3"/>
        <v>3.1682325299483844</v>
      </c>
      <c r="L5" s="27">
        <v>70</v>
      </c>
      <c r="M5" s="31">
        <f t="shared" si="6"/>
        <v>7.1428571428571425E-2</v>
      </c>
      <c r="N5" s="27">
        <v>109</v>
      </c>
      <c r="O5" s="32">
        <f t="shared" ref="O5:P5" si="13">D5/7</f>
        <v>0.7142857142857143</v>
      </c>
      <c r="P5" s="32">
        <f t="shared" si="13"/>
        <v>0</v>
      </c>
      <c r="Q5" s="27">
        <f t="shared" si="8"/>
        <v>152</v>
      </c>
      <c r="R5" s="27"/>
      <c r="S5" s="33">
        <v>0.65306122448979498</v>
      </c>
      <c r="T5" s="26">
        <v>858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0.13500607184241023</v>
      </c>
      <c r="AD5" s="37">
        <f t="shared" si="12"/>
        <v>-0.93154189571263046</v>
      </c>
      <c r="AE5" s="37">
        <v>-3.48</v>
      </c>
      <c r="AF5" s="37">
        <v>-3.3569590909090907</v>
      </c>
      <c r="AG5" s="37">
        <v>0</v>
      </c>
    </row>
    <row r="6" spans="1:33" ht="15.75" customHeight="1" x14ac:dyDescent="0.2">
      <c r="A6" s="26" t="s">
        <v>38</v>
      </c>
      <c r="B6" s="26" t="s">
        <v>485</v>
      </c>
      <c r="C6" s="14">
        <f t="shared" si="4"/>
        <v>11.989999999999998</v>
      </c>
      <c r="D6" s="27">
        <v>7</v>
      </c>
      <c r="E6" s="27">
        <v>0</v>
      </c>
      <c r="F6" s="28">
        <v>83.929999999999993</v>
      </c>
      <c r="G6" s="28">
        <v>0</v>
      </c>
      <c r="H6" s="29">
        <f t="shared" si="1"/>
        <v>0</v>
      </c>
      <c r="I6" s="29">
        <f t="shared" si="2"/>
        <v>0.26425756168861259</v>
      </c>
      <c r="J6" s="30">
        <f t="shared" si="5"/>
        <v>22.17913715252525</v>
      </c>
      <c r="K6" s="30">
        <f t="shared" si="3"/>
        <v>3.1684481646464642</v>
      </c>
      <c r="L6" s="27">
        <v>76</v>
      </c>
      <c r="M6" s="31">
        <f t="shared" si="6"/>
        <v>9.2105263157894732E-2</v>
      </c>
      <c r="N6" s="27">
        <v>104</v>
      </c>
      <c r="O6" s="32">
        <f t="shared" ref="O6:P6" si="14">D6/7</f>
        <v>1</v>
      </c>
      <c r="P6" s="32">
        <f t="shared" si="14"/>
        <v>0</v>
      </c>
      <c r="Q6" s="27">
        <f t="shared" si="8"/>
        <v>104</v>
      </c>
      <c r="R6" s="27"/>
      <c r="S6" s="33">
        <v>0.48453608247422603</v>
      </c>
      <c r="T6" s="26">
        <v>858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0.13484981481481484</v>
      </c>
      <c r="AD6" s="37">
        <f t="shared" si="12"/>
        <v>-1.3026492111111112</v>
      </c>
      <c r="AE6" s="37">
        <v>-3.48</v>
      </c>
      <c r="AF6" s="37">
        <v>-3.3569590909090907</v>
      </c>
      <c r="AG6" s="37">
        <v>0</v>
      </c>
    </row>
    <row r="7" spans="1:33" ht="15.75" customHeight="1" x14ac:dyDescent="0.2">
      <c r="A7" s="26" t="s">
        <v>41</v>
      </c>
      <c r="B7" s="26" t="s">
        <v>485</v>
      </c>
      <c r="C7" s="14">
        <f t="shared" si="4"/>
        <v>11.989999999999998</v>
      </c>
      <c r="D7" s="27">
        <v>8</v>
      </c>
      <c r="E7" s="27">
        <v>0</v>
      </c>
      <c r="F7" s="28">
        <v>95.919999999999987</v>
      </c>
      <c r="G7" s="28">
        <v>0</v>
      </c>
      <c r="H7" s="29">
        <f t="shared" si="1"/>
        <v>0</v>
      </c>
      <c r="I7" s="29">
        <f t="shared" si="2"/>
        <v>0.26425756168861242</v>
      </c>
      <c r="J7" s="30">
        <f t="shared" si="5"/>
        <v>25.347585317171699</v>
      </c>
      <c r="K7" s="30">
        <f t="shared" si="3"/>
        <v>3.1684481646464624</v>
      </c>
      <c r="L7" s="27">
        <v>109</v>
      </c>
      <c r="M7" s="31">
        <f t="shared" si="6"/>
        <v>7.3394495412844041E-2</v>
      </c>
      <c r="N7" s="27">
        <v>96</v>
      </c>
      <c r="O7" s="32">
        <f t="shared" ref="O7:P7" si="15">D7/7</f>
        <v>1.1428571428571428</v>
      </c>
      <c r="P7" s="32">
        <f t="shared" si="15"/>
        <v>0</v>
      </c>
      <c r="Q7" s="27">
        <f t="shared" si="8"/>
        <v>84</v>
      </c>
      <c r="R7" s="27"/>
      <c r="S7" s="33">
        <v>0.585365853658536</v>
      </c>
      <c r="T7" s="26">
        <v>858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0.13484981481481484</v>
      </c>
      <c r="AD7" s="37">
        <f t="shared" si="12"/>
        <v>-1.4887419555555557</v>
      </c>
      <c r="AE7" s="37">
        <v>-3.48</v>
      </c>
      <c r="AF7" s="37">
        <v>-3.3569590909090907</v>
      </c>
      <c r="AG7" s="37">
        <v>0</v>
      </c>
    </row>
    <row r="8" spans="1:33" ht="15.75" customHeight="1" x14ac:dyDescent="0.2">
      <c r="A8" s="26" t="s">
        <v>43</v>
      </c>
      <c r="B8" s="26" t="s">
        <v>486</v>
      </c>
      <c r="C8" s="14">
        <f t="shared" si="4"/>
        <v>11.99</v>
      </c>
      <c r="D8" s="27">
        <v>13</v>
      </c>
      <c r="E8" s="27">
        <v>0</v>
      </c>
      <c r="F8" s="28">
        <v>155.87</v>
      </c>
      <c r="G8" s="28">
        <v>0</v>
      </c>
      <c r="H8" s="29">
        <f t="shared" si="1"/>
        <v>0</v>
      </c>
      <c r="I8" s="29">
        <f t="shared" si="2"/>
        <v>0.26400394124733567</v>
      </c>
      <c r="J8" s="30">
        <f t="shared" si="5"/>
        <v>41.150294322222209</v>
      </c>
      <c r="K8" s="30">
        <f t="shared" si="3"/>
        <v>3.1654072555555546</v>
      </c>
      <c r="L8" s="27">
        <v>73</v>
      </c>
      <c r="M8" s="31">
        <f t="shared" si="6"/>
        <v>0.17808219178082191</v>
      </c>
      <c r="N8" s="27">
        <v>82</v>
      </c>
      <c r="O8" s="32">
        <f t="shared" ref="O8:P8" si="16">D8/7</f>
        <v>1.8571428571428572</v>
      </c>
      <c r="P8" s="32">
        <f t="shared" si="16"/>
        <v>0</v>
      </c>
      <c r="Q8" s="27">
        <f t="shared" si="8"/>
        <v>44</v>
      </c>
      <c r="R8" s="27"/>
      <c r="S8" s="33">
        <v>0.80938416422287296</v>
      </c>
      <c r="T8" s="26">
        <v>858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0.13484981481481484</v>
      </c>
      <c r="AD8" s="37">
        <f t="shared" si="12"/>
        <v>-2.4192056777777777</v>
      </c>
      <c r="AE8" s="37">
        <v>-3.48</v>
      </c>
      <c r="AF8" s="37">
        <v>-3.36</v>
      </c>
      <c r="AG8" s="37">
        <v>0</v>
      </c>
    </row>
    <row r="9" spans="1:33" ht="15.75" customHeight="1" x14ac:dyDescent="0.2">
      <c r="A9" s="26" t="s">
        <v>45</v>
      </c>
      <c r="B9" s="26" t="s">
        <v>487</v>
      </c>
      <c r="C9" s="14">
        <f t="shared" si="4"/>
        <v>11.99</v>
      </c>
      <c r="D9" s="27">
        <v>4</v>
      </c>
      <c r="E9" s="27">
        <v>0</v>
      </c>
      <c r="F9" s="28">
        <v>47.96</v>
      </c>
      <c r="G9" s="28">
        <v>0</v>
      </c>
      <c r="H9" s="29">
        <f t="shared" si="1"/>
        <v>0</v>
      </c>
      <c r="I9" s="29">
        <f t="shared" si="2"/>
        <v>0.25477845030791696</v>
      </c>
      <c r="J9" s="30">
        <f t="shared" si="5"/>
        <v>12.219174476767698</v>
      </c>
      <c r="K9" s="30">
        <f t="shared" si="3"/>
        <v>3.0547936191919245</v>
      </c>
      <c r="L9" s="27">
        <v>23</v>
      </c>
      <c r="M9" s="31">
        <f t="shared" si="6"/>
        <v>0.17391304347826086</v>
      </c>
      <c r="N9" s="27">
        <v>77</v>
      </c>
      <c r="O9" s="32">
        <f t="shared" ref="O9:P9" si="17">D9/7</f>
        <v>0.5714285714285714</v>
      </c>
      <c r="P9" s="32">
        <f t="shared" si="17"/>
        <v>0</v>
      </c>
      <c r="Q9" s="27">
        <f t="shared" si="8"/>
        <v>134</v>
      </c>
      <c r="R9" s="27"/>
      <c r="S9" s="33">
        <v>0.89846153846153798</v>
      </c>
      <c r="T9" s="26">
        <v>858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0.13484981481481484</v>
      </c>
      <c r="AD9" s="37">
        <f t="shared" si="12"/>
        <v>-0.74437097777777783</v>
      </c>
      <c r="AE9" s="37">
        <v>-3.48</v>
      </c>
      <c r="AF9" s="37">
        <v>-3.47061363636363</v>
      </c>
      <c r="AG9" s="37">
        <v>0</v>
      </c>
    </row>
    <row r="10" spans="1:33" ht="15.75" customHeight="1" x14ac:dyDescent="0.2">
      <c r="A10" s="26" t="s">
        <v>48</v>
      </c>
      <c r="B10" s="26" t="s">
        <v>487</v>
      </c>
      <c r="C10" s="14">
        <f t="shared" si="4"/>
        <v>12.215999999999999</v>
      </c>
      <c r="D10" s="27">
        <v>10</v>
      </c>
      <c r="E10" s="27">
        <v>0</v>
      </c>
      <c r="F10" s="28">
        <v>122.16</v>
      </c>
      <c r="G10" s="28">
        <v>0</v>
      </c>
      <c r="H10" s="29">
        <f t="shared" si="1"/>
        <v>0</v>
      </c>
      <c r="I10" s="29">
        <f t="shared" si="2"/>
        <v>0.2657902438762218</v>
      </c>
      <c r="J10" s="30">
        <f t="shared" si="5"/>
        <v>32.468936191919255</v>
      </c>
      <c r="K10" s="30">
        <f t="shared" si="3"/>
        <v>3.2468936191919253</v>
      </c>
      <c r="L10" s="27">
        <v>18</v>
      </c>
      <c r="M10" s="31">
        <f t="shared" si="6"/>
        <v>0.55555555555555558</v>
      </c>
      <c r="N10" s="27">
        <v>68</v>
      </c>
      <c r="O10" s="32">
        <f t="shared" ref="O10:P10" si="18">D10/7</f>
        <v>1.4285714285714286</v>
      </c>
      <c r="P10" s="32">
        <f t="shared" si="18"/>
        <v>0</v>
      </c>
      <c r="Q10" s="27">
        <f t="shared" si="8"/>
        <v>47</v>
      </c>
      <c r="R10" s="27"/>
      <c r="S10" s="33">
        <v>0.723311546840958</v>
      </c>
      <c r="T10" s="26">
        <v>858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0.13484981481481484</v>
      </c>
      <c r="AD10" s="37">
        <f t="shared" si="12"/>
        <v>-1.8609274444444446</v>
      </c>
      <c r="AE10" s="37">
        <v>-3.48</v>
      </c>
      <c r="AF10" s="37">
        <v>-3.47061363636363</v>
      </c>
      <c r="AG10" s="37">
        <v>0</v>
      </c>
    </row>
    <row r="11" spans="1:33" ht="15.75" customHeight="1" x14ac:dyDescent="0.2">
      <c r="A11" s="26" t="s">
        <v>50</v>
      </c>
      <c r="B11" s="26" t="s">
        <v>487</v>
      </c>
      <c r="C11" s="14">
        <f t="shared" si="4"/>
        <v>12.713333333333333</v>
      </c>
      <c r="D11" s="27">
        <v>3</v>
      </c>
      <c r="E11" s="27">
        <v>0</v>
      </c>
      <c r="F11" s="28">
        <v>38.14</v>
      </c>
      <c r="G11" s="28">
        <v>0</v>
      </c>
      <c r="H11" s="29">
        <f t="shared" si="1"/>
        <v>0</v>
      </c>
      <c r="I11" s="29">
        <f t="shared" si="2"/>
        <v>0.28864396585148855</v>
      </c>
      <c r="J11" s="30">
        <f t="shared" si="5"/>
        <v>11.008880857575774</v>
      </c>
      <c r="K11" s="30">
        <f t="shared" si="3"/>
        <v>3.6696269525252578</v>
      </c>
      <c r="L11" s="27">
        <v>16</v>
      </c>
      <c r="M11" s="31">
        <f t="shared" si="6"/>
        <v>0.1875</v>
      </c>
      <c r="N11" s="27">
        <v>64</v>
      </c>
      <c r="O11" s="32">
        <f t="shared" ref="O11:P11" si="19">D11/7</f>
        <v>0.42857142857142855</v>
      </c>
      <c r="P11" s="32">
        <f t="shared" si="19"/>
        <v>0</v>
      </c>
      <c r="Q11" s="27">
        <f t="shared" si="8"/>
        <v>149</v>
      </c>
      <c r="R11" s="27"/>
      <c r="S11" s="33">
        <v>0.76404494382022403</v>
      </c>
      <c r="T11" s="26">
        <v>858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0.13484981481481484</v>
      </c>
      <c r="AD11" s="37">
        <f t="shared" si="12"/>
        <v>-0.55827823333333337</v>
      </c>
      <c r="AE11" s="37">
        <v>-3.48</v>
      </c>
      <c r="AF11" s="37">
        <v>-3.47061363636363</v>
      </c>
      <c r="AG11" s="37">
        <v>0</v>
      </c>
    </row>
    <row r="12" spans="1:33" ht="15.75" customHeight="1" x14ac:dyDescent="0.2">
      <c r="A12" s="26" t="s">
        <v>52</v>
      </c>
      <c r="B12" s="26" t="s">
        <v>488</v>
      </c>
      <c r="C12" s="14">
        <f t="shared" si="4"/>
        <v>12.74</v>
      </c>
      <c r="D12" s="27">
        <v>2</v>
      </c>
      <c r="E12" s="27">
        <v>0</v>
      </c>
      <c r="F12" s="28">
        <v>25.48</v>
      </c>
      <c r="G12" s="28">
        <v>0</v>
      </c>
      <c r="H12" s="29">
        <f t="shared" si="1"/>
        <v>0</v>
      </c>
      <c r="I12" s="29">
        <f t="shared" si="2"/>
        <v>0.28981896539968016</v>
      </c>
      <c r="J12" s="30">
        <f t="shared" si="5"/>
        <v>7.3845872383838511</v>
      </c>
      <c r="K12" s="30">
        <f t="shared" si="3"/>
        <v>3.6922936191919256</v>
      </c>
      <c r="L12" s="27">
        <v>10</v>
      </c>
      <c r="M12" s="31">
        <f t="shared" si="6"/>
        <v>0.2</v>
      </c>
      <c r="N12" s="27">
        <v>62</v>
      </c>
      <c r="O12" s="32">
        <f t="shared" ref="O12:P12" si="20">D12/7</f>
        <v>0.2857142857142857</v>
      </c>
      <c r="P12" s="32">
        <f t="shared" si="20"/>
        <v>0</v>
      </c>
      <c r="Q12" s="27">
        <f t="shared" si="8"/>
        <v>217</v>
      </c>
      <c r="R12" s="27"/>
      <c r="S12" s="33">
        <v>0.79611650485436802</v>
      </c>
      <c r="T12" s="26">
        <v>858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0.13484981481481484</v>
      </c>
      <c r="AD12" s="37">
        <f t="shared" si="12"/>
        <v>-0.37218548888888892</v>
      </c>
      <c r="AE12" s="37">
        <v>-3.48</v>
      </c>
      <c r="AF12" s="37">
        <v>-3.47061363636363</v>
      </c>
      <c r="AG12" s="37">
        <v>0</v>
      </c>
    </row>
    <row r="13" spans="1:33" ht="15.75" customHeight="1" x14ac:dyDescent="0.2">
      <c r="A13" s="26" t="s">
        <v>54</v>
      </c>
      <c r="B13" s="26" t="s">
        <v>489</v>
      </c>
      <c r="C13" s="14">
        <f t="shared" si="4"/>
        <v>11.456666666666665</v>
      </c>
      <c r="D13" s="27">
        <v>3</v>
      </c>
      <c r="E13" s="27">
        <v>0</v>
      </c>
      <c r="F13" s="30">
        <v>34.369999999999997</v>
      </c>
      <c r="G13" s="28">
        <v>0</v>
      </c>
      <c r="H13" s="29">
        <f t="shared" si="1"/>
        <v>0</v>
      </c>
      <c r="I13" s="29">
        <f t="shared" si="2"/>
        <v>0.22184830701545644</v>
      </c>
      <c r="J13" s="30">
        <f t="shared" si="5"/>
        <v>7.6249263121212367</v>
      </c>
      <c r="K13" s="30">
        <f t="shared" si="3"/>
        <v>2.5416421040404122</v>
      </c>
      <c r="L13" s="27">
        <v>12</v>
      </c>
      <c r="M13" s="31">
        <f t="shared" si="6"/>
        <v>0.25</v>
      </c>
      <c r="N13" s="27">
        <v>59</v>
      </c>
      <c r="O13" s="32">
        <f t="shared" ref="O13:P13" si="21">D13/7</f>
        <v>0.42857142857142855</v>
      </c>
      <c r="P13" s="32">
        <f t="shared" si="21"/>
        <v>0</v>
      </c>
      <c r="Q13" s="27">
        <f t="shared" si="8"/>
        <v>137</v>
      </c>
      <c r="R13" s="27"/>
      <c r="S13" s="33">
        <v>0.78624078624078597</v>
      </c>
      <c r="T13" s="26">
        <v>858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0.13484981481481484</v>
      </c>
      <c r="AD13" s="37">
        <f t="shared" si="12"/>
        <v>-0.55827823333333337</v>
      </c>
      <c r="AE13" s="37">
        <v>-3.48</v>
      </c>
      <c r="AF13" s="37">
        <v>-3.53043181818181</v>
      </c>
      <c r="AG13" s="37">
        <v>0</v>
      </c>
    </row>
    <row r="14" spans="1:33" ht="15.75" customHeight="1" x14ac:dyDescent="0.2">
      <c r="A14" s="26" t="s">
        <v>56</v>
      </c>
      <c r="B14" s="26" t="s">
        <v>490</v>
      </c>
      <c r="C14" s="14">
        <f t="shared" si="4"/>
        <v>10.090000000000002</v>
      </c>
      <c r="D14" s="27">
        <v>3</v>
      </c>
      <c r="E14" s="27">
        <v>1</v>
      </c>
      <c r="F14" s="30">
        <v>30.270000000000003</v>
      </c>
      <c r="G14" s="28">
        <v>0</v>
      </c>
      <c r="H14" s="29">
        <f t="shared" si="1"/>
        <v>0</v>
      </c>
      <c r="I14" s="29">
        <f t="shared" si="2"/>
        <v>0.10373063469181495</v>
      </c>
      <c r="J14" s="30">
        <f t="shared" si="5"/>
        <v>3.1399263121212391</v>
      </c>
      <c r="K14" s="30">
        <f t="shared" si="3"/>
        <v>1.046642104040413</v>
      </c>
      <c r="L14" s="27">
        <v>22</v>
      </c>
      <c r="M14" s="31">
        <f t="shared" si="6"/>
        <v>0.13636363636363635</v>
      </c>
      <c r="N14" s="27">
        <v>56</v>
      </c>
      <c r="O14" s="32">
        <f t="shared" ref="O14:P14" si="22">D14/7</f>
        <v>0.42857142857142855</v>
      </c>
      <c r="P14" s="32">
        <f t="shared" si="22"/>
        <v>0.14285714285714285</v>
      </c>
      <c r="Q14" s="27">
        <f t="shared" si="8"/>
        <v>98</v>
      </c>
      <c r="R14" s="27"/>
      <c r="S14" s="33">
        <v>0.77595628415300499</v>
      </c>
      <c r="T14" s="26">
        <v>858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0.13484981481481484</v>
      </c>
      <c r="AD14" s="37">
        <f t="shared" si="12"/>
        <v>-0.55827823333333337</v>
      </c>
      <c r="AE14" s="37">
        <v>-3.48</v>
      </c>
      <c r="AF14" s="37">
        <v>-3.53043181818181</v>
      </c>
      <c r="AG14" s="37">
        <v>-1</v>
      </c>
    </row>
    <row r="15" spans="1:33" ht="15.75" customHeight="1" x14ac:dyDescent="0.2">
      <c r="A15" s="26" t="s">
        <v>58</v>
      </c>
      <c r="B15" s="26" t="s">
        <v>105</v>
      </c>
      <c r="C15" s="14">
        <f t="shared" si="4"/>
        <v>9.99</v>
      </c>
      <c r="D15" s="27">
        <v>5</v>
      </c>
      <c r="E15" s="27">
        <v>0</v>
      </c>
      <c r="F15" s="30">
        <v>49.95</v>
      </c>
      <c r="G15" s="28">
        <v>-58.46</v>
      </c>
      <c r="H15" s="29">
        <f t="shared" si="1"/>
        <v>1.1703703703703703</v>
      </c>
      <c r="I15" s="29">
        <f t="shared" si="2"/>
        <v>-1.0807832395021275</v>
      </c>
      <c r="J15" s="30">
        <f t="shared" si="5"/>
        <v>-53.985122813131269</v>
      </c>
      <c r="K15" s="30">
        <f t="shared" si="3"/>
        <v>-10.797024562626254</v>
      </c>
      <c r="L15" s="27">
        <v>54</v>
      </c>
      <c r="M15" s="31">
        <f t="shared" si="6"/>
        <v>9.2592592592592587E-2</v>
      </c>
      <c r="N15" s="27">
        <v>51</v>
      </c>
      <c r="O15" s="32">
        <f t="shared" ref="O15:P15" si="23">D15/7</f>
        <v>0.7142857142857143</v>
      </c>
      <c r="P15" s="32">
        <f t="shared" si="23"/>
        <v>0</v>
      </c>
      <c r="Q15" s="27">
        <f t="shared" si="8"/>
        <v>71</v>
      </c>
      <c r="R15" s="27"/>
      <c r="S15" s="33">
        <v>0.84813753581661799</v>
      </c>
      <c r="T15" s="26">
        <v>858</v>
      </c>
      <c r="U15" s="34" t="s">
        <v>34</v>
      </c>
      <c r="V15" s="35" t="s">
        <v>34</v>
      </c>
      <c r="W15" s="26">
        <v>3</v>
      </c>
      <c r="X15" s="36">
        <f t="shared" si="9"/>
        <v>0.6</v>
      </c>
      <c r="Y15" s="37">
        <f t="shared" si="10"/>
        <v>11.692</v>
      </c>
      <c r="Z15" s="26">
        <v>2</v>
      </c>
      <c r="AA15" s="26" t="s">
        <v>37</v>
      </c>
      <c r="AB15" s="38">
        <f t="shared" si="11"/>
        <v>-0.69</v>
      </c>
      <c r="AC15" s="39">
        <v>0.13484981481481484</v>
      </c>
      <c r="AD15" s="37">
        <f t="shared" si="12"/>
        <v>-0.93046372222222229</v>
      </c>
      <c r="AE15" s="37">
        <v>-3.48</v>
      </c>
      <c r="AF15" s="37">
        <v>-3.53043181818181</v>
      </c>
      <c r="AG15" s="37">
        <v>-2</v>
      </c>
    </row>
    <row r="16" spans="1:33" ht="15.75" customHeight="1" x14ac:dyDescent="0.2">
      <c r="A16" s="26" t="s">
        <v>60</v>
      </c>
      <c r="B16" s="26" t="s">
        <v>105</v>
      </c>
      <c r="C16" s="14">
        <f t="shared" si="4"/>
        <v>10.0075</v>
      </c>
      <c r="D16" s="27">
        <v>8</v>
      </c>
      <c r="E16" s="27">
        <v>1</v>
      </c>
      <c r="F16" s="30">
        <v>80.06</v>
      </c>
      <c r="G16" s="28">
        <v>-42.179999999999993</v>
      </c>
      <c r="H16" s="29">
        <f t="shared" si="1"/>
        <v>0.52685485885585803</v>
      </c>
      <c r="I16" s="29">
        <f t="shared" si="2"/>
        <v>-0.42094924432937825</v>
      </c>
      <c r="J16" s="30">
        <f t="shared" si="5"/>
        <v>-33.701196501010024</v>
      </c>
      <c r="K16" s="30">
        <f t="shared" si="3"/>
        <v>-4.212649562626253</v>
      </c>
      <c r="L16" s="27">
        <v>45</v>
      </c>
      <c r="M16" s="31">
        <f t="shared" si="6"/>
        <v>0.17777777777777778</v>
      </c>
      <c r="N16" s="27">
        <v>42</v>
      </c>
      <c r="O16" s="32">
        <f t="shared" ref="O16:P16" si="24">D16/7</f>
        <v>1.1428571428571428</v>
      </c>
      <c r="P16" s="32">
        <f t="shared" si="24"/>
        <v>0.14285714285714285</v>
      </c>
      <c r="Q16" s="27">
        <f t="shared" si="8"/>
        <v>32</v>
      </c>
      <c r="R16" s="27"/>
      <c r="S16" s="33">
        <v>0.99688473520249199</v>
      </c>
      <c r="T16" s="26">
        <v>858</v>
      </c>
      <c r="U16" s="34" t="s">
        <v>34</v>
      </c>
      <c r="V16" s="35" t="s">
        <v>34</v>
      </c>
      <c r="W16" s="26">
        <v>3</v>
      </c>
      <c r="X16" s="36">
        <f t="shared" si="9"/>
        <v>0.375</v>
      </c>
      <c r="Y16" s="37">
        <f t="shared" si="10"/>
        <v>14.059999999999997</v>
      </c>
      <c r="Z16" s="26">
        <v>0</v>
      </c>
      <c r="AA16" s="26" t="s">
        <v>37</v>
      </c>
      <c r="AB16" s="38">
        <f t="shared" si="11"/>
        <v>-0.69</v>
      </c>
      <c r="AC16" s="39">
        <v>0.13484981481481484</v>
      </c>
      <c r="AD16" s="37">
        <f t="shared" si="12"/>
        <v>-1.4887419555555557</v>
      </c>
      <c r="AE16" s="37">
        <v>-3.48</v>
      </c>
      <c r="AF16" s="37">
        <v>-3.53043181818181</v>
      </c>
      <c r="AG16" s="37">
        <v>-2</v>
      </c>
    </row>
    <row r="17" spans="1:33" ht="15.75" customHeight="1" x14ac:dyDescent="0.2">
      <c r="A17" s="26" t="s">
        <v>61</v>
      </c>
      <c r="B17" s="26" t="s">
        <v>491</v>
      </c>
      <c r="C17" s="14">
        <f t="shared" si="4"/>
        <v>9.99</v>
      </c>
      <c r="D17" s="27">
        <v>5</v>
      </c>
      <c r="E17" s="27">
        <v>0</v>
      </c>
      <c r="F17" s="30">
        <v>49.95</v>
      </c>
      <c r="G17" s="28">
        <v>-17.68</v>
      </c>
      <c r="H17" s="29">
        <f t="shared" si="1"/>
        <v>0.3539539539539539</v>
      </c>
      <c r="I17" s="29">
        <f t="shared" si="2"/>
        <v>-0.24434680306569101</v>
      </c>
      <c r="J17" s="30">
        <f t="shared" si="5"/>
        <v>-12.205122813131267</v>
      </c>
      <c r="K17" s="30">
        <f t="shared" si="3"/>
        <v>-2.4410245626262532</v>
      </c>
      <c r="L17" s="27">
        <v>31</v>
      </c>
      <c r="M17" s="31">
        <f t="shared" si="6"/>
        <v>0.16129032258064516</v>
      </c>
      <c r="N17" s="27">
        <v>38</v>
      </c>
      <c r="O17" s="32">
        <f t="shared" ref="O17:P17" si="25">D17/7</f>
        <v>0.7142857142857143</v>
      </c>
      <c r="P17" s="32">
        <f t="shared" si="25"/>
        <v>0</v>
      </c>
      <c r="Q17" s="27">
        <f t="shared" si="8"/>
        <v>53</v>
      </c>
      <c r="R17" s="27"/>
      <c r="S17" s="33">
        <v>1.01315789473684</v>
      </c>
      <c r="T17" s="26">
        <v>858</v>
      </c>
      <c r="U17" s="34" t="s">
        <v>34</v>
      </c>
      <c r="V17" s="35" t="s">
        <v>34</v>
      </c>
      <c r="W17" s="26">
        <v>2</v>
      </c>
      <c r="X17" s="36">
        <f t="shared" si="9"/>
        <v>0.4</v>
      </c>
      <c r="Y17" s="37">
        <f t="shared" si="10"/>
        <v>5.8933333333333335</v>
      </c>
      <c r="Z17" s="26">
        <v>1</v>
      </c>
      <c r="AA17" s="26" t="s">
        <v>37</v>
      </c>
      <c r="AB17" s="38">
        <f t="shared" si="11"/>
        <v>-0.69</v>
      </c>
      <c r="AC17" s="39">
        <v>0.13484981481481484</v>
      </c>
      <c r="AD17" s="37">
        <f t="shared" si="12"/>
        <v>-0.93046372222222229</v>
      </c>
      <c r="AE17" s="37">
        <v>-3.48</v>
      </c>
      <c r="AF17" s="37">
        <v>-3.53043181818181</v>
      </c>
      <c r="AG17" s="37">
        <v>-1</v>
      </c>
    </row>
    <row r="18" spans="1:33" ht="15.75" customHeight="1" x14ac:dyDescent="0.2">
      <c r="A18" s="26" t="s">
        <v>62</v>
      </c>
      <c r="B18" s="26" t="s">
        <v>492</v>
      </c>
      <c r="C18" s="14">
        <f t="shared" si="4"/>
        <v>9.99</v>
      </c>
      <c r="D18" s="27">
        <v>4</v>
      </c>
      <c r="E18" s="27">
        <v>0</v>
      </c>
      <c r="F18" s="30">
        <v>39.96</v>
      </c>
      <c r="G18" s="28">
        <v>0</v>
      </c>
      <c r="H18" s="29">
        <f t="shared" si="1"/>
        <v>0</v>
      </c>
      <c r="I18" s="29">
        <f t="shared" si="2"/>
        <v>0.10460214588325779</v>
      </c>
      <c r="J18" s="30">
        <f t="shared" si="5"/>
        <v>4.1799017494949817</v>
      </c>
      <c r="K18" s="30">
        <f t="shared" si="3"/>
        <v>1.0449754373737454</v>
      </c>
      <c r="L18" s="27">
        <v>18</v>
      </c>
      <c r="M18" s="31">
        <f t="shared" si="6"/>
        <v>0.22222222222222221</v>
      </c>
      <c r="N18" s="27">
        <v>33</v>
      </c>
      <c r="O18" s="32">
        <f t="shared" ref="O18:P18" si="26">D18/7</f>
        <v>0.5714285714285714</v>
      </c>
      <c r="P18" s="32">
        <f t="shared" si="26"/>
        <v>0</v>
      </c>
      <c r="Q18" s="27">
        <f t="shared" si="8"/>
        <v>57</v>
      </c>
      <c r="R18" s="27"/>
      <c r="S18" s="33">
        <v>1.0638297872340401</v>
      </c>
      <c r="T18" s="26">
        <v>858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0.13484981481481484</v>
      </c>
      <c r="AD18" s="37">
        <f t="shared" si="12"/>
        <v>-0.74437097777777783</v>
      </c>
      <c r="AE18" s="37">
        <v>-3.48</v>
      </c>
      <c r="AF18" s="37">
        <v>-3.53043181818181</v>
      </c>
      <c r="AG18" s="37">
        <v>-1</v>
      </c>
    </row>
    <row r="19" spans="1:33" ht="15.75" customHeight="1" x14ac:dyDescent="0.2">
      <c r="A19" s="26" t="s">
        <v>64</v>
      </c>
      <c r="B19" s="26" t="s">
        <v>492</v>
      </c>
      <c r="C19" s="14">
        <f t="shared" si="4"/>
        <v>9.99</v>
      </c>
      <c r="D19" s="27">
        <v>2</v>
      </c>
      <c r="E19" s="27">
        <v>0</v>
      </c>
      <c r="F19" s="30">
        <v>19.98</v>
      </c>
      <c r="G19" s="28">
        <v>0</v>
      </c>
      <c r="H19" s="29">
        <f t="shared" si="1"/>
        <v>0</v>
      </c>
      <c r="I19" s="29">
        <f t="shared" si="2"/>
        <v>7.9577120858231973E-2</v>
      </c>
      <c r="J19" s="30">
        <f t="shared" si="5"/>
        <v>1.5899508747474749</v>
      </c>
      <c r="K19" s="30">
        <f t="shared" si="3"/>
        <v>0.79497543737373744</v>
      </c>
      <c r="L19" s="27">
        <v>9</v>
      </c>
      <c r="M19" s="31">
        <f t="shared" si="6"/>
        <v>0.22222222222222221</v>
      </c>
      <c r="N19" s="27">
        <v>30</v>
      </c>
      <c r="O19" s="32">
        <f t="shared" ref="O19:P19" si="27">D19/7</f>
        <v>0.2857142857142857</v>
      </c>
      <c r="P19" s="32">
        <f t="shared" si="27"/>
        <v>0</v>
      </c>
      <c r="Q19" s="27">
        <f t="shared" si="8"/>
        <v>105</v>
      </c>
      <c r="R19" s="27"/>
      <c r="S19" s="33">
        <v>1.07462686567164</v>
      </c>
      <c r="T19" s="26">
        <v>858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0.13484981481481484</v>
      </c>
      <c r="AD19" s="37">
        <f t="shared" si="12"/>
        <v>-0.37218548888888892</v>
      </c>
      <c r="AE19" s="37">
        <v>-3.48</v>
      </c>
      <c r="AF19" s="37">
        <v>-3.5304318181818184</v>
      </c>
      <c r="AG19" s="37">
        <v>-1</v>
      </c>
    </row>
    <row r="20" spans="1:33" ht="15.75" customHeight="1" x14ac:dyDescent="0.2">
      <c r="A20" s="26" t="s">
        <v>65</v>
      </c>
      <c r="B20" s="26" t="s">
        <v>492</v>
      </c>
      <c r="C20" s="14">
        <f t="shared" si="4"/>
        <v>9.99</v>
      </c>
      <c r="D20" s="27">
        <v>3</v>
      </c>
      <c r="E20" s="27">
        <v>0</v>
      </c>
      <c r="F20" s="30">
        <v>29.97</v>
      </c>
      <c r="G20" s="28">
        <v>0</v>
      </c>
      <c r="H20" s="29">
        <f t="shared" si="1"/>
        <v>0</v>
      </c>
      <c r="I20" s="29">
        <f t="shared" si="2"/>
        <v>9.6260470874915252E-2</v>
      </c>
      <c r="J20" s="30">
        <f t="shared" si="5"/>
        <v>2.8849263121212099</v>
      </c>
      <c r="K20" s="30">
        <f t="shared" si="3"/>
        <v>0.96164210404040329</v>
      </c>
      <c r="L20" s="27">
        <v>13</v>
      </c>
      <c r="M20" s="31">
        <f t="shared" si="6"/>
        <v>0.23076923076923078</v>
      </c>
      <c r="N20" s="27">
        <v>28</v>
      </c>
      <c r="O20" s="32">
        <f t="shared" ref="O20:P20" si="28">D20/7</f>
        <v>0.42857142857142855</v>
      </c>
      <c r="P20" s="32">
        <f t="shared" si="28"/>
        <v>0</v>
      </c>
      <c r="Q20" s="27">
        <f t="shared" si="8"/>
        <v>65</v>
      </c>
      <c r="R20" s="27"/>
      <c r="S20" s="33">
        <v>1.05785123966942</v>
      </c>
      <c r="T20" s="26">
        <v>978</v>
      </c>
      <c r="U20" s="34">
        <v>120</v>
      </c>
      <c r="V20" s="35" t="s">
        <v>493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0.13484981481481484</v>
      </c>
      <c r="AD20" s="37">
        <f t="shared" si="12"/>
        <v>-0.55827823333333337</v>
      </c>
      <c r="AE20" s="37">
        <v>-3.48</v>
      </c>
      <c r="AF20" s="37">
        <v>-3.5304318181818184</v>
      </c>
      <c r="AG20" s="37">
        <v>-1</v>
      </c>
    </row>
    <row r="21" spans="1:33" ht="15.75" customHeight="1" x14ac:dyDescent="0.2">
      <c r="A21" s="26" t="s">
        <v>66</v>
      </c>
      <c r="B21" s="26" t="s">
        <v>492</v>
      </c>
      <c r="C21" s="14">
        <f t="shared" si="4"/>
        <v>9.99</v>
      </c>
      <c r="D21" s="27">
        <v>4</v>
      </c>
      <c r="E21" s="27">
        <v>0</v>
      </c>
      <c r="F21" s="30">
        <v>39.96</v>
      </c>
      <c r="G21" s="28">
        <v>0</v>
      </c>
      <c r="H21" s="29">
        <f t="shared" si="1"/>
        <v>0</v>
      </c>
      <c r="I21" s="29">
        <f t="shared" si="2"/>
        <v>0.104602145883257</v>
      </c>
      <c r="J21" s="30">
        <f t="shared" si="5"/>
        <v>4.1799017494949497</v>
      </c>
      <c r="K21" s="30">
        <f t="shared" si="3"/>
        <v>1.0449754373737374</v>
      </c>
      <c r="L21" s="27">
        <v>11</v>
      </c>
      <c r="M21" s="31">
        <f t="shared" si="6"/>
        <v>0.36363636363636365</v>
      </c>
      <c r="N21" s="27">
        <v>23</v>
      </c>
      <c r="O21" s="32">
        <f t="shared" ref="O21:P21" si="29">D21/7</f>
        <v>0.5714285714285714</v>
      </c>
      <c r="P21" s="32">
        <f t="shared" si="29"/>
        <v>0</v>
      </c>
      <c r="Q21" s="27">
        <f t="shared" si="8"/>
        <v>40</v>
      </c>
      <c r="R21" s="27"/>
      <c r="S21" s="33">
        <v>1.10280373831775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0.13484981481481484</v>
      </c>
      <c r="AD21" s="37">
        <f t="shared" si="12"/>
        <v>-0.74437097777777783</v>
      </c>
      <c r="AE21" s="37">
        <v>-3.48</v>
      </c>
      <c r="AF21" s="37">
        <v>-3.5304318181818184</v>
      </c>
      <c r="AG21" s="37">
        <v>-1</v>
      </c>
    </row>
    <row r="22" spans="1:33" ht="15.75" customHeight="1" x14ac:dyDescent="0.2">
      <c r="A22" s="26" t="s">
        <v>67</v>
      </c>
      <c r="B22" s="26" t="s">
        <v>492</v>
      </c>
      <c r="C22" s="14">
        <f t="shared" si="4"/>
        <v>9.99</v>
      </c>
      <c r="D22" s="27">
        <v>3</v>
      </c>
      <c r="E22" s="27">
        <v>0</v>
      </c>
      <c r="F22" s="28">
        <v>29.97</v>
      </c>
      <c r="G22" s="28">
        <v>0</v>
      </c>
      <c r="H22" s="29">
        <f t="shared" si="1"/>
        <v>0</v>
      </c>
      <c r="I22" s="29">
        <f t="shared" si="2"/>
        <v>0.12962717090828194</v>
      </c>
      <c r="J22" s="30">
        <f t="shared" si="5"/>
        <v>3.8849263121212099</v>
      </c>
      <c r="K22" s="30">
        <f t="shared" si="3"/>
        <v>1.2949754373737365</v>
      </c>
      <c r="L22" s="27">
        <v>14</v>
      </c>
      <c r="M22" s="31">
        <f t="shared" si="6"/>
        <v>0.21428571428571427</v>
      </c>
      <c r="N22" s="27">
        <v>20</v>
      </c>
      <c r="O22" s="32">
        <f t="shared" ref="O22:P22" si="30">D22/7</f>
        <v>0.42857142857142855</v>
      </c>
      <c r="P22" s="32">
        <f t="shared" si="30"/>
        <v>0</v>
      </c>
      <c r="Q22" s="27">
        <f t="shared" si="8"/>
        <v>46</v>
      </c>
      <c r="R22" s="27"/>
      <c r="S22" s="33">
        <v>1.08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0.13484981481481484</v>
      </c>
      <c r="AD22" s="37">
        <f t="shared" si="12"/>
        <v>-0.55827823333333337</v>
      </c>
      <c r="AE22" s="37">
        <v>-3.48</v>
      </c>
      <c r="AF22" s="37">
        <v>-3.5304318181818184</v>
      </c>
      <c r="AG22" s="37">
        <v>0</v>
      </c>
    </row>
    <row r="23" spans="1:33" ht="15.75" customHeight="1" x14ac:dyDescent="0.2">
      <c r="A23" s="26" t="s">
        <v>68</v>
      </c>
      <c r="B23" s="26" t="s">
        <v>494</v>
      </c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20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>
        <v>1.0607734806629801</v>
      </c>
      <c r="T23" s="26">
        <v>978</v>
      </c>
      <c r="U23" s="34" t="s">
        <v>34</v>
      </c>
      <c r="V23" s="35" t="s">
        <v>495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0.13484981481481484</v>
      </c>
      <c r="AD23" s="37">
        <f t="shared" si="12"/>
        <v>0</v>
      </c>
      <c r="AE23" s="37">
        <v>-3.48</v>
      </c>
      <c r="AF23" s="37">
        <v>-3.5304318181818184</v>
      </c>
      <c r="AG23" s="37">
        <v>0</v>
      </c>
    </row>
    <row r="24" spans="1:33" ht="15.75" customHeight="1" x14ac:dyDescent="0.2">
      <c r="A24" s="26" t="s">
        <v>71</v>
      </c>
      <c r="B24" s="26" t="s">
        <v>496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-4.6400000000000006</v>
      </c>
      <c r="H24" s="29" t="e">
        <f t="shared" si="1"/>
        <v>#DIV/0!</v>
      </c>
      <c r="I24" s="29" t="e">
        <f t="shared" si="2"/>
        <v>#DIV/0!</v>
      </c>
      <c r="J24" s="30">
        <f t="shared" si="5"/>
        <v>-4.6400000000000006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20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>
        <v>1.0526315789473599</v>
      </c>
      <c r="T24" s="26">
        <v>978</v>
      </c>
      <c r="U24" s="34" t="s">
        <v>34</v>
      </c>
      <c r="V24" s="35" t="s">
        <v>495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0.13484981481481484</v>
      </c>
      <c r="AD24" s="37">
        <f t="shared" si="12"/>
        <v>0</v>
      </c>
      <c r="AE24" s="37">
        <v>-3.48</v>
      </c>
      <c r="AF24" s="37">
        <v>-3.5304318181818184</v>
      </c>
      <c r="AG24" s="37">
        <v>0</v>
      </c>
    </row>
    <row r="25" spans="1:33" ht="15.75" customHeight="1" x14ac:dyDescent="0.2">
      <c r="A25" s="40" t="s">
        <v>73</v>
      </c>
      <c r="B25" s="40" t="s">
        <v>497</v>
      </c>
      <c r="C25" s="14">
        <f t="shared" si="4"/>
        <v>7.99</v>
      </c>
      <c r="D25" s="15">
        <v>2</v>
      </c>
      <c r="E25" s="15">
        <v>0</v>
      </c>
      <c r="F25" s="16">
        <v>15.98</v>
      </c>
      <c r="G25" s="16">
        <v>-3.26</v>
      </c>
      <c r="H25" s="29">
        <f t="shared" si="1"/>
        <v>0.20400500625782225</v>
      </c>
      <c r="I25" s="29">
        <f t="shared" si="2"/>
        <v>-0.31875703266235561</v>
      </c>
      <c r="J25" s="30">
        <f t="shared" si="5"/>
        <v>-5.0937373819444431</v>
      </c>
      <c r="K25" s="30">
        <f t="shared" si="3"/>
        <v>-2.5468686909722216</v>
      </c>
      <c r="L25" s="15">
        <v>12</v>
      </c>
      <c r="M25" s="31">
        <f t="shared" si="6"/>
        <v>0.16666666666666666</v>
      </c>
      <c r="N25" s="15">
        <v>18</v>
      </c>
      <c r="O25" s="32">
        <f t="shared" ref="O25:P25" si="33">D25/7</f>
        <v>0.2857142857142857</v>
      </c>
      <c r="P25" s="32">
        <f t="shared" si="33"/>
        <v>0</v>
      </c>
      <c r="Q25" s="27">
        <f t="shared" si="8"/>
        <v>63</v>
      </c>
      <c r="R25" s="27"/>
      <c r="S25" s="41">
        <v>1.1351351351351351</v>
      </c>
      <c r="T25" s="26">
        <v>978</v>
      </c>
      <c r="U25" s="34">
        <v>120</v>
      </c>
      <c r="V25" s="35" t="s">
        <v>498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0.14374542824074074</v>
      </c>
      <c r="AD25" s="37">
        <f t="shared" si="12"/>
        <v>-0.39673738194444441</v>
      </c>
      <c r="AE25" s="42">
        <v>-3.48</v>
      </c>
      <c r="AF25" s="42">
        <v>-3.53</v>
      </c>
      <c r="AG25" s="42">
        <v>-1</v>
      </c>
    </row>
    <row r="26" spans="1:33" ht="15.75" customHeight="1" x14ac:dyDescent="0.2">
      <c r="A26" s="40" t="s">
        <v>75</v>
      </c>
      <c r="B26" s="40" t="s">
        <v>499</v>
      </c>
      <c r="C26" s="14">
        <f t="shared" si="4"/>
        <v>7.99</v>
      </c>
      <c r="D26" s="15">
        <v>4</v>
      </c>
      <c r="E26" s="15">
        <v>0</v>
      </c>
      <c r="F26" s="16">
        <v>31.96</v>
      </c>
      <c r="G26" s="16">
        <v>-4.4899999999999993</v>
      </c>
      <c r="H26" s="29">
        <f t="shared" si="1"/>
        <v>0.14048811013767207</v>
      </c>
      <c r="I26" s="29">
        <f t="shared" si="2"/>
        <v>-0.21274098988160597</v>
      </c>
      <c r="J26" s="30">
        <f t="shared" si="5"/>
        <v>-6.7992020366161272</v>
      </c>
      <c r="K26" s="30">
        <f t="shared" si="3"/>
        <v>-1.6998005091540318</v>
      </c>
      <c r="L26" s="15">
        <v>10</v>
      </c>
      <c r="M26" s="31">
        <f t="shared" si="6"/>
        <v>0.4</v>
      </c>
      <c r="N26" s="15">
        <v>16</v>
      </c>
      <c r="O26" s="32">
        <f t="shared" ref="O26:P26" si="34">D26/7</f>
        <v>0.5714285714285714</v>
      </c>
      <c r="P26" s="32">
        <f t="shared" si="34"/>
        <v>0</v>
      </c>
      <c r="Q26" s="27">
        <f t="shared" si="8"/>
        <v>28</v>
      </c>
      <c r="R26" s="27"/>
      <c r="S26" s="41">
        <v>1.151079136690647</v>
      </c>
      <c r="T26" s="26">
        <v>978</v>
      </c>
      <c r="U26" s="34">
        <v>120</v>
      </c>
      <c r="V26" s="35" t="s">
        <v>498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0.14374542824074074</v>
      </c>
      <c r="AD26" s="37">
        <f t="shared" si="12"/>
        <v>-0.79347476388888882</v>
      </c>
      <c r="AE26" s="42">
        <v>-3.64</v>
      </c>
      <c r="AF26" s="42">
        <v>-3.53043181818181</v>
      </c>
      <c r="AG26" s="42">
        <v>0</v>
      </c>
    </row>
    <row r="27" spans="1:33" ht="15.75" customHeight="1" x14ac:dyDescent="0.2">
      <c r="A27" s="40" t="s">
        <v>77</v>
      </c>
      <c r="B27" s="40" t="s">
        <v>499</v>
      </c>
      <c r="C27" s="14">
        <f t="shared" si="4"/>
        <v>7.99</v>
      </c>
      <c r="D27" s="15">
        <v>4</v>
      </c>
      <c r="E27" s="15">
        <v>0</v>
      </c>
      <c r="F27" s="16">
        <v>31.96</v>
      </c>
      <c r="G27" s="16">
        <v>-2.3199999999999998</v>
      </c>
      <c r="H27" s="29">
        <f t="shared" si="1"/>
        <v>7.2590738423028781E-2</v>
      </c>
      <c r="I27" s="29">
        <f t="shared" si="2"/>
        <v>-0.27000006372390889</v>
      </c>
      <c r="J27" s="30">
        <f t="shared" si="5"/>
        <v>-8.6292020366161282</v>
      </c>
      <c r="K27" s="30">
        <f t="shared" si="3"/>
        <v>-2.157300509154032</v>
      </c>
      <c r="L27" s="15">
        <v>15</v>
      </c>
      <c r="M27" s="31">
        <f t="shared" si="6"/>
        <v>0.26666666666666666</v>
      </c>
      <c r="N27" s="15">
        <v>10</v>
      </c>
      <c r="O27" s="32">
        <f t="shared" ref="O27:P27" si="35">D27/7</f>
        <v>0.5714285714285714</v>
      </c>
      <c r="P27" s="32">
        <f t="shared" si="35"/>
        <v>0</v>
      </c>
      <c r="Q27" s="27">
        <f t="shared" si="8"/>
        <v>17</v>
      </c>
      <c r="R27" s="27"/>
      <c r="S27" s="41">
        <v>1.4876033057851239</v>
      </c>
      <c r="T27" s="26">
        <v>978</v>
      </c>
      <c r="U27" s="34">
        <v>120</v>
      </c>
      <c r="V27" s="35" t="s">
        <v>500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0.14374542824074074</v>
      </c>
      <c r="AD27" s="37">
        <f t="shared" si="12"/>
        <v>-0.79347476388888882</v>
      </c>
      <c r="AE27" s="42">
        <v>-3.64</v>
      </c>
      <c r="AF27" s="42">
        <v>-3.53043181818181</v>
      </c>
      <c r="AG27" s="42">
        <v>-4</v>
      </c>
    </row>
    <row r="28" spans="1:33" ht="15.75" customHeight="1" x14ac:dyDescent="0.2">
      <c r="A28" s="40" t="s">
        <v>79</v>
      </c>
      <c r="B28" s="40" t="s">
        <v>501</v>
      </c>
      <c r="C28" s="14">
        <f t="shared" si="4"/>
        <v>7.99</v>
      </c>
      <c r="D28" s="15">
        <v>7</v>
      </c>
      <c r="E28" s="15">
        <v>0</v>
      </c>
      <c r="F28" s="16">
        <v>55.93</v>
      </c>
      <c r="G28" s="16">
        <v>-0.89999999999999991</v>
      </c>
      <c r="H28" s="29">
        <f t="shared" si="1"/>
        <v>1.6091543000178794E-2</v>
      </c>
      <c r="I28" s="29">
        <f t="shared" si="2"/>
        <v>-8.834442274411268E-2</v>
      </c>
      <c r="J28" s="30">
        <f t="shared" si="5"/>
        <v>-4.9411035640782224</v>
      </c>
      <c r="K28" s="30">
        <f t="shared" si="3"/>
        <v>-0.70587193772546031</v>
      </c>
      <c r="L28" s="15">
        <v>12</v>
      </c>
      <c r="M28" s="31">
        <f t="shared" si="6"/>
        <v>0.58333333333333337</v>
      </c>
      <c r="N28" s="15">
        <v>127</v>
      </c>
      <c r="O28" s="32">
        <f t="shared" ref="O28:P28" si="36">D28/7</f>
        <v>1</v>
      </c>
      <c r="P28" s="32">
        <f t="shared" si="36"/>
        <v>0</v>
      </c>
      <c r="Q28" s="27">
        <f t="shared" si="8"/>
        <v>127</v>
      </c>
      <c r="R28" s="27"/>
      <c r="S28" s="41">
        <v>0.76521739130434785</v>
      </c>
      <c r="T28" s="40" t="s">
        <v>34</v>
      </c>
      <c r="U28" s="22" t="s">
        <v>34</v>
      </c>
      <c r="V28" s="1" t="s">
        <v>502</v>
      </c>
      <c r="W28" s="40">
        <v>1</v>
      </c>
      <c r="X28" s="36">
        <f t="shared" si="9"/>
        <v>0.14285714285714285</v>
      </c>
      <c r="Y28" s="37">
        <f t="shared" si="10"/>
        <v>0.89999999999999991</v>
      </c>
      <c r="Z28" s="40">
        <v>0</v>
      </c>
      <c r="AA28" s="26" t="s">
        <v>37</v>
      </c>
      <c r="AB28" s="38">
        <f t="shared" si="11"/>
        <v>-0.69</v>
      </c>
      <c r="AC28" s="39">
        <v>0.14374542824074074</v>
      </c>
      <c r="AD28" s="37">
        <f t="shared" si="12"/>
        <v>-1.3885808368055554</v>
      </c>
      <c r="AE28" s="42">
        <v>-3.64</v>
      </c>
      <c r="AF28" s="42">
        <v>-3.53043181818181</v>
      </c>
      <c r="AG28" s="42">
        <v>0</v>
      </c>
    </row>
    <row r="29" spans="1:33" ht="15.75" customHeight="1" x14ac:dyDescent="0.2">
      <c r="A29" s="26" t="s">
        <v>82</v>
      </c>
      <c r="B29" s="40" t="s">
        <v>501</v>
      </c>
      <c r="C29" s="14">
        <f t="shared" si="4"/>
        <v>7.99</v>
      </c>
      <c r="D29" s="27">
        <v>1</v>
      </c>
      <c r="E29" s="27">
        <v>0</v>
      </c>
      <c r="F29" s="30">
        <v>7.99</v>
      </c>
      <c r="G29" s="30">
        <v>-0.8899999999999999</v>
      </c>
      <c r="H29" s="29">
        <f t="shared" si="1"/>
        <v>0.11138923654568209</v>
      </c>
      <c r="I29" s="29">
        <f t="shared" si="2"/>
        <v>-0.18364211628961599</v>
      </c>
      <c r="J29" s="30">
        <f t="shared" si="5"/>
        <v>-1.4673005091540319</v>
      </c>
      <c r="K29" s="30">
        <f t="shared" si="3"/>
        <v>-1.4673005091540319</v>
      </c>
      <c r="L29" s="27">
        <v>17</v>
      </c>
      <c r="M29" s="31">
        <f t="shared" si="6"/>
        <v>5.8823529411764705E-2</v>
      </c>
      <c r="N29" s="15">
        <v>122</v>
      </c>
      <c r="O29" s="32">
        <f t="shared" ref="O29:P29" si="37">D29/7</f>
        <v>0.14285714285714285</v>
      </c>
      <c r="P29" s="32">
        <f t="shared" si="37"/>
        <v>0</v>
      </c>
      <c r="Q29" s="27">
        <f t="shared" si="8"/>
        <v>854</v>
      </c>
      <c r="R29" s="27"/>
      <c r="S29" s="41">
        <v>0.74641148325358853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0.14374542824074074</v>
      </c>
      <c r="AD29" s="37">
        <f t="shared" si="12"/>
        <v>-0.19836869097222221</v>
      </c>
      <c r="AE29" s="37">
        <v>-3.64</v>
      </c>
      <c r="AF29" s="42">
        <v>-3.53043181818181</v>
      </c>
      <c r="AG29" s="37">
        <v>0</v>
      </c>
    </row>
    <row r="30" spans="1:33" ht="15.75" customHeight="1" x14ac:dyDescent="0.2">
      <c r="A30" s="40" t="s">
        <v>84</v>
      </c>
      <c r="B30" s="40" t="s">
        <v>503</v>
      </c>
      <c r="C30" s="14">
        <f t="shared" si="4"/>
        <v>7.9899999999999993</v>
      </c>
      <c r="D30" s="15">
        <v>3</v>
      </c>
      <c r="E30" s="15">
        <v>0</v>
      </c>
      <c r="F30" s="16">
        <v>23.97</v>
      </c>
      <c r="G30" s="16">
        <v>0</v>
      </c>
      <c r="H30" s="29">
        <f t="shared" si="1"/>
        <v>0</v>
      </c>
      <c r="I30" s="29">
        <f t="shared" si="2"/>
        <v>-7.2252879743934018E-2</v>
      </c>
      <c r="J30" s="30">
        <f t="shared" si="5"/>
        <v>-1.7319015274620984</v>
      </c>
      <c r="K30" s="30">
        <f t="shared" si="3"/>
        <v>-0.57730050915403275</v>
      </c>
      <c r="L30" s="15">
        <v>14</v>
      </c>
      <c r="M30" s="31">
        <f t="shared" si="6"/>
        <v>0.21428571428571427</v>
      </c>
      <c r="N30" s="15">
        <v>119</v>
      </c>
      <c r="O30" s="32">
        <f t="shared" ref="O30:P30" si="38">D30/7</f>
        <v>0.42857142857142855</v>
      </c>
      <c r="P30" s="32">
        <f t="shared" si="38"/>
        <v>0</v>
      </c>
      <c r="Q30" s="27">
        <f t="shared" si="8"/>
        <v>277</v>
      </c>
      <c r="R30" s="27"/>
      <c r="S30" s="41">
        <v>0.76470588235294112</v>
      </c>
      <c r="T30" s="26">
        <v>750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0.14374542824074074</v>
      </c>
      <c r="AD30" s="37">
        <f t="shared" si="12"/>
        <v>-0.59510607291666662</v>
      </c>
      <c r="AE30" s="42">
        <v>-3.64</v>
      </c>
      <c r="AF30" s="42">
        <v>-3.53043181818181</v>
      </c>
      <c r="AG30" s="42">
        <v>0</v>
      </c>
    </row>
    <row r="31" spans="1:33" ht="15.75" customHeight="1" x14ac:dyDescent="0.2">
      <c r="A31" s="40" t="s">
        <v>87</v>
      </c>
      <c r="B31" s="40" t="s">
        <v>504</v>
      </c>
      <c r="C31" s="14">
        <f t="shared" si="4"/>
        <v>11.99</v>
      </c>
      <c r="D31" s="15">
        <v>1</v>
      </c>
      <c r="E31" s="15">
        <v>0</v>
      </c>
      <c r="F31" s="16">
        <v>11.99</v>
      </c>
      <c r="G31" s="43">
        <v>-1.08</v>
      </c>
      <c r="H31" s="29">
        <f t="shared" si="1"/>
        <v>9.0075062552126772E-2</v>
      </c>
      <c r="I31" s="29">
        <f t="shared" si="2"/>
        <v>0.15254173511491048</v>
      </c>
      <c r="J31" s="30">
        <f t="shared" si="5"/>
        <v>1.8289754040277766</v>
      </c>
      <c r="K31" s="30">
        <f t="shared" si="3"/>
        <v>1.8289754040277766</v>
      </c>
      <c r="L31" s="15">
        <v>15</v>
      </c>
      <c r="M31" s="31">
        <f t="shared" si="6"/>
        <v>6.6666666666666666E-2</v>
      </c>
      <c r="N31" s="15">
        <v>118</v>
      </c>
      <c r="O31" s="32">
        <f t="shared" ref="O31:P31" si="39">D31/7</f>
        <v>0.14285714285714285</v>
      </c>
      <c r="P31" s="32">
        <f t="shared" si="39"/>
        <v>0</v>
      </c>
      <c r="Q31" s="27">
        <f t="shared" si="8"/>
        <v>826</v>
      </c>
      <c r="R31" s="27"/>
      <c r="S31" s="41">
        <v>0.77837837837837798</v>
      </c>
      <c r="T31" s="40">
        <v>750</v>
      </c>
      <c r="U31" s="22" t="s">
        <v>34</v>
      </c>
      <c r="V31" s="1" t="s">
        <v>505</v>
      </c>
      <c r="W31" s="40">
        <v>1</v>
      </c>
      <c r="X31" s="36">
        <f t="shared" si="9"/>
        <v>1</v>
      </c>
      <c r="Y31" s="37">
        <f t="shared" si="10"/>
        <v>1.08</v>
      </c>
      <c r="Z31" s="40">
        <v>0</v>
      </c>
      <c r="AA31" s="40" t="s">
        <v>37</v>
      </c>
      <c r="AB31" s="38">
        <f t="shared" si="11"/>
        <v>-0.69</v>
      </c>
      <c r="AC31" s="44">
        <v>0.14374542824074074</v>
      </c>
      <c r="AD31" s="37">
        <f t="shared" si="12"/>
        <v>-0.19836869097222221</v>
      </c>
      <c r="AE31" s="45">
        <v>-3.64</v>
      </c>
      <c r="AF31" s="45">
        <v>-3.4441559050000001</v>
      </c>
      <c r="AG31" s="42">
        <v>0</v>
      </c>
    </row>
    <row r="32" spans="1:33" ht="15.75" customHeight="1" x14ac:dyDescent="0.2">
      <c r="A32" s="40" t="s">
        <v>90</v>
      </c>
      <c r="B32" s="50" t="s">
        <v>506</v>
      </c>
      <c r="C32" s="14">
        <f t="shared" si="4"/>
        <v>11.99</v>
      </c>
      <c r="D32" s="15">
        <v>1</v>
      </c>
      <c r="E32" s="15">
        <v>1</v>
      </c>
      <c r="F32" s="16">
        <v>11.99</v>
      </c>
      <c r="G32" s="16">
        <v>-0.3</v>
      </c>
      <c r="H32" s="29">
        <f t="shared" si="1"/>
        <v>2.5020850708924101E-2</v>
      </c>
      <c r="I32" s="29">
        <f t="shared" si="2"/>
        <v>0.21040029114645253</v>
      </c>
      <c r="J32" s="30">
        <f t="shared" si="5"/>
        <v>2.5226994908459659</v>
      </c>
      <c r="K32" s="30">
        <f t="shared" si="3"/>
        <v>2.5226994908459659</v>
      </c>
      <c r="L32" s="15">
        <v>13</v>
      </c>
      <c r="M32" s="31">
        <f t="shared" si="6"/>
        <v>7.6923076923076927E-2</v>
      </c>
      <c r="N32" s="15">
        <v>117</v>
      </c>
      <c r="O32" s="32">
        <f t="shared" ref="O32:P32" si="40">D32/7</f>
        <v>0.14285714285714285</v>
      </c>
      <c r="P32" s="32">
        <f t="shared" si="40"/>
        <v>0.14285714285714285</v>
      </c>
      <c r="Q32" s="27">
        <f t="shared" si="8"/>
        <v>409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0.45945945945945948</v>
      </c>
      <c r="T32" s="40">
        <f ca="1">IFERROR(__xludf.DUMMYFUNCTION("IFERROR(VLOOKUP($B$2,IMPORTRANGE(""https://docs.google.com/spreadsheets/d/1KiWZV1ko8G7lnRucBRBd29jj3Be6ltMfljMDqzOkQmI/edit#gid=1381463014"",""Lookup!A:D""),4,FALSE),"""")"),750)</f>
        <v>750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750 At Factory 50-75 days from Earliest Arrival")</f>
        <v>No Transit, But 750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0.14374542824074074</v>
      </c>
      <c r="AD32" s="37">
        <f t="shared" si="12"/>
        <v>-0.19836869097222221</v>
      </c>
      <c r="AE32" s="42">
        <v>-3.64</v>
      </c>
      <c r="AF32" s="42">
        <v>-3.53043181818181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Info!B1:BJ5000""),3,FALSE),"""")"),"Felt Desk Pad, Gray Heather - 36 x 17 Inch Office Computer Mat for Desk")</f>
        <v>Felt Desk Pad, Gray Heather - 36 x 17 Inch Office Computer Mat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Info!B1:BJ5000""),2,FALSE),"""")"),"B088TV5ML8")</f>
        <v>B088TV5ML8</v>
      </c>
      <c r="B2" s="3" t="s">
        <v>507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9.8754775352941184</v>
      </c>
      <c r="D3" s="5">
        <f>SUM(D4:D99767)</f>
        <v>92</v>
      </c>
      <c r="E3" s="5"/>
      <c r="F3" s="6">
        <f t="shared" ref="F3:G3" si="0">SUM(F4:F99767)</f>
        <v>1682.1500000000003</v>
      </c>
      <c r="G3" s="6">
        <f t="shared" si="0"/>
        <v>-44.18</v>
      </c>
      <c r="H3" s="7">
        <f t="shared" ref="H3:H32" si="1">G3/F3*-1</f>
        <v>2.6264007371518586E-2</v>
      </c>
      <c r="I3" s="8">
        <f t="shared" ref="I3:I32" si="2">J3/F3</f>
        <v>0.35752475030865521</v>
      </c>
      <c r="J3" s="6">
        <f>SUM(J4:J99767)</f>
        <v>601.41025873170452</v>
      </c>
      <c r="K3" s="6">
        <f t="shared" ref="K3:K32" si="3">J3/D3</f>
        <v>6.5370680296924402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5</v>
      </c>
      <c r="X3" s="7">
        <f>W3/D3</f>
        <v>5.434782608695652E-2</v>
      </c>
      <c r="Y3" s="6"/>
      <c r="Z3" s="5"/>
      <c r="AA3" s="5"/>
      <c r="AB3" s="5"/>
      <c r="AC3" s="5"/>
      <c r="AD3" s="6">
        <f>SUM(AD4:AD99767)</f>
        <v>-17.7812227014774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Info!B2:BZ3000""),37,FALSE)),"""")*-1"),-3.444155905)</f>
        <v>-3.4441559050000001</v>
      </c>
      <c r="AG3" s="6">
        <f>SUM(AG4:AG99767)</f>
        <v>-4</v>
      </c>
    </row>
    <row r="4" spans="1:33" x14ac:dyDescent="0.2">
      <c r="A4" s="1" t="s">
        <v>32</v>
      </c>
      <c r="B4" s="2" t="s">
        <v>508</v>
      </c>
      <c r="C4" s="14">
        <f t="shared" ref="C4:C32" si="4">IFERROR(F4/D4," - ")</f>
        <v>17.325714285714287</v>
      </c>
      <c r="D4" s="15">
        <v>14</v>
      </c>
      <c r="E4" s="15">
        <v>0</v>
      </c>
      <c r="F4" s="16">
        <v>242.56</v>
      </c>
      <c r="G4" s="16">
        <v>0</v>
      </c>
      <c r="H4" s="17">
        <f t="shared" si="1"/>
        <v>0</v>
      </c>
      <c r="I4" s="17">
        <f t="shared" si="2"/>
        <v>0.36227440495041519</v>
      </c>
      <c r="J4" s="16">
        <f t="shared" ref="J4:J32" si="5">F4*0.85+G4+AF4*D4+D4*AE4+AG4+AD4</f>
        <v>87.87327966477271</v>
      </c>
      <c r="K4" s="16">
        <f t="shared" si="3"/>
        <v>6.276662833198051</v>
      </c>
      <c r="L4" s="15">
        <v>77</v>
      </c>
      <c r="M4" s="18">
        <f t="shared" ref="M4:M32" si="6">IFERROR(D4/L4,"-")</f>
        <v>0.18181818181818182</v>
      </c>
      <c r="N4" s="15">
        <v>58</v>
      </c>
      <c r="O4" s="19">
        <f t="shared" ref="O4:P4" si="7">D4/7</f>
        <v>2</v>
      </c>
      <c r="P4" s="19">
        <f t="shared" si="7"/>
        <v>0</v>
      </c>
      <c r="Q4" s="15">
        <f t="shared" ref="Q4:Q32" si="8">ROUNDDOWN(N4/(O4+P4),0)</f>
        <v>29</v>
      </c>
      <c r="R4" s="15"/>
      <c r="S4" s="20">
        <v>1.79459459459459</v>
      </c>
      <c r="T4" s="2">
        <v>930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0.14002552083333331</v>
      </c>
      <c r="AD4" s="24">
        <f t="shared" ref="AD4:AD32" si="12">IFERROR(AB4*AC4*D4*2,0)</f>
        <v>-2.7052930624999991</v>
      </c>
      <c r="AE4" s="24">
        <v>-4.9000000000000004</v>
      </c>
      <c r="AF4" s="24">
        <v>-3.3569590909090907</v>
      </c>
      <c r="AG4" s="24">
        <v>0</v>
      </c>
    </row>
    <row r="5" spans="1:33" ht="15.75" customHeight="1" x14ac:dyDescent="0.2">
      <c r="A5" s="26" t="s">
        <v>35</v>
      </c>
      <c r="B5" s="26" t="s">
        <v>509</v>
      </c>
      <c r="C5" s="14">
        <f t="shared" si="4"/>
        <v>18.644375000000004</v>
      </c>
      <c r="D5" s="27">
        <v>16</v>
      </c>
      <c r="E5" s="27">
        <v>0</v>
      </c>
      <c r="F5" s="28">
        <v>298.31000000000006</v>
      </c>
      <c r="G5" s="28">
        <v>0</v>
      </c>
      <c r="H5" s="29">
        <f t="shared" si="1"/>
        <v>0</v>
      </c>
      <c r="I5" s="29">
        <f t="shared" si="2"/>
        <v>0.39675776363171589</v>
      </c>
      <c r="J5" s="30">
        <f t="shared" si="5"/>
        <v>118.35680846897719</v>
      </c>
      <c r="K5" s="30">
        <f t="shared" si="3"/>
        <v>7.3973005293110745</v>
      </c>
      <c r="L5" s="27">
        <v>134</v>
      </c>
      <c r="M5" s="31">
        <f t="shared" si="6"/>
        <v>0.11940298507462686</v>
      </c>
      <c r="N5" s="27">
        <v>43</v>
      </c>
      <c r="O5" s="32">
        <f t="shared" ref="O5:P5" si="13">D5/7</f>
        <v>2.2857142857142856</v>
      </c>
      <c r="P5" s="32">
        <f t="shared" si="13"/>
        <v>0</v>
      </c>
      <c r="Q5" s="27">
        <f t="shared" si="8"/>
        <v>18</v>
      </c>
      <c r="R5" s="27"/>
      <c r="S5" s="33">
        <v>2.9352517985611501</v>
      </c>
      <c r="T5" s="26">
        <v>930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0.14018777520278097</v>
      </c>
      <c r="AD5" s="37">
        <f t="shared" si="12"/>
        <v>-3.0953460764774037</v>
      </c>
      <c r="AE5" s="37">
        <v>-4.9000000000000004</v>
      </c>
      <c r="AF5" s="37">
        <v>-3.3569590909090907</v>
      </c>
      <c r="AG5" s="37">
        <v>0</v>
      </c>
    </row>
    <row r="6" spans="1:33" ht="15.75" customHeight="1" x14ac:dyDescent="0.2">
      <c r="A6" s="26" t="s">
        <v>38</v>
      </c>
      <c r="B6" s="26" t="s">
        <v>510</v>
      </c>
      <c r="C6" s="14">
        <f t="shared" si="4"/>
        <v>21.281333333333333</v>
      </c>
      <c r="D6" s="27">
        <v>15</v>
      </c>
      <c r="E6" s="27">
        <v>0</v>
      </c>
      <c r="F6" s="28">
        <v>319.21999999999997</v>
      </c>
      <c r="G6" s="28">
        <v>0</v>
      </c>
      <c r="H6" s="29">
        <f t="shared" si="1"/>
        <v>0</v>
      </c>
      <c r="I6" s="29">
        <f t="shared" si="2"/>
        <v>0.45292928185926207</v>
      </c>
      <c r="J6" s="30">
        <f t="shared" si="5"/>
        <v>144.58408535511361</v>
      </c>
      <c r="K6" s="30">
        <f t="shared" si="3"/>
        <v>9.6389390236742418</v>
      </c>
      <c r="L6" s="27">
        <v>168</v>
      </c>
      <c r="M6" s="31">
        <f t="shared" si="6"/>
        <v>8.9285714285714288E-2</v>
      </c>
      <c r="N6" s="27">
        <v>26</v>
      </c>
      <c r="O6" s="32">
        <f t="shared" ref="O6:P6" si="14">D6/7</f>
        <v>2.1428571428571428</v>
      </c>
      <c r="P6" s="32">
        <f t="shared" si="14"/>
        <v>0</v>
      </c>
      <c r="Q6" s="27">
        <f t="shared" si="8"/>
        <v>12</v>
      </c>
      <c r="R6" s="27"/>
      <c r="S6" s="33">
        <v>1.7894736842105201</v>
      </c>
      <c r="T6" s="26">
        <v>930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0.14002552083333331</v>
      </c>
      <c r="AD6" s="37">
        <f t="shared" si="12"/>
        <v>-2.8985282812499991</v>
      </c>
      <c r="AE6" s="37">
        <v>-4.9000000000000004</v>
      </c>
      <c r="AF6" s="37">
        <v>-3.3569590909090907</v>
      </c>
      <c r="AG6" s="37">
        <v>0</v>
      </c>
    </row>
    <row r="7" spans="1:33" ht="15.75" customHeight="1" x14ac:dyDescent="0.2">
      <c r="A7" s="26" t="s">
        <v>41</v>
      </c>
      <c r="B7" s="26" t="s">
        <v>511</v>
      </c>
      <c r="C7" s="14">
        <f t="shared" si="4"/>
        <v>21.315000000000001</v>
      </c>
      <c r="D7" s="27">
        <v>16</v>
      </c>
      <c r="E7" s="27">
        <v>0</v>
      </c>
      <c r="F7" s="28">
        <v>341.04</v>
      </c>
      <c r="G7" s="28">
        <v>0</v>
      </c>
      <c r="H7" s="29">
        <f t="shared" si="1"/>
        <v>0</v>
      </c>
      <c r="I7" s="29">
        <f t="shared" si="2"/>
        <v>0.4535564480572794</v>
      </c>
      <c r="J7" s="30">
        <f t="shared" si="5"/>
        <v>154.68089104545459</v>
      </c>
      <c r="K7" s="30">
        <f t="shared" si="3"/>
        <v>9.6675556903409117</v>
      </c>
      <c r="L7" s="27">
        <v>212</v>
      </c>
      <c r="M7" s="31">
        <f t="shared" si="6"/>
        <v>7.5471698113207544E-2</v>
      </c>
      <c r="N7" s="27">
        <v>12</v>
      </c>
      <c r="O7" s="32">
        <f t="shared" ref="O7:P7" si="15">D7/7</f>
        <v>2.2857142857142856</v>
      </c>
      <c r="P7" s="32">
        <f t="shared" si="15"/>
        <v>0</v>
      </c>
      <c r="Q7" s="27">
        <f t="shared" si="8"/>
        <v>5</v>
      </c>
      <c r="R7" s="27"/>
      <c r="S7" s="33">
        <v>2.2882096069868898</v>
      </c>
      <c r="T7" s="26">
        <v>930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0.14002552083333331</v>
      </c>
      <c r="AD7" s="37">
        <f t="shared" si="12"/>
        <v>-3.091763499999999</v>
      </c>
      <c r="AE7" s="37">
        <v>-4.9000000000000004</v>
      </c>
      <c r="AF7" s="37">
        <v>-3.3569590909090907</v>
      </c>
      <c r="AG7" s="37">
        <v>0</v>
      </c>
    </row>
    <row r="8" spans="1:33" ht="15.75" customHeight="1" x14ac:dyDescent="0.2">
      <c r="A8" s="26" t="s">
        <v>43</v>
      </c>
      <c r="B8" s="26" t="s">
        <v>461</v>
      </c>
      <c r="C8" s="14">
        <f t="shared" si="4"/>
        <v>22.934166666666666</v>
      </c>
      <c r="D8" s="27">
        <v>12</v>
      </c>
      <c r="E8" s="27">
        <v>0</v>
      </c>
      <c r="F8" s="28">
        <v>275.20999999999998</v>
      </c>
      <c r="G8" s="28">
        <v>0</v>
      </c>
      <c r="H8" s="29">
        <f t="shared" si="1"/>
        <v>0</v>
      </c>
      <c r="I8" s="29">
        <f t="shared" si="2"/>
        <v>0.48141302051160928</v>
      </c>
      <c r="J8" s="30">
        <f t="shared" si="5"/>
        <v>132.48967737499999</v>
      </c>
      <c r="K8" s="30">
        <f t="shared" si="3"/>
        <v>11.040806447916665</v>
      </c>
      <c r="L8" s="27">
        <v>137</v>
      </c>
      <c r="M8" s="31">
        <f t="shared" si="6"/>
        <v>8.7591240875912413E-2</v>
      </c>
      <c r="N8" s="27">
        <v>2</v>
      </c>
      <c r="O8" s="32">
        <f t="shared" ref="O8:P8" si="16">D8/7</f>
        <v>1.7142857142857142</v>
      </c>
      <c r="P8" s="32">
        <f t="shared" si="16"/>
        <v>0</v>
      </c>
      <c r="Q8" s="27">
        <f t="shared" si="8"/>
        <v>1</v>
      </c>
      <c r="R8" s="27"/>
      <c r="S8" s="33">
        <v>3.0625</v>
      </c>
      <c r="T8" s="26">
        <v>930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0.14002552083333331</v>
      </c>
      <c r="AD8" s="37">
        <f t="shared" si="12"/>
        <v>-2.3188226249999992</v>
      </c>
      <c r="AE8" s="37">
        <v>-4.9000000000000004</v>
      </c>
      <c r="AF8" s="37">
        <v>-3.36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930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-3.47061363636363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930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-3.47061363636363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930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-3.47061363636363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930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-3.47061363636363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930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-3.53043181818181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930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-3.53043181818181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930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-3.53043181818181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930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-3.53043181818181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930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e">
        <v>#N/A</v>
      </c>
      <c r="AB17" s="38" t="e">
        <f t="shared" si="11"/>
        <v>#N/A</v>
      </c>
      <c r="AC17" s="39" t="e">
        <v>#N/A</v>
      </c>
      <c r="AD17" s="37">
        <f t="shared" si="12"/>
        <v>0</v>
      </c>
      <c r="AE17" s="37">
        <v>0</v>
      </c>
      <c r="AF17" s="37">
        <v>-3.53043181818181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930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-3.53043181818181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930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e">
        <v>#N/A</v>
      </c>
      <c r="AB19" s="38" t="e">
        <f t="shared" si="11"/>
        <v>#N/A</v>
      </c>
      <c r="AC19" s="39" t="e">
        <v>#N/A</v>
      </c>
      <c r="AD19" s="37">
        <f t="shared" si="12"/>
        <v>0</v>
      </c>
      <c r="AE19" s="37">
        <v>0</v>
      </c>
      <c r="AF19" s="37">
        <v>-3.5304318181818184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1170</v>
      </c>
      <c r="U20" s="34">
        <v>240</v>
      </c>
      <c r="V20" s="35" t="s">
        <v>512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e">
        <v>#N/A</v>
      </c>
      <c r="AB20" s="38" t="e">
        <f t="shared" si="11"/>
        <v>#N/A</v>
      </c>
      <c r="AC20" s="39" t="e">
        <v>#N/A</v>
      </c>
      <c r="AD20" s="37">
        <f t="shared" si="12"/>
        <v>0</v>
      </c>
      <c r="AE20" s="37">
        <v>0</v>
      </c>
      <c r="AF20" s="37">
        <v>-3.5304318181818184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e">
        <v>#N/A</v>
      </c>
      <c r="AB21" s="38" t="e">
        <f t="shared" si="11"/>
        <v>#N/A</v>
      </c>
      <c r="AC21" s="39" t="e">
        <v>#N/A</v>
      </c>
      <c r="AD21" s="37">
        <f t="shared" si="12"/>
        <v>0</v>
      </c>
      <c r="AE21" s="37">
        <v>0</v>
      </c>
      <c r="AF21" s="37">
        <v>-3.5304318181818184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e">
        <v>#N/A</v>
      </c>
      <c r="AB22" s="38" t="e">
        <f t="shared" si="11"/>
        <v>#N/A</v>
      </c>
      <c r="AC22" s="39" t="e">
        <v>#N/A</v>
      </c>
      <c r="AD22" s="37">
        <f t="shared" si="12"/>
        <v>0</v>
      </c>
      <c r="AE22" s="37">
        <v>0</v>
      </c>
      <c r="AF22" s="37">
        <v>-3.5304318181818184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1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0.14285714285714285</v>
      </c>
      <c r="Q23" s="27">
        <f t="shared" si="8"/>
        <v>0</v>
      </c>
      <c r="R23" s="27"/>
      <c r="S23" s="33" t="e">
        <v>#N/A</v>
      </c>
      <c r="T23" s="26">
        <v>1170</v>
      </c>
      <c r="U23" s="34" t="s">
        <v>34</v>
      </c>
      <c r="V23" s="35" t="s">
        <v>513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e">
        <v>#N/A</v>
      </c>
      <c r="AB23" s="38" t="e">
        <f t="shared" si="11"/>
        <v>#N/A</v>
      </c>
      <c r="AC23" s="39" t="e">
        <v>#N/A</v>
      </c>
      <c r="AD23" s="37">
        <f t="shared" si="12"/>
        <v>0</v>
      </c>
      <c r="AE23" s="37">
        <v>0</v>
      </c>
      <c r="AF23" s="37">
        <v>-3.5304318181818184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1170</v>
      </c>
      <c r="U24" s="34" t="s">
        <v>34</v>
      </c>
      <c r="V24" s="35" t="s">
        <v>513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0.14002552083333331</v>
      </c>
      <c r="AD24" s="37">
        <f t="shared" si="12"/>
        <v>0</v>
      </c>
      <c r="AE24" s="37">
        <v>-4.9000000000000004</v>
      </c>
      <c r="AF24" s="37">
        <v>-3.5304318181818184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1170</v>
      </c>
      <c r="U25" s="34">
        <v>240</v>
      </c>
      <c r="V25" s="35" t="s">
        <v>514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0.14002552083333331</v>
      </c>
      <c r="AD25" s="37">
        <f t="shared" si="12"/>
        <v>0</v>
      </c>
      <c r="AE25" s="42">
        <v>-4.9000000000000004</v>
      </c>
      <c r="AF25" s="42">
        <v>-3.53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1170</v>
      </c>
      <c r="U26" s="34">
        <v>240</v>
      </c>
      <c r="V26" s="35" t="s">
        <v>514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0.14002552083333331</v>
      </c>
      <c r="AD26" s="37">
        <f t="shared" si="12"/>
        <v>0</v>
      </c>
      <c r="AE26" s="42">
        <v>-4.9000000000000004</v>
      </c>
      <c r="AF26" s="42">
        <v>-3.53043181818181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1170</v>
      </c>
      <c r="U27" s="34">
        <v>240</v>
      </c>
      <c r="V27" s="35" t="s">
        <v>515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0.14002552083333331</v>
      </c>
      <c r="AD27" s="37">
        <f t="shared" si="12"/>
        <v>0</v>
      </c>
      <c r="AE27" s="42">
        <v>-4.9000000000000004</v>
      </c>
      <c r="AF27" s="42">
        <v>-3.53043181818181</v>
      </c>
      <c r="AG27" s="42">
        <v>0</v>
      </c>
    </row>
    <row r="28" spans="1:33" ht="15.75" customHeight="1" x14ac:dyDescent="0.2">
      <c r="A28" s="40" t="s">
        <v>79</v>
      </c>
      <c r="B28" s="40" t="s">
        <v>516</v>
      </c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240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517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0.14002552083333331</v>
      </c>
      <c r="AD28" s="37">
        <f t="shared" si="12"/>
        <v>0</v>
      </c>
      <c r="AE28" s="42">
        <v>-4.95</v>
      </c>
      <c r="AF28" s="42">
        <v>-3.53043181818181</v>
      </c>
      <c r="AG28" s="42">
        <v>0</v>
      </c>
    </row>
    <row r="29" spans="1:33" ht="15.75" customHeight="1" x14ac:dyDescent="0.2">
      <c r="A29" s="26" t="s">
        <v>82</v>
      </c>
      <c r="B29" s="26" t="s">
        <v>105</v>
      </c>
      <c r="C29" s="14">
        <f t="shared" si="4"/>
        <v>9.99</v>
      </c>
      <c r="D29" s="27">
        <v>2</v>
      </c>
      <c r="E29" s="27">
        <v>0</v>
      </c>
      <c r="F29" s="30">
        <v>19.98</v>
      </c>
      <c r="G29" s="30">
        <v>-20.329999999999998</v>
      </c>
      <c r="H29" s="29">
        <f t="shared" si="1"/>
        <v>1.0175175175175175</v>
      </c>
      <c r="I29" s="29">
        <f t="shared" si="2"/>
        <v>-1.0357524561493305</v>
      </c>
      <c r="J29" s="30">
        <f t="shared" si="5"/>
        <v>-20.694334073863622</v>
      </c>
      <c r="K29" s="30">
        <f t="shared" si="3"/>
        <v>-10.347167036931811</v>
      </c>
      <c r="L29" s="27">
        <v>24</v>
      </c>
      <c r="M29" s="31">
        <f t="shared" si="6"/>
        <v>8.3333333333333329E-2</v>
      </c>
      <c r="N29" s="15">
        <v>240</v>
      </c>
      <c r="O29" s="32">
        <f t="shared" ref="O29:P29" si="37">D29/7</f>
        <v>0.2857142857142857</v>
      </c>
      <c r="P29" s="32">
        <f t="shared" si="37"/>
        <v>0</v>
      </c>
      <c r="Q29" s="27">
        <f t="shared" si="8"/>
        <v>840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2</v>
      </c>
      <c r="X29" s="36">
        <f t="shared" si="9"/>
        <v>1</v>
      </c>
      <c r="Y29" s="37">
        <f t="shared" si="10"/>
        <v>6.7766666666666664</v>
      </c>
      <c r="Z29" s="40">
        <v>1</v>
      </c>
      <c r="AA29" s="26" t="s">
        <v>37</v>
      </c>
      <c r="AB29" s="38">
        <f t="shared" si="11"/>
        <v>-0.69</v>
      </c>
      <c r="AC29" s="39">
        <v>0.14002552083333331</v>
      </c>
      <c r="AD29" s="37">
        <f t="shared" si="12"/>
        <v>-0.38647043749999987</v>
      </c>
      <c r="AE29" s="37">
        <v>-4.95</v>
      </c>
      <c r="AF29" s="42">
        <v>-3.53043181818181</v>
      </c>
      <c r="AG29" s="37">
        <v>0</v>
      </c>
    </row>
    <row r="30" spans="1:33" ht="15.75" customHeight="1" x14ac:dyDescent="0.2">
      <c r="A30" s="40" t="s">
        <v>84</v>
      </c>
      <c r="B30" s="40" t="s">
        <v>518</v>
      </c>
      <c r="C30" s="14">
        <f t="shared" si="4"/>
        <v>9.99</v>
      </c>
      <c r="D30" s="15">
        <v>7</v>
      </c>
      <c r="E30" s="15">
        <v>0</v>
      </c>
      <c r="F30" s="16">
        <v>69.930000000000007</v>
      </c>
      <c r="G30" s="16">
        <v>-17.89</v>
      </c>
      <c r="H30" s="29">
        <f t="shared" si="1"/>
        <v>0.2558272558272558</v>
      </c>
      <c r="I30" s="29">
        <f t="shared" si="2"/>
        <v>-0.2654259669133418</v>
      </c>
      <c r="J30" s="30">
        <f t="shared" si="5"/>
        <v>-18.561237866249993</v>
      </c>
      <c r="K30" s="30">
        <f t="shared" si="3"/>
        <v>-2.6516054094642847</v>
      </c>
      <c r="L30" s="15">
        <v>35</v>
      </c>
      <c r="M30" s="31">
        <f t="shared" si="6"/>
        <v>0.2</v>
      </c>
      <c r="N30" s="15">
        <v>220</v>
      </c>
      <c r="O30" s="32">
        <f t="shared" ref="O30:P30" si="38">D30/7</f>
        <v>1</v>
      </c>
      <c r="P30" s="32">
        <f t="shared" si="38"/>
        <v>0</v>
      </c>
      <c r="Q30" s="27">
        <f t="shared" si="8"/>
        <v>220</v>
      </c>
      <c r="R30" s="27"/>
      <c r="S30" s="41">
        <v>0.05</v>
      </c>
      <c r="T30" s="26">
        <v>630</v>
      </c>
      <c r="U30" s="34" t="s">
        <v>34</v>
      </c>
      <c r="V30" s="35" t="s">
        <v>34</v>
      </c>
      <c r="W30" s="40">
        <v>1</v>
      </c>
      <c r="X30" s="36">
        <f t="shared" si="9"/>
        <v>0.14285714285714285</v>
      </c>
      <c r="Y30" s="37">
        <f t="shared" si="10"/>
        <v>17.89</v>
      </c>
      <c r="Z30" s="40">
        <v>0</v>
      </c>
      <c r="AA30" s="26" t="s">
        <v>37</v>
      </c>
      <c r="AB30" s="38">
        <f t="shared" si="11"/>
        <v>-0.69</v>
      </c>
      <c r="AC30" s="39">
        <v>0.14002552083333331</v>
      </c>
      <c r="AD30" s="37">
        <f t="shared" si="12"/>
        <v>-1.3526465312499996</v>
      </c>
      <c r="AE30" s="42">
        <v>-4.95</v>
      </c>
      <c r="AF30" s="42">
        <v>-3.4441559050000001</v>
      </c>
      <c r="AG30" s="42">
        <v>0</v>
      </c>
    </row>
    <row r="31" spans="1:33" ht="15.75" customHeight="1" x14ac:dyDescent="0.2">
      <c r="A31" s="40" t="s">
        <v>87</v>
      </c>
      <c r="B31" s="40" t="s">
        <v>361</v>
      </c>
      <c r="C31" s="14">
        <f t="shared" si="4"/>
        <v>9.99</v>
      </c>
      <c r="D31" s="15">
        <v>6</v>
      </c>
      <c r="E31" s="15">
        <v>1</v>
      </c>
      <c r="F31" s="16">
        <v>59.94</v>
      </c>
      <c r="G31" s="43">
        <v>-2.8600000000000003</v>
      </c>
      <c r="H31" s="29">
        <f t="shared" si="1"/>
        <v>4.7714381047714388E-2</v>
      </c>
      <c r="I31" s="29">
        <f t="shared" si="2"/>
        <v>-5.7313092133800529E-2</v>
      </c>
      <c r="J31" s="30">
        <f t="shared" si="5"/>
        <v>-3.4353467425000037</v>
      </c>
      <c r="K31" s="30">
        <f t="shared" si="3"/>
        <v>-0.57255779041666732</v>
      </c>
      <c r="L31" s="15">
        <v>29</v>
      </c>
      <c r="M31" s="31">
        <f t="shared" si="6"/>
        <v>0.20689655172413793</v>
      </c>
      <c r="N31" s="15">
        <v>225</v>
      </c>
      <c r="O31" s="32">
        <f t="shared" ref="O31:P31" si="39">D31/7</f>
        <v>0.8571428571428571</v>
      </c>
      <c r="P31" s="32">
        <f t="shared" si="39"/>
        <v>0.14285714285714285</v>
      </c>
      <c r="Q31" s="27">
        <f t="shared" si="8"/>
        <v>225</v>
      </c>
      <c r="R31" s="27"/>
      <c r="S31" s="41">
        <v>0.244541484716157</v>
      </c>
      <c r="T31" s="40">
        <v>630</v>
      </c>
      <c r="U31" s="22" t="s">
        <v>34</v>
      </c>
      <c r="V31" s="1" t="s">
        <v>519</v>
      </c>
      <c r="W31" s="40">
        <v>1</v>
      </c>
      <c r="X31" s="36">
        <f t="shared" si="9"/>
        <v>0.16666666666666666</v>
      </c>
      <c r="Y31" s="37">
        <f t="shared" si="10"/>
        <v>2.8600000000000003</v>
      </c>
      <c r="Z31" s="40">
        <v>0</v>
      </c>
      <c r="AA31" s="40" t="s">
        <v>37</v>
      </c>
      <c r="AB31" s="38">
        <f t="shared" si="11"/>
        <v>-0.69</v>
      </c>
      <c r="AC31" s="44">
        <v>0.14002552083333331</v>
      </c>
      <c r="AD31" s="37">
        <f t="shared" si="12"/>
        <v>-1.1594113124999996</v>
      </c>
      <c r="AE31" s="45">
        <v>-4.95</v>
      </c>
      <c r="AF31" s="45">
        <v>-3.4441559050000001</v>
      </c>
      <c r="AG31" s="42">
        <v>0</v>
      </c>
    </row>
    <row r="32" spans="1:33" ht="15.75" customHeight="1" x14ac:dyDescent="0.2">
      <c r="A32" s="40" t="s">
        <v>90</v>
      </c>
      <c r="B32" s="50" t="s">
        <v>520</v>
      </c>
      <c r="C32" s="14">
        <f t="shared" si="4"/>
        <v>13.99</v>
      </c>
      <c r="D32" s="15">
        <v>4</v>
      </c>
      <c r="E32" s="15">
        <v>0</v>
      </c>
      <c r="F32" s="16">
        <v>55.96</v>
      </c>
      <c r="G32" s="16">
        <v>-3.1</v>
      </c>
      <c r="H32" s="29">
        <f t="shared" si="1"/>
        <v>5.5396711937097928E-2</v>
      </c>
      <c r="I32" s="29">
        <f t="shared" si="2"/>
        <v>0.10930013411365258</v>
      </c>
      <c r="J32" s="30">
        <f t="shared" si="5"/>
        <v>6.1164355049999983</v>
      </c>
      <c r="K32" s="30">
        <f t="shared" si="3"/>
        <v>1.5291088762499996</v>
      </c>
      <c r="L32" s="15">
        <v>37</v>
      </c>
      <c r="M32" s="31">
        <f t="shared" si="6"/>
        <v>0.10810810810810811</v>
      </c>
      <c r="N32" s="15">
        <v>221</v>
      </c>
      <c r="O32" s="32">
        <f t="shared" ref="O32:P32" si="40">D32/7</f>
        <v>0.5714285714285714</v>
      </c>
      <c r="P32" s="32">
        <f t="shared" si="40"/>
        <v>0</v>
      </c>
      <c r="Q32" s="27">
        <f t="shared" si="8"/>
        <v>386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0.16450216450216451</v>
      </c>
      <c r="T32" s="40">
        <f ca="1">IFERROR(__xludf.DUMMYFUNCTION("IFERROR(VLOOKUP($B$2,IMPORTRANGE(""https://docs.google.com/spreadsheets/d/1KiWZV1ko8G7lnRucBRBd29jj3Be6ltMfljMDqzOkQmI/edit#gid=1381463014"",""Lookup!A:D""),4,FALSE),"""")"),630)</f>
        <v>630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630 At Factory 50-75 days from Earliest Arrival")</f>
        <v>No Transit, But 630 At Factory 50-75 days from Earliest Arrival</v>
      </c>
      <c r="W32" s="40">
        <v>1</v>
      </c>
      <c r="X32" s="36">
        <f t="shared" si="9"/>
        <v>0.25</v>
      </c>
      <c r="Y32" s="37">
        <f t="shared" si="10"/>
        <v>3.1</v>
      </c>
      <c r="Z32" s="40">
        <v>0</v>
      </c>
      <c r="AA32" s="40" t="s">
        <v>37</v>
      </c>
      <c r="AB32" s="38">
        <f t="shared" si="11"/>
        <v>-0.69</v>
      </c>
      <c r="AC32" s="44">
        <v>0.14002552083333331</v>
      </c>
      <c r="AD32" s="37">
        <f t="shared" si="12"/>
        <v>-0.77294087499999975</v>
      </c>
      <c r="AE32" s="42">
        <v>-4.95</v>
      </c>
      <c r="AF32" s="42">
        <v>-3.4441559050000001</v>
      </c>
      <c r="AG32" s="42">
        <v>-4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Blush &amp; Mauve - 36 x 17 Inch Leather Style Computer Pad for Desk")</f>
        <v>Office Desk Mat, Double Sided Blush &amp; Mauve - 36 x 17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Info!B1:BJ5000""),2,FALSE),"""")"),"B085LLBM8C")</f>
        <v>B085LLBM8C</v>
      </c>
      <c r="B2" s="3" t="s">
        <v>521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10.675568886029412</v>
      </c>
      <c r="D3" s="5">
        <f>SUM(D4:D99767)</f>
        <v>99</v>
      </c>
      <c r="E3" s="5"/>
      <c r="F3" s="6">
        <f t="shared" ref="F3:G3" si="0">SUM(F4:F99767)</f>
        <v>1037.9700000000003</v>
      </c>
      <c r="G3" s="6">
        <f t="shared" si="0"/>
        <v>-379.6699999999999</v>
      </c>
      <c r="H3" s="7">
        <f t="shared" ref="H3:H32" si="1">G3/F3*-1</f>
        <v>0.36578128462286946</v>
      </c>
      <c r="I3" s="8">
        <f t="shared" ref="I3:I32" si="2">J3/F3</f>
        <v>-0.38757531854964589</v>
      </c>
      <c r="J3" s="6">
        <f>SUM(J4:J99767)</f>
        <v>-402.29155339497606</v>
      </c>
      <c r="K3" s="6">
        <f t="shared" ref="K3:K32" si="3">J3/D3</f>
        <v>-4.063551044393698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16</v>
      </c>
      <c r="X3" s="7">
        <f>W3/D3</f>
        <v>0.16161616161616163</v>
      </c>
      <c r="Y3" s="6"/>
      <c r="Z3" s="5"/>
      <c r="AA3" s="5"/>
      <c r="AB3" s="5"/>
      <c r="AC3" s="5"/>
      <c r="AD3" s="6">
        <f>SUM(AD4:AD99767)</f>
        <v>-20.080863295828504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Info!B2:BZ3000""),37,FALSE)),"""")*-1"),-3.394233553125)</f>
        <v>-3.3942335531249999</v>
      </c>
      <c r="AG3" s="6">
        <f>SUM(AG4:AG99767)</f>
        <v>-33</v>
      </c>
    </row>
    <row r="4" spans="1:33" ht="16" x14ac:dyDescent="0.2">
      <c r="A4" s="1" t="s">
        <v>32</v>
      </c>
      <c r="B4" s="2" t="s">
        <v>522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128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>
        <v>0.32592592592592501</v>
      </c>
      <c r="T4" s="2">
        <v>577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8.5806874999999991E-2</v>
      </c>
      <c r="AD4" s="24">
        <f t="shared" ref="AD4:AD32" si="12">IFERROR(AB4*AC4*D4*2,0)</f>
        <v>0</v>
      </c>
      <c r="AE4" s="24">
        <v>-4.9000000000000004</v>
      </c>
      <c r="AF4" s="24">
        <v>-3.3390729545454545</v>
      </c>
      <c r="AG4" s="24">
        <v>0</v>
      </c>
    </row>
    <row r="5" spans="1:33" ht="15.75" customHeight="1" x14ac:dyDescent="0.2">
      <c r="A5" s="26" t="s">
        <v>35</v>
      </c>
      <c r="B5" s="26" t="s">
        <v>523</v>
      </c>
      <c r="C5" s="14">
        <f t="shared" si="4"/>
        <v>15.99</v>
      </c>
      <c r="D5" s="27">
        <v>4</v>
      </c>
      <c r="E5" s="27">
        <v>0</v>
      </c>
      <c r="F5" s="28">
        <v>63.96</v>
      </c>
      <c r="G5" s="28">
        <v>0</v>
      </c>
      <c r="H5" s="29">
        <f t="shared" si="1"/>
        <v>0</v>
      </c>
      <c r="I5" s="29">
        <f t="shared" si="2"/>
        <v>0.32732184781097057</v>
      </c>
      <c r="J5" s="30">
        <f t="shared" si="5"/>
        <v>20.935505385989678</v>
      </c>
      <c r="K5" s="30">
        <f t="shared" si="3"/>
        <v>5.2338763464974196</v>
      </c>
      <c r="L5" s="27">
        <v>134</v>
      </c>
      <c r="M5" s="31">
        <f t="shared" si="6"/>
        <v>2.9850746268656716E-2</v>
      </c>
      <c r="N5" s="27">
        <v>125</v>
      </c>
      <c r="O5" s="32">
        <f t="shared" ref="O5:P5" si="13">D5/7</f>
        <v>0.5714285714285714</v>
      </c>
      <c r="P5" s="32">
        <f t="shared" si="13"/>
        <v>0</v>
      </c>
      <c r="Q5" s="27">
        <f t="shared" si="8"/>
        <v>218</v>
      </c>
      <c r="R5" s="27"/>
      <c r="S5" s="33">
        <v>0.33333333333333298</v>
      </c>
      <c r="T5" s="26">
        <v>577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8.5906303592120495E-2</v>
      </c>
      <c r="AD5" s="37">
        <f t="shared" si="12"/>
        <v>-0.47420279582850511</v>
      </c>
      <c r="AE5" s="37">
        <v>-4.9000000000000004</v>
      </c>
      <c r="AF5" s="37">
        <v>-3.3390729545454545</v>
      </c>
      <c r="AG5" s="37">
        <v>0</v>
      </c>
    </row>
    <row r="6" spans="1:33" ht="15.75" customHeight="1" x14ac:dyDescent="0.2">
      <c r="A6" s="26" t="s">
        <v>38</v>
      </c>
      <c r="B6" s="26" t="s">
        <v>524</v>
      </c>
      <c r="C6" s="14">
        <f t="shared" si="4"/>
        <v>15.99</v>
      </c>
      <c r="D6" s="27">
        <v>3</v>
      </c>
      <c r="E6" s="27">
        <v>0</v>
      </c>
      <c r="F6" s="28">
        <v>47.97</v>
      </c>
      <c r="G6" s="28">
        <v>0</v>
      </c>
      <c r="H6" s="29">
        <f t="shared" si="1"/>
        <v>0</v>
      </c>
      <c r="I6" s="29">
        <f t="shared" si="2"/>
        <v>0.3273304288902153</v>
      </c>
      <c r="J6" s="30">
        <f t="shared" si="5"/>
        <v>15.702040673863628</v>
      </c>
      <c r="K6" s="30">
        <f t="shared" si="3"/>
        <v>5.234013557954543</v>
      </c>
      <c r="L6" s="27">
        <v>129</v>
      </c>
      <c r="M6" s="31">
        <f t="shared" si="6"/>
        <v>2.3255813953488372E-2</v>
      </c>
      <c r="N6" s="27">
        <v>121</v>
      </c>
      <c r="O6" s="32">
        <f t="shared" ref="O6:P6" si="14">D6/7</f>
        <v>0.42857142857142855</v>
      </c>
      <c r="P6" s="32">
        <f t="shared" si="14"/>
        <v>0</v>
      </c>
      <c r="Q6" s="27">
        <f t="shared" si="8"/>
        <v>282</v>
      </c>
      <c r="R6" s="27"/>
      <c r="S6" s="33">
        <v>0.287128712871287</v>
      </c>
      <c r="T6" s="26">
        <v>577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8.5806874999999991E-2</v>
      </c>
      <c r="AD6" s="37">
        <f t="shared" si="12"/>
        <v>-0.35524046249999996</v>
      </c>
      <c r="AE6" s="37">
        <v>-4.9000000000000004</v>
      </c>
      <c r="AF6" s="37">
        <v>-3.3390729545454545</v>
      </c>
      <c r="AG6" s="37">
        <v>0</v>
      </c>
    </row>
    <row r="7" spans="1:33" ht="15.75" customHeight="1" x14ac:dyDescent="0.2">
      <c r="A7" s="26" t="s">
        <v>41</v>
      </c>
      <c r="B7" s="26" t="s">
        <v>525</v>
      </c>
      <c r="C7" s="14">
        <f t="shared" si="4"/>
        <v>11.99</v>
      </c>
      <c r="D7" s="27">
        <v>6</v>
      </c>
      <c r="E7" s="27">
        <v>0</v>
      </c>
      <c r="F7" s="28">
        <v>71.94</v>
      </c>
      <c r="G7" s="28">
        <v>0</v>
      </c>
      <c r="H7" s="29">
        <f t="shared" si="1"/>
        <v>0</v>
      </c>
      <c r="I7" s="29">
        <f t="shared" si="2"/>
        <v>0.15296193143907794</v>
      </c>
      <c r="J7" s="30">
        <f t="shared" si="5"/>
        <v>11.004081347727267</v>
      </c>
      <c r="K7" s="30">
        <f t="shared" si="3"/>
        <v>1.8340135579545445</v>
      </c>
      <c r="L7" s="27">
        <v>101</v>
      </c>
      <c r="M7" s="31">
        <f t="shared" si="6"/>
        <v>5.9405940594059403E-2</v>
      </c>
      <c r="N7" s="27">
        <v>115</v>
      </c>
      <c r="O7" s="32">
        <f t="shared" ref="O7:P7" si="15">D7/7</f>
        <v>0.8571428571428571</v>
      </c>
      <c r="P7" s="32">
        <f t="shared" si="15"/>
        <v>0</v>
      </c>
      <c r="Q7" s="27">
        <f t="shared" si="8"/>
        <v>134</v>
      </c>
      <c r="R7" s="27"/>
      <c r="S7" s="33">
        <v>0.32405063291139202</v>
      </c>
      <c r="T7" s="26">
        <v>577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8.5806874999999991E-2</v>
      </c>
      <c r="AD7" s="37">
        <f t="shared" si="12"/>
        <v>-0.71048092499999993</v>
      </c>
      <c r="AE7" s="37">
        <v>-4.9000000000000004</v>
      </c>
      <c r="AF7" s="37">
        <v>-3.3390729545454545</v>
      </c>
      <c r="AG7" s="37">
        <v>0</v>
      </c>
    </row>
    <row r="8" spans="1:33" ht="15.75" customHeight="1" x14ac:dyDescent="0.2">
      <c r="A8" s="26" t="s">
        <v>43</v>
      </c>
      <c r="B8" s="26" t="s">
        <v>525</v>
      </c>
      <c r="C8" s="14">
        <f t="shared" si="4"/>
        <v>11.99</v>
      </c>
      <c r="D8" s="27">
        <v>5</v>
      </c>
      <c r="E8" s="27">
        <v>0</v>
      </c>
      <c r="F8" s="28">
        <v>59.95</v>
      </c>
      <c r="G8" s="28">
        <v>0</v>
      </c>
      <c r="H8" s="29">
        <f t="shared" si="1"/>
        <v>0</v>
      </c>
      <c r="I8" s="29">
        <f t="shared" si="2"/>
        <v>0.1528846132193496</v>
      </c>
      <c r="J8" s="30">
        <f t="shared" si="5"/>
        <v>9.1654325625000084</v>
      </c>
      <c r="K8" s="30">
        <f t="shared" si="3"/>
        <v>1.8330865125000018</v>
      </c>
      <c r="L8" s="27">
        <v>70</v>
      </c>
      <c r="M8" s="31">
        <f t="shared" si="6"/>
        <v>7.1428571428571425E-2</v>
      </c>
      <c r="N8" s="27">
        <v>111</v>
      </c>
      <c r="O8" s="32">
        <f t="shared" ref="O8:P8" si="16">D8/7</f>
        <v>0.7142857142857143</v>
      </c>
      <c r="P8" s="32">
        <f t="shared" si="16"/>
        <v>0</v>
      </c>
      <c r="Q8" s="27">
        <f t="shared" si="8"/>
        <v>155</v>
      </c>
      <c r="R8" s="27"/>
      <c r="S8" s="33">
        <v>0.39790575916230297</v>
      </c>
      <c r="T8" s="26">
        <v>577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8.5806874999999991E-2</v>
      </c>
      <c r="AD8" s="37">
        <f t="shared" si="12"/>
        <v>-0.5920674374999999</v>
      </c>
      <c r="AE8" s="37">
        <v>-4.9000000000000004</v>
      </c>
      <c r="AF8" s="37">
        <v>-3.34</v>
      </c>
      <c r="AG8" s="37">
        <v>0</v>
      </c>
    </row>
    <row r="9" spans="1:33" ht="15.75" customHeight="1" x14ac:dyDescent="0.2">
      <c r="A9" s="26" t="s">
        <v>45</v>
      </c>
      <c r="B9" s="26" t="s">
        <v>526</v>
      </c>
      <c r="C9" s="14">
        <f t="shared" si="4"/>
        <v>11.99</v>
      </c>
      <c r="D9" s="27">
        <v>4</v>
      </c>
      <c r="E9" s="27">
        <v>0</v>
      </c>
      <c r="F9" s="28">
        <v>47.96</v>
      </c>
      <c r="G9" s="28">
        <v>0</v>
      </c>
      <c r="H9" s="29">
        <f t="shared" si="1"/>
        <v>0</v>
      </c>
      <c r="I9" s="29">
        <f t="shared" si="2"/>
        <v>0.14696545710440531</v>
      </c>
      <c r="J9" s="30">
        <f t="shared" si="5"/>
        <v>7.0484633227272786</v>
      </c>
      <c r="K9" s="30">
        <f t="shared" si="3"/>
        <v>1.7621158306818197</v>
      </c>
      <c r="L9" s="27">
        <v>63</v>
      </c>
      <c r="M9" s="31">
        <f t="shared" si="6"/>
        <v>6.3492063492063489E-2</v>
      </c>
      <c r="N9" s="27">
        <v>106</v>
      </c>
      <c r="O9" s="32">
        <f t="shared" ref="O9:P9" si="17">D9/7</f>
        <v>0.5714285714285714</v>
      </c>
      <c r="P9" s="32">
        <f t="shared" si="17"/>
        <v>0</v>
      </c>
      <c r="Q9" s="27">
        <f t="shared" si="8"/>
        <v>185</v>
      </c>
      <c r="R9" s="27"/>
      <c r="S9" s="33">
        <v>0.47567567567567498</v>
      </c>
      <c r="T9" s="26">
        <v>577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8.5806874999999991E-2</v>
      </c>
      <c r="AD9" s="37">
        <f t="shared" si="12"/>
        <v>-0.47365394999999993</v>
      </c>
      <c r="AE9" s="37">
        <v>-4.9000000000000004</v>
      </c>
      <c r="AF9" s="37">
        <v>-3.41097068181818</v>
      </c>
      <c r="AG9" s="37">
        <v>0</v>
      </c>
    </row>
    <row r="10" spans="1:33" ht="15.75" customHeight="1" x14ac:dyDescent="0.2">
      <c r="A10" s="26" t="s">
        <v>48</v>
      </c>
      <c r="B10" s="26" t="s">
        <v>527</v>
      </c>
      <c r="C10" s="14">
        <f t="shared" si="4"/>
        <v>10.99</v>
      </c>
      <c r="D10" s="27">
        <v>1</v>
      </c>
      <c r="E10" s="27">
        <v>0</v>
      </c>
      <c r="F10" s="28">
        <v>10.99</v>
      </c>
      <c r="G10" s="28">
        <v>0</v>
      </c>
      <c r="H10" s="29">
        <f t="shared" si="1"/>
        <v>0</v>
      </c>
      <c r="I10" s="29">
        <f t="shared" si="2"/>
        <v>8.2995071035652415E-2</v>
      </c>
      <c r="J10" s="30">
        <f t="shared" si="5"/>
        <v>0.91211583068182001</v>
      </c>
      <c r="K10" s="30">
        <f t="shared" si="3"/>
        <v>0.91211583068182001</v>
      </c>
      <c r="L10" s="27">
        <v>52</v>
      </c>
      <c r="M10" s="31">
        <f t="shared" si="6"/>
        <v>1.9230769230769232E-2</v>
      </c>
      <c r="N10" s="27">
        <v>105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735</v>
      </c>
      <c r="R10" s="27"/>
      <c r="S10" s="33">
        <v>0.35225048923678998</v>
      </c>
      <c r="T10" s="26">
        <v>577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8.5806874999999991E-2</v>
      </c>
      <c r="AD10" s="37">
        <f t="shared" si="12"/>
        <v>-0.11841348749999998</v>
      </c>
      <c r="AE10" s="37">
        <v>-4.9000000000000004</v>
      </c>
      <c r="AF10" s="37">
        <v>-3.41097068181818</v>
      </c>
      <c r="AG10" s="37">
        <v>0</v>
      </c>
    </row>
    <row r="11" spans="1:33" ht="15.75" customHeight="1" x14ac:dyDescent="0.2">
      <c r="A11" s="26" t="s">
        <v>50</v>
      </c>
      <c r="B11" s="26" t="s">
        <v>528</v>
      </c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105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>
        <v>0.33333333333333298</v>
      </c>
      <c r="T11" s="26">
        <v>577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8.5806874999999991E-2</v>
      </c>
      <c r="AD11" s="37">
        <f t="shared" si="12"/>
        <v>0</v>
      </c>
      <c r="AE11" s="37">
        <v>-4.9000000000000004</v>
      </c>
      <c r="AF11" s="37">
        <v>-3.41097068181818</v>
      </c>
      <c r="AG11" s="37">
        <v>0</v>
      </c>
    </row>
    <row r="12" spans="1:33" ht="15.75" customHeight="1" x14ac:dyDescent="0.2">
      <c r="A12" s="26" t="s">
        <v>52</v>
      </c>
      <c r="B12" s="26" t="s">
        <v>529</v>
      </c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105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>
        <v>0.331313131313131</v>
      </c>
      <c r="T12" s="26">
        <v>577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8.5806874999999991E-2</v>
      </c>
      <c r="AD12" s="37">
        <f t="shared" si="12"/>
        <v>0</v>
      </c>
      <c r="AE12" s="37">
        <v>-4.9000000000000004</v>
      </c>
      <c r="AF12" s="37">
        <v>-3.41097068181818</v>
      </c>
      <c r="AG12" s="37">
        <v>0</v>
      </c>
    </row>
    <row r="13" spans="1:33" ht="15.75" customHeight="1" x14ac:dyDescent="0.2">
      <c r="A13" s="26" t="s">
        <v>54</v>
      </c>
      <c r="B13" s="26" t="s">
        <v>530</v>
      </c>
      <c r="C13" s="14">
        <f t="shared" si="4"/>
        <v>9.9899999999999984</v>
      </c>
      <c r="D13" s="27">
        <v>10</v>
      </c>
      <c r="E13" s="27">
        <v>0</v>
      </c>
      <c r="F13" s="30">
        <v>99.899999999999991</v>
      </c>
      <c r="G13" s="28">
        <v>-33.229999999999997</v>
      </c>
      <c r="H13" s="29">
        <f t="shared" si="1"/>
        <v>0.33263263263263265</v>
      </c>
      <c r="I13" s="29">
        <f t="shared" si="2"/>
        <v>-0.3302027105514605</v>
      </c>
      <c r="J13" s="30">
        <f t="shared" si="5"/>
        <v>-32.987250784090904</v>
      </c>
      <c r="K13" s="30">
        <f t="shared" si="3"/>
        <v>-3.2987250784090905</v>
      </c>
      <c r="L13" s="27">
        <v>34</v>
      </c>
      <c r="M13" s="31">
        <f t="shared" si="6"/>
        <v>0.29411764705882354</v>
      </c>
      <c r="N13" s="27">
        <v>96</v>
      </c>
      <c r="O13" s="32">
        <f t="shared" ref="O13:P13" si="21">D13/7</f>
        <v>1.4285714285714286</v>
      </c>
      <c r="P13" s="32">
        <f t="shared" si="21"/>
        <v>0</v>
      </c>
      <c r="Q13" s="27">
        <f t="shared" si="8"/>
        <v>67</v>
      </c>
      <c r="R13" s="27"/>
      <c r="S13" s="33">
        <v>0.296296296296296</v>
      </c>
      <c r="T13" s="26">
        <v>577</v>
      </c>
      <c r="U13" s="34" t="s">
        <v>34</v>
      </c>
      <c r="V13" s="35" t="s">
        <v>34</v>
      </c>
      <c r="W13" s="26">
        <v>4</v>
      </c>
      <c r="X13" s="36">
        <f t="shared" si="9"/>
        <v>0.4</v>
      </c>
      <c r="Y13" s="37">
        <f t="shared" si="10"/>
        <v>6.645999999999999</v>
      </c>
      <c r="Z13" s="26">
        <v>1</v>
      </c>
      <c r="AA13" s="26" t="s">
        <v>37</v>
      </c>
      <c r="AB13" s="38">
        <f t="shared" si="11"/>
        <v>-0.69</v>
      </c>
      <c r="AC13" s="39">
        <v>8.5806874999999991E-2</v>
      </c>
      <c r="AD13" s="37">
        <f t="shared" si="12"/>
        <v>-1.1841348749999998</v>
      </c>
      <c r="AE13" s="37">
        <v>-4.9000000000000004</v>
      </c>
      <c r="AF13" s="37">
        <v>-3.4488115909090902</v>
      </c>
      <c r="AG13" s="37">
        <v>0</v>
      </c>
    </row>
    <row r="14" spans="1:33" ht="15.75" customHeight="1" x14ac:dyDescent="0.2">
      <c r="A14" s="26" t="s">
        <v>56</v>
      </c>
      <c r="B14" s="26" t="s">
        <v>531</v>
      </c>
      <c r="C14" s="14">
        <f t="shared" si="4"/>
        <v>9.99</v>
      </c>
      <c r="D14" s="27">
        <v>3</v>
      </c>
      <c r="E14" s="27">
        <v>0</v>
      </c>
      <c r="F14" s="30">
        <v>29.97</v>
      </c>
      <c r="G14" s="28">
        <v>-72.819999999999993</v>
      </c>
      <c r="H14" s="29">
        <f t="shared" si="1"/>
        <v>2.4297630964297632</v>
      </c>
      <c r="I14" s="29">
        <f t="shared" si="2"/>
        <v>-2.4273331743485911</v>
      </c>
      <c r="J14" s="30">
        <f t="shared" si="5"/>
        <v>-72.747175235227274</v>
      </c>
      <c r="K14" s="30">
        <f t="shared" si="3"/>
        <v>-24.249058411742425</v>
      </c>
      <c r="L14" s="27">
        <v>58</v>
      </c>
      <c r="M14" s="31">
        <f t="shared" si="6"/>
        <v>5.1724137931034482E-2</v>
      </c>
      <c r="N14" s="27">
        <v>92</v>
      </c>
      <c r="O14" s="32">
        <f t="shared" ref="O14:P14" si="22">D14/7</f>
        <v>0.42857142857142855</v>
      </c>
      <c r="P14" s="32">
        <f t="shared" si="22"/>
        <v>0</v>
      </c>
      <c r="Q14" s="27">
        <f t="shared" si="8"/>
        <v>214</v>
      </c>
      <c r="R14" s="27"/>
      <c r="S14" s="33">
        <v>0.35087719298245601</v>
      </c>
      <c r="T14" s="26">
        <v>577</v>
      </c>
      <c r="U14" s="34" t="s">
        <v>34</v>
      </c>
      <c r="V14" s="35" t="s">
        <v>34</v>
      </c>
      <c r="W14" s="26">
        <v>2</v>
      </c>
      <c r="X14" s="36">
        <f t="shared" si="9"/>
        <v>0.66666666666666663</v>
      </c>
      <c r="Y14" s="37">
        <f t="shared" si="10"/>
        <v>9.1024999999999991</v>
      </c>
      <c r="Z14" s="26">
        <v>6</v>
      </c>
      <c r="AA14" s="26" t="s">
        <v>37</v>
      </c>
      <c r="AB14" s="38">
        <f t="shared" si="11"/>
        <v>-0.69</v>
      </c>
      <c r="AC14" s="39">
        <v>8.5806874999999991E-2</v>
      </c>
      <c r="AD14" s="37">
        <f t="shared" si="12"/>
        <v>-0.35524046249999996</v>
      </c>
      <c r="AE14" s="37">
        <v>-4.9000000000000004</v>
      </c>
      <c r="AF14" s="37">
        <v>-3.4488115909090902</v>
      </c>
      <c r="AG14" s="37">
        <v>0</v>
      </c>
    </row>
    <row r="15" spans="1:33" ht="15.75" customHeight="1" x14ac:dyDescent="0.2">
      <c r="A15" s="26" t="s">
        <v>58</v>
      </c>
      <c r="B15" s="26" t="s">
        <v>105</v>
      </c>
      <c r="C15" s="14">
        <f t="shared" si="4"/>
        <v>10.043333333333333</v>
      </c>
      <c r="D15" s="27">
        <v>18</v>
      </c>
      <c r="E15" s="27">
        <v>0</v>
      </c>
      <c r="F15" s="30">
        <v>180.78</v>
      </c>
      <c r="G15" s="28">
        <v>-80.199999999999989</v>
      </c>
      <c r="H15" s="29">
        <f t="shared" si="1"/>
        <v>0.44363314525943126</v>
      </c>
      <c r="I15" s="29">
        <f t="shared" si="2"/>
        <v>-0.48095503601816353</v>
      </c>
      <c r="J15" s="30">
        <f t="shared" si="5"/>
        <v>-86.947051411363603</v>
      </c>
      <c r="K15" s="30">
        <f t="shared" si="3"/>
        <v>-4.8303917450757554</v>
      </c>
      <c r="L15" s="27">
        <v>67</v>
      </c>
      <c r="M15" s="31">
        <f t="shared" si="6"/>
        <v>0.26865671641791045</v>
      </c>
      <c r="N15" s="27">
        <v>77</v>
      </c>
      <c r="O15" s="32">
        <f t="shared" ref="O15:P15" si="23">D15/7</f>
        <v>2.5714285714285716</v>
      </c>
      <c r="P15" s="32">
        <f t="shared" si="23"/>
        <v>0</v>
      </c>
      <c r="Q15" s="27">
        <f t="shared" si="8"/>
        <v>29</v>
      </c>
      <c r="R15" s="27"/>
      <c r="S15" s="33">
        <v>0.46896551724137903</v>
      </c>
      <c r="T15" s="26">
        <v>210</v>
      </c>
      <c r="U15" s="34" t="s">
        <v>34</v>
      </c>
      <c r="V15" s="35" t="s">
        <v>34</v>
      </c>
      <c r="W15" s="26">
        <v>7</v>
      </c>
      <c r="X15" s="36">
        <f t="shared" si="9"/>
        <v>0.3888888888888889</v>
      </c>
      <c r="Y15" s="37">
        <f t="shared" si="10"/>
        <v>6.1692307692307686</v>
      </c>
      <c r="Z15" s="26">
        <v>6</v>
      </c>
      <c r="AA15" s="26" t="s">
        <v>37</v>
      </c>
      <c r="AB15" s="38">
        <f t="shared" si="11"/>
        <v>-0.69</v>
      </c>
      <c r="AC15" s="39">
        <v>8.5806874999999991E-2</v>
      </c>
      <c r="AD15" s="37">
        <f t="shared" si="12"/>
        <v>-2.1314427749999996</v>
      </c>
      <c r="AE15" s="37">
        <v>-4.9000000000000004</v>
      </c>
      <c r="AF15" s="37">
        <v>-3.4488115909090902</v>
      </c>
      <c r="AG15" s="37">
        <v>-8</v>
      </c>
    </row>
    <row r="16" spans="1:33" ht="15.75" customHeight="1" x14ac:dyDescent="0.2">
      <c r="A16" s="26" t="s">
        <v>60</v>
      </c>
      <c r="B16" s="26" t="s">
        <v>105</v>
      </c>
      <c r="C16" s="14">
        <f t="shared" si="4"/>
        <v>9.99</v>
      </c>
      <c r="D16" s="27">
        <v>5</v>
      </c>
      <c r="E16" s="27">
        <v>0</v>
      </c>
      <c r="F16" s="30">
        <v>49.95</v>
      </c>
      <c r="G16" s="28">
        <v>-72.94</v>
      </c>
      <c r="H16" s="29">
        <f t="shared" si="1"/>
        <v>1.4602602602602601</v>
      </c>
      <c r="I16" s="29">
        <f t="shared" si="2"/>
        <v>-1.5885329945854942</v>
      </c>
      <c r="J16" s="30">
        <f t="shared" si="5"/>
        <v>-79.347223079545444</v>
      </c>
      <c r="K16" s="30">
        <f t="shared" si="3"/>
        <v>-15.869444615909089</v>
      </c>
      <c r="L16" s="27">
        <v>69</v>
      </c>
      <c r="M16" s="31">
        <f t="shared" si="6"/>
        <v>7.2463768115942032E-2</v>
      </c>
      <c r="N16" s="27">
        <v>70</v>
      </c>
      <c r="O16" s="32">
        <f t="shared" ref="O16:P16" si="24">D16/7</f>
        <v>0.7142857142857143</v>
      </c>
      <c r="P16" s="32">
        <f t="shared" si="24"/>
        <v>0</v>
      </c>
      <c r="Q16" s="27">
        <f t="shared" si="8"/>
        <v>98</v>
      </c>
      <c r="R16" s="27"/>
      <c r="S16" s="33">
        <v>0.56057007125890701</v>
      </c>
      <c r="T16" s="26">
        <v>210</v>
      </c>
      <c r="U16" s="34" t="s">
        <v>34</v>
      </c>
      <c r="V16" s="35" t="s">
        <v>34</v>
      </c>
      <c r="W16" s="26">
        <v>1</v>
      </c>
      <c r="X16" s="36">
        <f t="shared" si="9"/>
        <v>0.2</v>
      </c>
      <c r="Y16" s="37">
        <f t="shared" si="10"/>
        <v>14.587999999999999</v>
      </c>
      <c r="Z16" s="26">
        <v>4</v>
      </c>
      <c r="AA16" s="26" t="s">
        <v>37</v>
      </c>
      <c r="AB16" s="38">
        <f t="shared" si="11"/>
        <v>-0.69</v>
      </c>
      <c r="AC16" s="39">
        <v>0.22038625000000001</v>
      </c>
      <c r="AD16" s="37">
        <f t="shared" si="12"/>
        <v>-1.5206651250000001</v>
      </c>
      <c r="AE16" s="37">
        <v>-5.42</v>
      </c>
      <c r="AF16" s="37">
        <v>-3.4488115909090902</v>
      </c>
      <c r="AG16" s="37">
        <v>-3</v>
      </c>
    </row>
    <row r="17" spans="1:33" ht="15.75" customHeight="1" x14ac:dyDescent="0.2">
      <c r="A17" s="26" t="s">
        <v>61</v>
      </c>
      <c r="B17" s="26" t="s">
        <v>532</v>
      </c>
      <c r="C17" s="14">
        <f t="shared" si="4"/>
        <v>9.99</v>
      </c>
      <c r="D17" s="27">
        <v>4</v>
      </c>
      <c r="E17" s="27">
        <v>1</v>
      </c>
      <c r="F17" s="30">
        <v>39.96</v>
      </c>
      <c r="G17" s="28">
        <v>-39.190000000000005</v>
      </c>
      <c r="H17" s="29">
        <f t="shared" si="1"/>
        <v>0.9807307307307308</v>
      </c>
      <c r="I17" s="29">
        <f t="shared" si="2"/>
        <v>-1.12401848007098</v>
      </c>
      <c r="J17" s="30">
        <f t="shared" si="5"/>
        <v>-44.915778463636364</v>
      </c>
      <c r="K17" s="30">
        <f t="shared" si="3"/>
        <v>-11.228944615909091</v>
      </c>
      <c r="L17" s="27">
        <v>39</v>
      </c>
      <c r="M17" s="31">
        <f t="shared" si="6"/>
        <v>0.10256410256410256</v>
      </c>
      <c r="N17" s="27">
        <v>64</v>
      </c>
      <c r="O17" s="32">
        <f t="shared" ref="O17:P17" si="25">D17/7</f>
        <v>0.5714285714285714</v>
      </c>
      <c r="P17" s="32">
        <f t="shared" si="25"/>
        <v>0.14285714285714285</v>
      </c>
      <c r="Q17" s="27">
        <f t="shared" si="8"/>
        <v>89</v>
      </c>
      <c r="R17" s="27"/>
      <c r="S17" s="33">
        <v>0.613138686131386</v>
      </c>
      <c r="T17" s="26">
        <v>210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19.595000000000002</v>
      </c>
      <c r="Z17" s="26">
        <v>2</v>
      </c>
      <c r="AA17" s="26" t="s">
        <v>37</v>
      </c>
      <c r="AB17" s="38">
        <f t="shared" si="11"/>
        <v>-0.69</v>
      </c>
      <c r="AC17" s="39">
        <v>0.22038625000000001</v>
      </c>
      <c r="AD17" s="37">
        <f t="shared" si="12"/>
        <v>-1.2165321</v>
      </c>
      <c r="AE17" s="37">
        <v>-5.42</v>
      </c>
      <c r="AF17" s="37">
        <v>-3.4488115909090902</v>
      </c>
      <c r="AG17" s="37">
        <v>-3</v>
      </c>
    </row>
    <row r="18" spans="1:33" ht="15.75" customHeight="1" x14ac:dyDescent="0.2">
      <c r="A18" s="26" t="s">
        <v>62</v>
      </c>
      <c r="B18" s="26" t="s">
        <v>46</v>
      </c>
      <c r="C18" s="14">
        <f t="shared" si="4"/>
        <v>9.99</v>
      </c>
      <c r="D18" s="27">
        <v>3</v>
      </c>
      <c r="E18" s="27">
        <v>0</v>
      </c>
      <c r="F18" s="30">
        <v>29.97</v>
      </c>
      <c r="G18" s="28">
        <v>-5.5</v>
      </c>
      <c r="H18" s="29">
        <f t="shared" si="1"/>
        <v>0.18351685018351685</v>
      </c>
      <c r="I18" s="29">
        <f t="shared" si="2"/>
        <v>-0.28509622448205774</v>
      </c>
      <c r="J18" s="30">
        <f t="shared" si="5"/>
        <v>-8.5443338477272697</v>
      </c>
      <c r="K18" s="30">
        <f t="shared" si="3"/>
        <v>-2.8481112825757564</v>
      </c>
      <c r="L18" s="27">
        <v>25</v>
      </c>
      <c r="M18" s="31">
        <f t="shared" si="6"/>
        <v>0.12</v>
      </c>
      <c r="N18" s="27">
        <v>61</v>
      </c>
      <c r="O18" s="32">
        <f t="shared" ref="O18:P18" si="26">D18/7</f>
        <v>0.42857142857142855</v>
      </c>
      <c r="P18" s="32">
        <f t="shared" si="26"/>
        <v>0</v>
      </c>
      <c r="Q18" s="27">
        <f t="shared" si="8"/>
        <v>142</v>
      </c>
      <c r="R18" s="27"/>
      <c r="S18" s="33">
        <v>0.65641025641025597</v>
      </c>
      <c r="T18" s="26">
        <v>210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0.22038625000000001</v>
      </c>
      <c r="AD18" s="37">
        <f t="shared" si="12"/>
        <v>-0.91239907499999995</v>
      </c>
      <c r="AE18" s="37">
        <v>-5.42</v>
      </c>
      <c r="AF18" s="37">
        <v>-3.4488115909090902</v>
      </c>
      <c r="AG18" s="37">
        <v>-1</v>
      </c>
    </row>
    <row r="19" spans="1:33" ht="15.75" customHeight="1" x14ac:dyDescent="0.2">
      <c r="A19" s="26" t="s">
        <v>64</v>
      </c>
      <c r="B19" s="26" t="s">
        <v>492</v>
      </c>
      <c r="C19" s="14">
        <f t="shared" si="4"/>
        <v>9.99</v>
      </c>
      <c r="D19" s="27">
        <v>3</v>
      </c>
      <c r="E19" s="27">
        <v>0</v>
      </c>
      <c r="F19" s="30">
        <v>29.97</v>
      </c>
      <c r="G19" s="28">
        <v>0</v>
      </c>
      <c r="H19" s="29">
        <f t="shared" si="1"/>
        <v>0</v>
      </c>
      <c r="I19" s="29">
        <f t="shared" si="2"/>
        <v>-0.16831277436527428</v>
      </c>
      <c r="J19" s="30">
        <f t="shared" si="5"/>
        <v>-5.0443338477272697</v>
      </c>
      <c r="K19" s="30">
        <f t="shared" si="3"/>
        <v>-1.6814446159090899</v>
      </c>
      <c r="L19" s="27">
        <v>18</v>
      </c>
      <c r="M19" s="31">
        <f t="shared" si="6"/>
        <v>0.16666666666666666</v>
      </c>
      <c r="N19" s="27">
        <v>58</v>
      </c>
      <c r="O19" s="32">
        <f t="shared" ref="O19:P19" si="27">D19/7</f>
        <v>0.42857142857142855</v>
      </c>
      <c r="P19" s="32">
        <f t="shared" si="27"/>
        <v>0</v>
      </c>
      <c r="Q19" s="27">
        <f t="shared" si="8"/>
        <v>135</v>
      </c>
      <c r="R19" s="27"/>
      <c r="S19" s="33">
        <v>0.65608465608465605</v>
      </c>
      <c r="T19" s="26">
        <v>210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0.22038625000000001</v>
      </c>
      <c r="AD19" s="37">
        <f t="shared" si="12"/>
        <v>-0.91239907499999995</v>
      </c>
      <c r="AE19" s="37">
        <v>-5.42</v>
      </c>
      <c r="AF19" s="37">
        <v>-3.4488115909090906</v>
      </c>
      <c r="AG19" s="37">
        <v>-3</v>
      </c>
    </row>
    <row r="20" spans="1:33" ht="15.75" customHeight="1" x14ac:dyDescent="0.2">
      <c r="A20" s="26" t="s">
        <v>65</v>
      </c>
      <c r="B20" s="26" t="s">
        <v>492</v>
      </c>
      <c r="C20" s="14">
        <f t="shared" si="4"/>
        <v>9.99</v>
      </c>
      <c r="D20" s="27">
        <v>1</v>
      </c>
      <c r="E20" s="27">
        <v>0</v>
      </c>
      <c r="F20" s="30">
        <v>9.99</v>
      </c>
      <c r="G20" s="28">
        <v>0</v>
      </c>
      <c r="H20" s="29">
        <f t="shared" si="1"/>
        <v>0</v>
      </c>
      <c r="I20" s="29">
        <f t="shared" si="2"/>
        <v>-0.16831277436527431</v>
      </c>
      <c r="J20" s="30">
        <f t="shared" si="5"/>
        <v>-1.6814446159090903</v>
      </c>
      <c r="K20" s="30">
        <f t="shared" si="3"/>
        <v>-1.6814446159090903</v>
      </c>
      <c r="L20" s="27">
        <v>14</v>
      </c>
      <c r="M20" s="31">
        <f t="shared" si="6"/>
        <v>7.1428571428571425E-2</v>
      </c>
      <c r="N20" s="27">
        <v>57</v>
      </c>
      <c r="O20" s="32">
        <f t="shared" ref="O20:P20" si="28">D20/7</f>
        <v>0.14285714285714285</v>
      </c>
      <c r="P20" s="32">
        <f t="shared" si="28"/>
        <v>0</v>
      </c>
      <c r="Q20" s="27">
        <f t="shared" si="8"/>
        <v>399</v>
      </c>
      <c r="R20" s="27"/>
      <c r="S20" s="33">
        <v>0.67415730337078605</v>
      </c>
      <c r="T20" s="26">
        <v>270</v>
      </c>
      <c r="U20" s="34">
        <v>60</v>
      </c>
      <c r="V20" s="35" t="s">
        <v>533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0.22038625000000001</v>
      </c>
      <c r="AD20" s="37">
        <f t="shared" si="12"/>
        <v>-0.304133025</v>
      </c>
      <c r="AE20" s="37">
        <v>-5.42</v>
      </c>
      <c r="AF20" s="37">
        <v>-3.4488115909090906</v>
      </c>
      <c r="AG20" s="37">
        <v>-1</v>
      </c>
    </row>
    <row r="21" spans="1:33" ht="15.75" customHeight="1" x14ac:dyDescent="0.2">
      <c r="A21" s="26" t="s">
        <v>66</v>
      </c>
      <c r="B21" s="26" t="s">
        <v>492</v>
      </c>
      <c r="C21" s="14">
        <f t="shared" si="4"/>
        <v>9.99</v>
      </c>
      <c r="D21" s="27">
        <v>3</v>
      </c>
      <c r="E21" s="27">
        <v>0</v>
      </c>
      <c r="F21" s="30">
        <v>29.97</v>
      </c>
      <c r="G21" s="28">
        <v>0</v>
      </c>
      <c r="H21" s="29">
        <f t="shared" si="1"/>
        <v>0</v>
      </c>
      <c r="I21" s="29">
        <f t="shared" si="2"/>
        <v>-0.10157937429854087</v>
      </c>
      <c r="J21" s="30">
        <f t="shared" si="5"/>
        <v>-3.0443338477272697</v>
      </c>
      <c r="K21" s="30">
        <f t="shared" si="3"/>
        <v>-1.0147779492424231</v>
      </c>
      <c r="L21" s="27">
        <v>16</v>
      </c>
      <c r="M21" s="31">
        <f t="shared" si="6"/>
        <v>0.1875</v>
      </c>
      <c r="N21" s="27">
        <v>54</v>
      </c>
      <c r="O21" s="32">
        <f t="shared" ref="O21:P21" si="29">D21/7</f>
        <v>0.42857142857142855</v>
      </c>
      <c r="P21" s="32">
        <f t="shared" si="29"/>
        <v>0</v>
      </c>
      <c r="Q21" s="27">
        <f t="shared" si="8"/>
        <v>126</v>
      </c>
      <c r="R21" s="27"/>
      <c r="S21" s="33">
        <v>0.67058823529411704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0.22038625000000001</v>
      </c>
      <c r="AD21" s="37">
        <f t="shared" si="12"/>
        <v>-0.91239907499999995</v>
      </c>
      <c r="AE21" s="37">
        <v>-5.42</v>
      </c>
      <c r="AF21" s="37">
        <v>-3.4488115909090906</v>
      </c>
      <c r="AG21" s="37">
        <v>-1</v>
      </c>
    </row>
    <row r="22" spans="1:33" ht="15.75" customHeight="1" x14ac:dyDescent="0.2">
      <c r="A22" s="26" t="s">
        <v>67</v>
      </c>
      <c r="B22" s="26" t="s">
        <v>534</v>
      </c>
      <c r="C22" s="14" t="str">
        <f t="shared" si="4"/>
        <v xml:space="preserve"> - </v>
      </c>
      <c r="D22" s="27">
        <v>0</v>
      </c>
      <c r="E22" s="27">
        <v>1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54</v>
      </c>
      <c r="O22" s="32">
        <f t="shared" ref="O22:P22" si="30">D22/7</f>
        <v>0</v>
      </c>
      <c r="P22" s="32">
        <f t="shared" si="30"/>
        <v>0.14285714285714285</v>
      </c>
      <c r="Q22" s="27">
        <f t="shared" si="8"/>
        <v>378</v>
      </c>
      <c r="R22" s="27"/>
      <c r="S22" s="33">
        <v>0.64197530864197505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0.22038625000000001</v>
      </c>
      <c r="AD22" s="37">
        <f t="shared" si="12"/>
        <v>0</v>
      </c>
      <c r="AE22" s="37">
        <v>-5.42</v>
      </c>
      <c r="AF22" s="37">
        <v>-3.4488115909090906</v>
      </c>
      <c r="AG22" s="37">
        <v>0</v>
      </c>
    </row>
    <row r="23" spans="1:33" ht="15.75" customHeight="1" x14ac:dyDescent="0.2">
      <c r="A23" s="26" t="s">
        <v>68</v>
      </c>
      <c r="B23" s="26" t="s">
        <v>535</v>
      </c>
      <c r="C23" s="14">
        <f t="shared" si="4"/>
        <v>9.99</v>
      </c>
      <c r="D23" s="27">
        <v>1</v>
      </c>
      <c r="E23" s="27">
        <v>0</v>
      </c>
      <c r="F23" s="30">
        <v>9.99</v>
      </c>
      <c r="G23" s="28">
        <v>0</v>
      </c>
      <c r="H23" s="29">
        <f t="shared" si="1"/>
        <v>0</v>
      </c>
      <c r="I23" s="29">
        <f t="shared" si="2"/>
        <v>-6.8212674265174203E-2</v>
      </c>
      <c r="J23" s="30">
        <f t="shared" si="5"/>
        <v>-0.68144461590909033</v>
      </c>
      <c r="K23" s="30">
        <f t="shared" si="3"/>
        <v>-0.68144461590909033</v>
      </c>
      <c r="L23" s="27">
        <v>21</v>
      </c>
      <c r="M23" s="31">
        <f t="shared" si="6"/>
        <v>4.7619047619047616E-2</v>
      </c>
      <c r="N23" s="27">
        <v>53</v>
      </c>
      <c r="O23" s="32">
        <f t="shared" ref="O23:P23" si="31">D23/7</f>
        <v>0.14285714285714285</v>
      </c>
      <c r="P23" s="32">
        <f t="shared" si="31"/>
        <v>0</v>
      </c>
      <c r="Q23" s="27">
        <f t="shared" si="8"/>
        <v>371</v>
      </c>
      <c r="R23" s="27"/>
      <c r="S23" s="33">
        <v>0.658227848101265</v>
      </c>
      <c r="T23" s="26">
        <v>270</v>
      </c>
      <c r="U23" s="34" t="s">
        <v>34</v>
      </c>
      <c r="V23" s="35" t="s">
        <v>536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0.22038625000000001</v>
      </c>
      <c r="AD23" s="37">
        <f t="shared" si="12"/>
        <v>-0.304133025</v>
      </c>
      <c r="AE23" s="37">
        <v>-5.42</v>
      </c>
      <c r="AF23" s="37">
        <v>-3.4488115909090906</v>
      </c>
      <c r="AG23" s="37">
        <v>0</v>
      </c>
    </row>
    <row r="24" spans="1:33" ht="15.75" customHeight="1" x14ac:dyDescent="0.2">
      <c r="A24" s="26" t="s">
        <v>71</v>
      </c>
      <c r="B24" s="26" t="s">
        <v>537</v>
      </c>
      <c r="C24" s="14">
        <f t="shared" si="4"/>
        <v>8.99</v>
      </c>
      <c r="D24" s="27">
        <v>4</v>
      </c>
      <c r="E24" s="27">
        <v>0</v>
      </c>
      <c r="F24" s="30">
        <v>35.96</v>
      </c>
      <c r="G24" s="30">
        <v>-34.43</v>
      </c>
      <c r="H24" s="29">
        <f t="shared" si="1"/>
        <v>0.95745272525027803</v>
      </c>
      <c r="I24" s="29">
        <f t="shared" si="2"/>
        <v>-1.1834198682879968</v>
      </c>
      <c r="J24" s="30">
        <f t="shared" si="5"/>
        <v>-42.555778463636365</v>
      </c>
      <c r="K24" s="30">
        <f t="shared" si="3"/>
        <v>-10.638944615909091</v>
      </c>
      <c r="L24" s="27">
        <v>60</v>
      </c>
      <c r="M24" s="31">
        <f t="shared" si="6"/>
        <v>6.6666666666666666E-2</v>
      </c>
      <c r="N24" s="27">
        <v>48</v>
      </c>
      <c r="O24" s="32">
        <f t="shared" ref="O24:P24" si="32">D24/7</f>
        <v>0.5714285714285714</v>
      </c>
      <c r="P24" s="32">
        <f t="shared" si="32"/>
        <v>0</v>
      </c>
      <c r="Q24" s="27">
        <f t="shared" si="8"/>
        <v>84</v>
      </c>
      <c r="R24" s="27"/>
      <c r="S24" s="33">
        <v>0.71621621621621601</v>
      </c>
      <c r="T24" s="26">
        <v>270</v>
      </c>
      <c r="U24" s="34" t="s">
        <v>34</v>
      </c>
      <c r="V24" s="35" t="s">
        <v>536</v>
      </c>
      <c r="W24" s="26">
        <v>2</v>
      </c>
      <c r="X24" s="36">
        <f t="shared" si="9"/>
        <v>0.5</v>
      </c>
      <c r="Y24" s="37">
        <f t="shared" si="10"/>
        <v>11.476666666666667</v>
      </c>
      <c r="Z24" s="26">
        <v>1</v>
      </c>
      <c r="AA24" s="26" t="s">
        <v>37</v>
      </c>
      <c r="AB24" s="38">
        <f t="shared" si="11"/>
        <v>-0.69</v>
      </c>
      <c r="AC24" s="39">
        <v>0.22038625000000001</v>
      </c>
      <c r="AD24" s="37">
        <f t="shared" si="12"/>
        <v>-1.2165321</v>
      </c>
      <c r="AE24" s="37">
        <v>-5.42</v>
      </c>
      <c r="AF24" s="37">
        <v>-3.4488115909090906</v>
      </c>
      <c r="AG24" s="37">
        <v>-2</v>
      </c>
    </row>
    <row r="25" spans="1:33" ht="15.75" customHeight="1" x14ac:dyDescent="0.2">
      <c r="A25" s="40" t="s">
        <v>73</v>
      </c>
      <c r="B25" s="40" t="s">
        <v>538</v>
      </c>
      <c r="C25" s="14">
        <f t="shared" si="4"/>
        <v>8.99</v>
      </c>
      <c r="D25" s="15">
        <v>4</v>
      </c>
      <c r="E25" s="15">
        <v>0</v>
      </c>
      <c r="F25" s="16">
        <v>35.96</v>
      </c>
      <c r="G25" s="16">
        <v>-8.2800000000000011</v>
      </c>
      <c r="H25" s="29">
        <f t="shared" si="1"/>
        <v>0.23025583982202449</v>
      </c>
      <c r="I25" s="29">
        <f t="shared" si="2"/>
        <v>-0.48416385150166852</v>
      </c>
      <c r="J25" s="30">
        <f t="shared" si="5"/>
        <v>-17.410532100000001</v>
      </c>
      <c r="K25" s="30">
        <f t="shared" si="3"/>
        <v>-4.3526330250000003</v>
      </c>
      <c r="L25" s="15">
        <v>28</v>
      </c>
      <c r="M25" s="31">
        <f t="shared" si="6"/>
        <v>0.14285714285714285</v>
      </c>
      <c r="N25" s="15">
        <v>44</v>
      </c>
      <c r="O25" s="32">
        <f t="shared" ref="O25:P25" si="33">D25/7</f>
        <v>0.5714285714285714</v>
      </c>
      <c r="P25" s="32">
        <f t="shared" si="33"/>
        <v>0</v>
      </c>
      <c r="Q25" s="27">
        <f t="shared" si="8"/>
        <v>77</v>
      </c>
      <c r="R25" s="27"/>
      <c r="S25" s="41">
        <v>0.86021505376344087</v>
      </c>
      <c r="T25" s="26">
        <v>270</v>
      </c>
      <c r="U25" s="34">
        <v>60</v>
      </c>
      <c r="V25" s="35" t="s">
        <v>539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0.22038625000000001</v>
      </c>
      <c r="AD25" s="37">
        <f t="shared" si="12"/>
        <v>-1.2165321</v>
      </c>
      <c r="AE25" s="42">
        <v>-5.42</v>
      </c>
      <c r="AF25" s="42">
        <v>-3.45</v>
      </c>
      <c r="AG25" s="42">
        <v>-3</v>
      </c>
    </row>
    <row r="26" spans="1:33" ht="15.75" customHeight="1" x14ac:dyDescent="0.2">
      <c r="A26" s="40" t="s">
        <v>75</v>
      </c>
      <c r="B26" s="40" t="s">
        <v>540</v>
      </c>
      <c r="C26" s="14">
        <f t="shared" si="4"/>
        <v>8.99</v>
      </c>
      <c r="D26" s="15">
        <v>1</v>
      </c>
      <c r="E26" s="15">
        <v>0</v>
      </c>
      <c r="F26" s="16">
        <v>8.99</v>
      </c>
      <c r="G26" s="16">
        <v>-10.55</v>
      </c>
      <c r="H26" s="29">
        <f t="shared" si="1"/>
        <v>1.1735261401557286</v>
      </c>
      <c r="I26" s="29">
        <f t="shared" si="2"/>
        <v>-1.3727969539387199</v>
      </c>
      <c r="J26" s="30">
        <f t="shared" si="5"/>
        <v>-12.341444615909092</v>
      </c>
      <c r="K26" s="30">
        <f t="shared" si="3"/>
        <v>-12.341444615909092</v>
      </c>
      <c r="L26" s="15">
        <v>20</v>
      </c>
      <c r="M26" s="31">
        <f t="shared" si="6"/>
        <v>0.05</v>
      </c>
      <c r="N26" s="15">
        <v>43</v>
      </c>
      <c r="O26" s="32">
        <f t="shared" ref="O26:P26" si="34">D26/7</f>
        <v>0.14285714285714285</v>
      </c>
      <c r="P26" s="32">
        <f t="shared" si="34"/>
        <v>0</v>
      </c>
      <c r="Q26" s="27">
        <f t="shared" si="8"/>
        <v>301</v>
      </c>
      <c r="R26" s="27"/>
      <c r="S26" s="41">
        <v>0.81818181818181823</v>
      </c>
      <c r="T26" s="26">
        <v>270</v>
      </c>
      <c r="U26" s="34">
        <v>60</v>
      </c>
      <c r="V26" s="35" t="s">
        <v>539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0.22038625000000001</v>
      </c>
      <c r="AD26" s="37">
        <f t="shared" si="12"/>
        <v>-0.304133025</v>
      </c>
      <c r="AE26" s="42">
        <v>-5.68</v>
      </c>
      <c r="AF26" s="42">
        <v>-3.4488115909090902</v>
      </c>
      <c r="AG26" s="42">
        <v>0</v>
      </c>
    </row>
    <row r="27" spans="1:33" ht="15.75" customHeight="1" x14ac:dyDescent="0.2">
      <c r="A27" s="40" t="s">
        <v>77</v>
      </c>
      <c r="B27" s="40" t="s">
        <v>540</v>
      </c>
      <c r="C27" s="14">
        <f t="shared" si="4"/>
        <v>8.99</v>
      </c>
      <c r="D27" s="15">
        <v>4</v>
      </c>
      <c r="E27" s="15">
        <v>42</v>
      </c>
      <c r="F27" s="16">
        <v>35.96</v>
      </c>
      <c r="G27" s="16">
        <v>-5.57</v>
      </c>
      <c r="H27" s="29">
        <f t="shared" si="1"/>
        <v>0.15489432703003336</v>
      </c>
      <c r="I27" s="29">
        <f t="shared" si="2"/>
        <v>-0.46539984604105566</v>
      </c>
      <c r="J27" s="30">
        <f t="shared" si="5"/>
        <v>-16.735778463636361</v>
      </c>
      <c r="K27" s="30">
        <f t="shared" si="3"/>
        <v>-4.1839446159090903</v>
      </c>
      <c r="L27" s="15">
        <v>27</v>
      </c>
      <c r="M27" s="31">
        <f t="shared" si="6"/>
        <v>0.14814814814814814</v>
      </c>
      <c r="N27" s="15">
        <v>39</v>
      </c>
      <c r="O27" s="32">
        <f t="shared" ref="O27:P27" si="35">D27/7</f>
        <v>0.5714285714285714</v>
      </c>
      <c r="P27" s="32">
        <f t="shared" si="35"/>
        <v>6</v>
      </c>
      <c r="Q27" s="27">
        <f t="shared" si="8"/>
        <v>5</v>
      </c>
      <c r="R27" s="27"/>
      <c r="S27" s="41">
        <v>0.84799999999999998</v>
      </c>
      <c r="T27" s="26">
        <v>270</v>
      </c>
      <c r="U27" s="34">
        <v>60</v>
      </c>
      <c r="V27" s="35" t="s">
        <v>541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0.22038625000000001</v>
      </c>
      <c r="AD27" s="37">
        <f t="shared" si="12"/>
        <v>-1.2165321</v>
      </c>
      <c r="AE27" s="42">
        <v>-5.68</v>
      </c>
      <c r="AF27" s="42">
        <v>-3.4488115909090902</v>
      </c>
      <c r="AG27" s="42">
        <v>-4</v>
      </c>
    </row>
    <row r="28" spans="1:33" ht="15.75" customHeight="1" x14ac:dyDescent="0.2">
      <c r="A28" s="40" t="s">
        <v>79</v>
      </c>
      <c r="B28" s="40" t="s">
        <v>542</v>
      </c>
      <c r="C28" s="14">
        <f t="shared" si="4"/>
        <v>8.99</v>
      </c>
      <c r="D28" s="15">
        <v>2</v>
      </c>
      <c r="E28" s="15">
        <v>0</v>
      </c>
      <c r="F28" s="16">
        <v>17.98</v>
      </c>
      <c r="G28" s="16">
        <v>-1.2</v>
      </c>
      <c r="H28" s="29">
        <f t="shared" si="1"/>
        <v>6.6740823136818686E-2</v>
      </c>
      <c r="I28" s="29">
        <f t="shared" si="2"/>
        <v>-0.26601163691980978</v>
      </c>
      <c r="J28" s="30">
        <f t="shared" si="5"/>
        <v>-4.7828892318181797</v>
      </c>
      <c r="K28" s="30">
        <f t="shared" si="3"/>
        <v>-2.3914446159090899</v>
      </c>
      <c r="L28" s="15">
        <v>38</v>
      </c>
      <c r="M28" s="31">
        <f t="shared" si="6"/>
        <v>5.2631578947368418E-2</v>
      </c>
      <c r="N28" s="15">
        <v>67</v>
      </c>
      <c r="O28" s="32">
        <f t="shared" ref="O28:P28" si="36">D28/7</f>
        <v>0.2857142857142857</v>
      </c>
      <c r="P28" s="32">
        <f t="shared" si="36"/>
        <v>0</v>
      </c>
      <c r="Q28" s="27">
        <f t="shared" si="8"/>
        <v>234</v>
      </c>
      <c r="R28" s="27"/>
      <c r="S28" s="41">
        <v>0.59541984732824427</v>
      </c>
      <c r="T28" s="40" t="s">
        <v>34</v>
      </c>
      <c r="U28" s="22" t="s">
        <v>34</v>
      </c>
      <c r="V28" s="1" t="s">
        <v>543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0.22038625000000001</v>
      </c>
      <c r="AD28" s="37">
        <f t="shared" si="12"/>
        <v>-0.60826605</v>
      </c>
      <c r="AE28" s="42">
        <v>-5.68</v>
      </c>
      <c r="AF28" s="42">
        <v>-3.4488115909090902</v>
      </c>
      <c r="AG28" s="42">
        <v>0</v>
      </c>
    </row>
    <row r="29" spans="1:33" ht="15.75" customHeight="1" x14ac:dyDescent="0.2">
      <c r="A29" s="26" t="s">
        <v>82</v>
      </c>
      <c r="B29" s="26" t="s">
        <v>123</v>
      </c>
      <c r="C29" s="14">
        <f t="shared" si="4"/>
        <v>8.99</v>
      </c>
      <c r="D29" s="27">
        <v>3</v>
      </c>
      <c r="E29" s="27">
        <v>0</v>
      </c>
      <c r="F29" s="30">
        <v>26.97</v>
      </c>
      <c r="G29" s="30">
        <v>-0.62</v>
      </c>
      <c r="H29" s="29">
        <f t="shared" si="1"/>
        <v>2.2988505747126436E-2</v>
      </c>
      <c r="I29" s="29">
        <f t="shared" si="2"/>
        <v>-0.22225931953011763</v>
      </c>
      <c r="J29" s="30">
        <f t="shared" si="5"/>
        <v>-5.9943338477272725</v>
      </c>
      <c r="K29" s="30">
        <f t="shared" si="3"/>
        <v>-1.9981112825757574</v>
      </c>
      <c r="L29" s="27">
        <v>48</v>
      </c>
      <c r="M29" s="31">
        <f t="shared" si="6"/>
        <v>6.25E-2</v>
      </c>
      <c r="N29" s="15">
        <v>64</v>
      </c>
      <c r="O29" s="32">
        <f t="shared" ref="O29:P29" si="37">D29/7</f>
        <v>0.42857142857142855</v>
      </c>
      <c r="P29" s="32">
        <f t="shared" si="37"/>
        <v>0</v>
      </c>
      <c r="Q29" s="27">
        <f t="shared" si="8"/>
        <v>149</v>
      </c>
      <c r="R29" s="27"/>
      <c r="S29" s="41">
        <v>0.57377049180327866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0.22038625000000001</v>
      </c>
      <c r="AD29" s="37">
        <f t="shared" si="12"/>
        <v>-0.91239907499999995</v>
      </c>
      <c r="AE29" s="37">
        <v>-5.68</v>
      </c>
      <c r="AF29" s="42">
        <v>-3.4488115909090902</v>
      </c>
      <c r="AG29" s="37">
        <v>0</v>
      </c>
    </row>
    <row r="30" spans="1:33" ht="15.75" customHeight="1" x14ac:dyDescent="0.2">
      <c r="A30" s="40" t="s">
        <v>84</v>
      </c>
      <c r="B30" s="40" t="s">
        <v>544</v>
      </c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-2.13</v>
      </c>
      <c r="H30" s="29" t="e">
        <f t="shared" si="1"/>
        <v>#DIV/0!</v>
      </c>
      <c r="I30" s="29" t="e">
        <f t="shared" si="2"/>
        <v>#DIV/0!</v>
      </c>
      <c r="J30" s="30">
        <f t="shared" si="5"/>
        <v>-2.13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62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0.55172413793103448</v>
      </c>
      <c r="T30" s="26">
        <v>120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0.22038625000000001</v>
      </c>
      <c r="AD30" s="37">
        <f t="shared" si="12"/>
        <v>0</v>
      </c>
      <c r="AE30" s="42">
        <v>-5.68</v>
      </c>
      <c r="AF30" s="42">
        <v>-3.3942335531249999</v>
      </c>
      <c r="AG30" s="42">
        <v>0</v>
      </c>
    </row>
    <row r="31" spans="1:33" ht="15.75" customHeight="1" x14ac:dyDescent="0.2">
      <c r="A31" s="40" t="s">
        <v>87</v>
      </c>
      <c r="B31" s="40" t="s">
        <v>545</v>
      </c>
      <c r="C31" s="14">
        <f t="shared" si="4"/>
        <v>8.99</v>
      </c>
      <c r="D31" s="15">
        <v>4</v>
      </c>
      <c r="E31" s="15">
        <v>0</v>
      </c>
      <c r="F31" s="16">
        <v>35.96</v>
      </c>
      <c r="G31" s="43">
        <v>-11.829999999999998</v>
      </c>
      <c r="H31" s="29">
        <f t="shared" si="1"/>
        <v>0.32897664071190208</v>
      </c>
      <c r="I31" s="29">
        <f t="shared" si="2"/>
        <v>-0.57779383516407101</v>
      </c>
      <c r="J31" s="30">
        <f t="shared" si="5"/>
        <v>-20.777466312499996</v>
      </c>
      <c r="K31" s="30">
        <f t="shared" si="3"/>
        <v>-5.194366578124999</v>
      </c>
      <c r="L31" s="15">
        <v>50</v>
      </c>
      <c r="M31" s="31">
        <f t="shared" si="6"/>
        <v>0.08</v>
      </c>
      <c r="N31" s="15">
        <v>59</v>
      </c>
      <c r="O31" s="32">
        <f t="shared" ref="O31:P31" si="39">D31/7</f>
        <v>0.5714285714285714</v>
      </c>
      <c r="P31" s="32">
        <f t="shared" si="39"/>
        <v>0</v>
      </c>
      <c r="Q31" s="27">
        <f t="shared" si="8"/>
        <v>103</v>
      </c>
      <c r="R31" s="27"/>
      <c r="S31" s="41">
        <v>0.54867256637168105</v>
      </c>
      <c r="T31" s="40">
        <v>120</v>
      </c>
      <c r="U31" s="22" t="s">
        <v>34</v>
      </c>
      <c r="V31" s="1" t="s">
        <v>546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0.22038625000000001</v>
      </c>
      <c r="AD31" s="37">
        <f t="shared" si="12"/>
        <v>-1.2165321</v>
      </c>
      <c r="AE31" s="45">
        <v>-5.68</v>
      </c>
      <c r="AF31" s="45">
        <v>-3.3942335531249999</v>
      </c>
      <c r="AG31" s="42">
        <v>-2</v>
      </c>
    </row>
    <row r="32" spans="1:33" ht="15.75" customHeight="1" x14ac:dyDescent="0.2">
      <c r="A32" s="40" t="s">
        <v>90</v>
      </c>
      <c r="B32" s="40" t="s">
        <v>545</v>
      </c>
      <c r="C32" s="14">
        <f t="shared" si="4"/>
        <v>8.99</v>
      </c>
      <c r="D32" s="15">
        <v>3</v>
      </c>
      <c r="E32" s="15">
        <v>0</v>
      </c>
      <c r="F32" s="16">
        <v>26.97</v>
      </c>
      <c r="G32" s="16">
        <v>-1.18</v>
      </c>
      <c r="H32" s="29">
        <f t="shared" si="1"/>
        <v>4.375231738969225E-2</v>
      </c>
      <c r="I32" s="29">
        <f t="shared" si="2"/>
        <v>-0.31110862937986655</v>
      </c>
      <c r="J32" s="30">
        <f t="shared" si="5"/>
        <v>-8.3905997343749998</v>
      </c>
      <c r="K32" s="30">
        <f t="shared" si="3"/>
        <v>-2.7968665781249999</v>
      </c>
      <c r="L32" s="15">
        <v>45</v>
      </c>
      <c r="M32" s="31">
        <f t="shared" si="6"/>
        <v>6.6666666666666666E-2</v>
      </c>
      <c r="N32" s="15">
        <v>55</v>
      </c>
      <c r="O32" s="32">
        <f t="shared" ref="O32:P32" si="40">D32/7</f>
        <v>0.42857142857142855</v>
      </c>
      <c r="P32" s="32">
        <f t="shared" si="40"/>
        <v>0</v>
      </c>
      <c r="Q32" s="27">
        <f t="shared" si="8"/>
        <v>128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0.48582995951417002</v>
      </c>
      <c r="T32" s="40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120 At Factory 50-75 days from Earliest Arrival")</f>
        <v>No Transit, But 120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0.22038625000000001</v>
      </c>
      <c r="AD32" s="37">
        <f t="shared" si="12"/>
        <v>-0.91239907499999995</v>
      </c>
      <c r="AE32" s="42">
        <v>-5.68</v>
      </c>
      <c r="AF32" s="42">
        <v>-3.3942335531249999</v>
      </c>
      <c r="AG32" s="42">
        <v>-2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Eggshell &amp; Cork - 36 x 17 Inch Leather Style Computer Pad for Desk")</f>
        <v>Office Desk Mat, Double Sided Eggshell &amp; Cork - 36 x 17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Info!B1:BJ5000""),2,FALSE),"""")"),"B088TWMJSF")</f>
        <v>B088TWMJSF</v>
      </c>
      <c r="B2" s="3" t="s">
        <v>547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10.891889474264707</v>
      </c>
      <c r="D3" s="5">
        <f>SUM(D4:D99767)</f>
        <v>135</v>
      </c>
      <c r="E3" s="5"/>
      <c r="F3" s="6">
        <f t="shared" ref="F3:G3" si="0">SUM(F4:F99767)</f>
        <v>1731.2200000000007</v>
      </c>
      <c r="G3" s="6">
        <f t="shared" si="0"/>
        <v>-13.410000000000002</v>
      </c>
      <c r="H3" s="7">
        <f t="shared" ref="H3:H32" si="1">G3/F3*-1</f>
        <v>7.7459826018645792E-3</v>
      </c>
      <c r="I3" s="8">
        <f t="shared" ref="I3:I32" si="2">J3/F3</f>
        <v>0.10695448560802581</v>
      </c>
      <c r="J3" s="6">
        <f>SUM(J4:J99767)</f>
        <v>185.16174457432652</v>
      </c>
      <c r="K3" s="6">
        <f t="shared" ref="K3:K32" si="3">J3/D3</f>
        <v>1.3715684783283446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-16.674294894423518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Info!B2:BZ3000""),37,FALSE)),"""")*-1"),-4.308106053125)</f>
        <v>-4.3081060531249999</v>
      </c>
      <c r="AG3" s="6">
        <f>SUM(AG4:AG99767)</f>
        <v>-10</v>
      </c>
    </row>
    <row r="4" spans="1:33" x14ac:dyDescent="0.2">
      <c r="A4" s="1" t="s">
        <v>32</v>
      </c>
      <c r="B4" s="2" t="s">
        <v>548</v>
      </c>
      <c r="C4" s="14">
        <f t="shared" ref="C4:C32" si="4">IFERROR(F4/D4," - ")</f>
        <v>14.989999999999998</v>
      </c>
      <c r="D4" s="15">
        <v>8</v>
      </c>
      <c r="E4" s="15">
        <v>0</v>
      </c>
      <c r="F4" s="16">
        <v>119.91999999999999</v>
      </c>
      <c r="G4" s="16">
        <v>0</v>
      </c>
      <c r="H4" s="17">
        <f t="shared" si="1"/>
        <v>0</v>
      </c>
      <c r="I4" s="17">
        <f t="shared" si="2"/>
        <v>0.23115749103358463</v>
      </c>
      <c r="J4" s="16">
        <f t="shared" ref="J4:J32" si="5">F4*0.85+G4+AF4*D4+D4*AE4+AG4+AD4</f>
        <v>27.720406324747465</v>
      </c>
      <c r="K4" s="16">
        <f t="shared" si="3"/>
        <v>3.4650507905934331</v>
      </c>
      <c r="L4" s="15">
        <v>88</v>
      </c>
      <c r="M4" s="18">
        <f t="shared" ref="M4:M32" si="6">IFERROR(D4/L4,"-")</f>
        <v>9.0909090909090912E-2</v>
      </c>
      <c r="N4" s="15">
        <v>113</v>
      </c>
      <c r="O4" s="19">
        <f t="shared" ref="O4:P4" si="7">D4/7</f>
        <v>1.1428571428571428</v>
      </c>
      <c r="P4" s="19">
        <f t="shared" si="7"/>
        <v>0</v>
      </c>
      <c r="Q4" s="15">
        <f t="shared" ref="Q4:Q32" si="8">ROUNDDOWN(N4/(O4+P4),0)</f>
        <v>98</v>
      </c>
      <c r="R4" s="15"/>
      <c r="S4" s="20">
        <v>0.546875</v>
      </c>
      <c r="T4" s="2">
        <v>600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8.9495474537037031E-2</v>
      </c>
      <c r="AD4" s="24">
        <f t="shared" ref="AD4:AD32" si="12">IFERROR(AB4*AC4*D4*2,0)</f>
        <v>-0.98803003888888874</v>
      </c>
      <c r="AE4" s="24">
        <v>-4.9000000000000004</v>
      </c>
      <c r="AF4" s="24">
        <v>-4.2529454545454541</v>
      </c>
      <c r="AG4" s="24">
        <v>0</v>
      </c>
    </row>
    <row r="5" spans="1:33" ht="15.75" customHeight="1" x14ac:dyDescent="0.2">
      <c r="A5" s="26" t="s">
        <v>35</v>
      </c>
      <c r="B5" s="26" t="s">
        <v>549</v>
      </c>
      <c r="C5" s="14">
        <f t="shared" si="4"/>
        <v>14.99</v>
      </c>
      <c r="D5" s="27">
        <v>9</v>
      </c>
      <c r="E5" s="27">
        <v>0</v>
      </c>
      <c r="F5" s="28">
        <v>134.91</v>
      </c>
      <c r="G5" s="28">
        <v>0</v>
      </c>
      <c r="H5" s="29">
        <f t="shared" si="1"/>
        <v>0</v>
      </c>
      <c r="I5" s="29">
        <f t="shared" si="2"/>
        <v>0.23114794401576888</v>
      </c>
      <c r="J5" s="30">
        <f t="shared" si="5"/>
        <v>31.18416912716738</v>
      </c>
      <c r="K5" s="30">
        <f t="shared" si="3"/>
        <v>3.4649076807963755</v>
      </c>
      <c r="L5" s="27">
        <v>157</v>
      </c>
      <c r="M5" s="31">
        <f t="shared" si="6"/>
        <v>5.7324840764331211E-2</v>
      </c>
      <c r="N5" s="27">
        <v>102</v>
      </c>
      <c r="O5" s="32">
        <f t="shared" ref="O5:P5" si="13">D5/7</f>
        <v>1.2857142857142858</v>
      </c>
      <c r="P5" s="32">
        <f t="shared" si="13"/>
        <v>0</v>
      </c>
      <c r="Q5" s="27">
        <f t="shared" si="8"/>
        <v>79</v>
      </c>
      <c r="R5" s="27"/>
      <c r="S5" s="33">
        <v>0.76666666666666605</v>
      </c>
      <c r="T5" s="26">
        <v>600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8.9599177288528384E-2</v>
      </c>
      <c r="AD5" s="37">
        <f t="shared" si="12"/>
        <v>-1.1128217819235224</v>
      </c>
      <c r="AE5" s="37">
        <v>-4.9000000000000004</v>
      </c>
      <c r="AF5" s="37">
        <v>-4.2529454545454541</v>
      </c>
      <c r="AG5" s="37">
        <v>0</v>
      </c>
    </row>
    <row r="6" spans="1:33" ht="15.75" customHeight="1" x14ac:dyDescent="0.2">
      <c r="A6" s="26" t="s">
        <v>38</v>
      </c>
      <c r="B6" s="26" t="s">
        <v>549</v>
      </c>
      <c r="C6" s="14">
        <f t="shared" si="4"/>
        <v>14.989999999999998</v>
      </c>
      <c r="D6" s="27">
        <v>7</v>
      </c>
      <c r="E6" s="27">
        <v>0</v>
      </c>
      <c r="F6" s="28">
        <v>104.92999999999999</v>
      </c>
      <c r="G6" s="28">
        <v>0</v>
      </c>
      <c r="H6" s="29">
        <f t="shared" si="1"/>
        <v>0</v>
      </c>
      <c r="I6" s="29">
        <f t="shared" si="2"/>
        <v>0.23115749103358454</v>
      </c>
      <c r="J6" s="30">
        <f t="shared" si="5"/>
        <v>24.255355534154024</v>
      </c>
      <c r="K6" s="30">
        <f t="shared" si="3"/>
        <v>3.4650507905934318</v>
      </c>
      <c r="L6" s="27">
        <v>138</v>
      </c>
      <c r="M6" s="31">
        <f t="shared" si="6"/>
        <v>5.0724637681159424E-2</v>
      </c>
      <c r="N6" s="27">
        <v>94</v>
      </c>
      <c r="O6" s="32">
        <f t="shared" ref="O6:P6" si="14">D6/7</f>
        <v>1</v>
      </c>
      <c r="P6" s="32">
        <f t="shared" si="14"/>
        <v>0</v>
      </c>
      <c r="Q6" s="27">
        <f t="shared" si="8"/>
        <v>94</v>
      </c>
      <c r="R6" s="27"/>
      <c r="S6" s="33">
        <v>0.60704607046070402</v>
      </c>
      <c r="T6" s="26">
        <v>600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8.9495474537037031E-2</v>
      </c>
      <c r="AD6" s="37">
        <f t="shared" si="12"/>
        <v>-0.86452628402777765</v>
      </c>
      <c r="AE6" s="37">
        <v>-4.9000000000000004</v>
      </c>
      <c r="AF6" s="37">
        <v>-4.2529454545454541</v>
      </c>
      <c r="AG6" s="37">
        <v>0</v>
      </c>
    </row>
    <row r="7" spans="1:33" ht="15.75" customHeight="1" x14ac:dyDescent="0.2">
      <c r="A7" s="26" t="s">
        <v>41</v>
      </c>
      <c r="B7" s="26" t="s">
        <v>550</v>
      </c>
      <c r="C7" s="14">
        <f t="shared" si="4"/>
        <v>14.99</v>
      </c>
      <c r="D7" s="27">
        <v>10</v>
      </c>
      <c r="E7" s="27">
        <v>0</v>
      </c>
      <c r="F7" s="28">
        <v>149.9</v>
      </c>
      <c r="G7" s="28">
        <v>0</v>
      </c>
      <c r="H7" s="29">
        <f t="shared" si="1"/>
        <v>0</v>
      </c>
      <c r="I7" s="29">
        <f t="shared" si="2"/>
        <v>0.23115749103358474</v>
      </c>
      <c r="J7" s="30">
        <f t="shared" si="5"/>
        <v>34.650507905934354</v>
      </c>
      <c r="K7" s="30">
        <f t="shared" si="3"/>
        <v>3.4650507905934353</v>
      </c>
      <c r="L7" s="27">
        <v>101</v>
      </c>
      <c r="M7" s="31">
        <f t="shared" si="6"/>
        <v>9.9009900990099015E-2</v>
      </c>
      <c r="N7" s="27">
        <v>85</v>
      </c>
      <c r="O7" s="32">
        <f t="shared" ref="O7:P7" si="15">D7/7</f>
        <v>1.4285714285714286</v>
      </c>
      <c r="P7" s="32">
        <f t="shared" si="15"/>
        <v>0</v>
      </c>
      <c r="Q7" s="27">
        <f t="shared" si="8"/>
        <v>59</v>
      </c>
      <c r="R7" s="27"/>
      <c r="S7" s="33">
        <v>0.70056497175141197</v>
      </c>
      <c r="T7" s="26">
        <v>600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8.9495474537037031E-2</v>
      </c>
      <c r="AD7" s="37">
        <f t="shared" si="12"/>
        <v>-1.2350375486111109</v>
      </c>
      <c r="AE7" s="37">
        <v>-4.9000000000000004</v>
      </c>
      <c r="AF7" s="37">
        <v>-4.2529454545454541</v>
      </c>
      <c r="AG7" s="37">
        <v>0</v>
      </c>
    </row>
    <row r="8" spans="1:33" ht="15.75" customHeight="1" x14ac:dyDescent="0.2">
      <c r="A8" s="26" t="s">
        <v>43</v>
      </c>
      <c r="B8" s="26" t="s">
        <v>322</v>
      </c>
      <c r="C8" s="14">
        <f t="shared" si="4"/>
        <v>14.99</v>
      </c>
      <c r="D8" s="27">
        <v>5</v>
      </c>
      <c r="E8" s="27">
        <v>0</v>
      </c>
      <c r="F8" s="28">
        <v>74.95</v>
      </c>
      <c r="G8" s="28">
        <v>0</v>
      </c>
      <c r="H8" s="29">
        <f t="shared" si="1"/>
        <v>0</v>
      </c>
      <c r="I8" s="29">
        <f t="shared" si="2"/>
        <v>0.23135398566637022</v>
      </c>
      <c r="J8" s="30">
        <f t="shared" si="5"/>
        <v>17.339981225694448</v>
      </c>
      <c r="K8" s="30">
        <f t="shared" si="3"/>
        <v>3.4679962451388895</v>
      </c>
      <c r="L8" s="27">
        <v>94</v>
      </c>
      <c r="M8" s="31">
        <f t="shared" si="6"/>
        <v>5.3191489361702128E-2</v>
      </c>
      <c r="N8" s="27">
        <v>80</v>
      </c>
      <c r="O8" s="32">
        <f t="shared" ref="O8:P8" si="16">D8/7</f>
        <v>0.7142857142857143</v>
      </c>
      <c r="P8" s="32">
        <f t="shared" si="16"/>
        <v>0</v>
      </c>
      <c r="Q8" s="27">
        <f t="shared" si="8"/>
        <v>112</v>
      </c>
      <c r="R8" s="27"/>
      <c r="S8" s="33">
        <v>0.81656804733727795</v>
      </c>
      <c r="T8" s="26">
        <v>600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8.9495474537037031E-2</v>
      </c>
      <c r="AD8" s="37">
        <f t="shared" si="12"/>
        <v>-0.61751877430555546</v>
      </c>
      <c r="AE8" s="37">
        <v>-4.9000000000000004</v>
      </c>
      <c r="AF8" s="37">
        <v>-4.25</v>
      </c>
      <c r="AG8" s="37">
        <v>0</v>
      </c>
    </row>
    <row r="9" spans="1:33" ht="15.75" customHeight="1" x14ac:dyDescent="0.2">
      <c r="A9" s="26" t="s">
        <v>45</v>
      </c>
      <c r="B9" s="26" t="s">
        <v>322</v>
      </c>
      <c r="C9" s="14">
        <f t="shared" si="4"/>
        <v>11.992000000000001</v>
      </c>
      <c r="D9" s="27">
        <v>5</v>
      </c>
      <c r="E9" s="27">
        <v>0</v>
      </c>
      <c r="F9" s="28">
        <v>59.96</v>
      </c>
      <c r="G9" s="28">
        <v>0</v>
      </c>
      <c r="H9" s="29">
        <f t="shared" si="1"/>
        <v>0</v>
      </c>
      <c r="I9" s="29">
        <f t="shared" si="2"/>
        <v>7.0451389536416706E-2</v>
      </c>
      <c r="J9" s="30">
        <f t="shared" si="5"/>
        <v>4.224265316603546</v>
      </c>
      <c r="K9" s="30">
        <f t="shared" si="3"/>
        <v>0.8448530633207092</v>
      </c>
      <c r="L9" s="27">
        <v>72</v>
      </c>
      <c r="M9" s="31">
        <f t="shared" si="6"/>
        <v>6.9444444444444448E-2</v>
      </c>
      <c r="N9" s="27">
        <v>74</v>
      </c>
      <c r="O9" s="32">
        <f t="shared" ref="O9:P9" si="17">D9/7</f>
        <v>0.7142857142857143</v>
      </c>
      <c r="P9" s="32">
        <f t="shared" si="17"/>
        <v>0</v>
      </c>
      <c r="Q9" s="27">
        <f t="shared" si="8"/>
        <v>103</v>
      </c>
      <c r="R9" s="27"/>
      <c r="S9" s="33">
        <v>0.93375394321766503</v>
      </c>
      <c r="T9" s="26">
        <v>600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8.9495474537037031E-2</v>
      </c>
      <c r="AD9" s="37">
        <f t="shared" si="12"/>
        <v>-0.61751877430555546</v>
      </c>
      <c r="AE9" s="37">
        <v>-4.9000000000000004</v>
      </c>
      <c r="AF9" s="37">
        <v>-4.3248431818181796</v>
      </c>
      <c r="AG9" s="37">
        <v>0</v>
      </c>
    </row>
    <row r="10" spans="1:33" ht="15.75" customHeight="1" x14ac:dyDescent="0.2">
      <c r="A10" s="26" t="s">
        <v>48</v>
      </c>
      <c r="B10" s="26" t="s">
        <v>322</v>
      </c>
      <c r="C10" s="14">
        <f t="shared" si="4"/>
        <v>15.087142857142855</v>
      </c>
      <c r="D10" s="27">
        <v>7</v>
      </c>
      <c r="E10" s="27">
        <v>0</v>
      </c>
      <c r="F10" s="28">
        <v>105.60999999999999</v>
      </c>
      <c r="G10" s="28">
        <v>0</v>
      </c>
      <c r="H10" s="29">
        <f t="shared" si="1"/>
        <v>0</v>
      </c>
      <c r="I10" s="29">
        <f t="shared" si="2"/>
        <v>0.23037658785384862</v>
      </c>
      <c r="J10" s="30">
        <f t="shared" si="5"/>
        <v>24.33007144324495</v>
      </c>
      <c r="K10" s="30">
        <f t="shared" si="3"/>
        <v>3.4757244918921359</v>
      </c>
      <c r="L10" s="27">
        <v>83</v>
      </c>
      <c r="M10" s="31">
        <f t="shared" si="6"/>
        <v>8.4337349397590355E-2</v>
      </c>
      <c r="N10" s="27">
        <v>66</v>
      </c>
      <c r="O10" s="32">
        <f t="shared" ref="O10:P10" si="18">D10/7</f>
        <v>1</v>
      </c>
      <c r="P10" s="32">
        <f t="shared" si="18"/>
        <v>0</v>
      </c>
      <c r="Q10" s="27">
        <f t="shared" si="8"/>
        <v>66</v>
      </c>
      <c r="R10" s="27"/>
      <c r="S10" s="33">
        <v>0.741418764302059</v>
      </c>
      <c r="T10" s="26">
        <v>600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8.9495474537037031E-2</v>
      </c>
      <c r="AD10" s="37">
        <f t="shared" si="12"/>
        <v>-0.86452628402777765</v>
      </c>
      <c r="AE10" s="37">
        <v>-4.9000000000000004</v>
      </c>
      <c r="AF10" s="37">
        <v>-4.3248431818181796</v>
      </c>
      <c r="AG10" s="37">
        <v>0</v>
      </c>
    </row>
    <row r="11" spans="1:33" ht="15.75" customHeight="1" x14ac:dyDescent="0.2">
      <c r="A11" s="26" t="s">
        <v>50</v>
      </c>
      <c r="B11" s="26" t="s">
        <v>322</v>
      </c>
      <c r="C11" s="14">
        <f t="shared" si="4"/>
        <v>14.99</v>
      </c>
      <c r="D11" s="27">
        <v>5</v>
      </c>
      <c r="E11" s="27">
        <v>0</v>
      </c>
      <c r="F11" s="28">
        <v>74.95</v>
      </c>
      <c r="G11" s="28">
        <v>0</v>
      </c>
      <c r="H11" s="29">
        <f t="shared" si="1"/>
        <v>0</v>
      </c>
      <c r="I11" s="29">
        <f t="shared" si="2"/>
        <v>0.22636111162913339</v>
      </c>
      <c r="J11" s="30">
        <f t="shared" si="5"/>
        <v>16.965765316603548</v>
      </c>
      <c r="K11" s="30">
        <f t="shared" si="3"/>
        <v>3.3931530633207094</v>
      </c>
      <c r="L11" s="27">
        <v>46</v>
      </c>
      <c r="M11" s="31">
        <f t="shared" si="6"/>
        <v>0.10869565217391304</v>
      </c>
      <c r="N11" s="27">
        <v>61</v>
      </c>
      <c r="O11" s="32">
        <f t="shared" ref="O11:P11" si="19">D11/7</f>
        <v>0.7142857142857143</v>
      </c>
      <c r="P11" s="32">
        <f t="shared" si="19"/>
        <v>0</v>
      </c>
      <c r="Q11" s="27">
        <f t="shared" si="8"/>
        <v>85</v>
      </c>
      <c r="R11" s="27"/>
      <c r="S11" s="33">
        <v>0.76959619952493996</v>
      </c>
      <c r="T11" s="26">
        <v>600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8.9495474537037031E-2</v>
      </c>
      <c r="AD11" s="37">
        <f t="shared" si="12"/>
        <v>-0.61751877430555546</v>
      </c>
      <c r="AE11" s="37">
        <v>-4.9000000000000004</v>
      </c>
      <c r="AF11" s="37">
        <v>-4.3248431818181796</v>
      </c>
      <c r="AG11" s="37">
        <v>0</v>
      </c>
    </row>
    <row r="12" spans="1:33" ht="15.75" customHeight="1" x14ac:dyDescent="0.2">
      <c r="A12" s="26" t="s">
        <v>52</v>
      </c>
      <c r="B12" s="26" t="s">
        <v>322</v>
      </c>
      <c r="C12" s="14">
        <f t="shared" si="4"/>
        <v>14.99</v>
      </c>
      <c r="D12" s="27">
        <v>6</v>
      </c>
      <c r="E12" s="27">
        <v>0</v>
      </c>
      <c r="F12" s="28">
        <v>89.94</v>
      </c>
      <c r="G12" s="28">
        <v>0</v>
      </c>
      <c r="H12" s="29">
        <f t="shared" si="1"/>
        <v>0</v>
      </c>
      <c r="I12" s="29">
        <f t="shared" si="2"/>
        <v>0.22636111162913336</v>
      </c>
      <c r="J12" s="30">
        <f t="shared" si="5"/>
        <v>20.358918379924255</v>
      </c>
      <c r="K12" s="30">
        <f t="shared" si="3"/>
        <v>3.393153063320709</v>
      </c>
      <c r="L12" s="27">
        <v>38</v>
      </c>
      <c r="M12" s="31">
        <f t="shared" si="6"/>
        <v>0.15789473684210525</v>
      </c>
      <c r="N12" s="27">
        <v>53</v>
      </c>
      <c r="O12" s="32">
        <f t="shared" ref="O12:P12" si="20">D12/7</f>
        <v>0.8571428571428571</v>
      </c>
      <c r="P12" s="32">
        <f t="shared" si="20"/>
        <v>0</v>
      </c>
      <c r="Q12" s="27">
        <f t="shared" si="8"/>
        <v>61</v>
      </c>
      <c r="R12" s="27"/>
      <c r="S12" s="33">
        <v>0.83417085427135595</v>
      </c>
      <c r="T12" s="26">
        <v>600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8.9495474537037031E-2</v>
      </c>
      <c r="AD12" s="37">
        <f t="shared" si="12"/>
        <v>-0.74102252916666655</v>
      </c>
      <c r="AE12" s="37">
        <v>-4.9000000000000004</v>
      </c>
      <c r="AF12" s="37">
        <v>-4.3248431818181796</v>
      </c>
      <c r="AG12" s="37">
        <v>0</v>
      </c>
    </row>
    <row r="13" spans="1:33" ht="15.75" customHeight="1" x14ac:dyDescent="0.2">
      <c r="A13" s="26" t="s">
        <v>54</v>
      </c>
      <c r="B13" s="26" t="s">
        <v>551</v>
      </c>
      <c r="C13" s="14">
        <f t="shared" si="4"/>
        <v>14.99</v>
      </c>
      <c r="D13" s="27">
        <v>2</v>
      </c>
      <c r="E13" s="27">
        <v>0</v>
      </c>
      <c r="F13" s="30">
        <v>29.98</v>
      </c>
      <c r="G13" s="28">
        <v>0</v>
      </c>
      <c r="H13" s="29">
        <f t="shared" si="1"/>
        <v>0</v>
      </c>
      <c r="I13" s="29">
        <f t="shared" si="2"/>
        <v>0.22383670141626413</v>
      </c>
      <c r="J13" s="30">
        <f t="shared" si="5"/>
        <v>6.7106243084595985</v>
      </c>
      <c r="K13" s="30">
        <f t="shared" si="3"/>
        <v>3.3553121542297992</v>
      </c>
      <c r="L13" s="27">
        <v>27</v>
      </c>
      <c r="M13" s="31">
        <f t="shared" si="6"/>
        <v>7.407407407407407E-2</v>
      </c>
      <c r="N13" s="27">
        <v>52</v>
      </c>
      <c r="O13" s="32">
        <f t="shared" ref="O13:P13" si="21">D13/7</f>
        <v>0.2857142857142857</v>
      </c>
      <c r="P13" s="32">
        <f t="shared" si="21"/>
        <v>0</v>
      </c>
      <c r="Q13" s="27">
        <f t="shared" si="8"/>
        <v>182</v>
      </c>
      <c r="R13" s="27"/>
      <c r="S13" s="33">
        <v>0.85128205128205103</v>
      </c>
      <c r="T13" s="26">
        <v>600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8.9495474537037031E-2</v>
      </c>
      <c r="AD13" s="37">
        <f t="shared" si="12"/>
        <v>-0.24700750972222218</v>
      </c>
      <c r="AE13" s="37">
        <v>-4.9000000000000004</v>
      </c>
      <c r="AF13" s="37">
        <v>-4.3626840909090898</v>
      </c>
      <c r="AG13" s="37">
        <v>0</v>
      </c>
    </row>
    <row r="14" spans="1:33" ht="15.75" customHeight="1" x14ac:dyDescent="0.2">
      <c r="A14" s="26" t="s">
        <v>56</v>
      </c>
      <c r="B14" s="26" t="s">
        <v>322</v>
      </c>
      <c r="C14" s="14">
        <f t="shared" si="4"/>
        <v>14.3475</v>
      </c>
      <c r="D14" s="27">
        <v>4</v>
      </c>
      <c r="E14" s="27">
        <v>0</v>
      </c>
      <c r="F14" s="30">
        <v>57.39</v>
      </c>
      <c r="G14" s="28">
        <v>0</v>
      </c>
      <c r="H14" s="29">
        <f t="shared" si="1"/>
        <v>0</v>
      </c>
      <c r="I14" s="29">
        <f t="shared" si="2"/>
        <v>0.19579628187696807</v>
      </c>
      <c r="J14" s="30">
        <f t="shared" si="5"/>
        <v>11.236748616919197</v>
      </c>
      <c r="K14" s="30">
        <f t="shared" si="3"/>
        <v>2.8091871542297993</v>
      </c>
      <c r="L14" s="27">
        <v>47</v>
      </c>
      <c r="M14" s="31">
        <f t="shared" si="6"/>
        <v>8.5106382978723402E-2</v>
      </c>
      <c r="N14" s="27">
        <v>49</v>
      </c>
      <c r="O14" s="32">
        <f t="shared" ref="O14:P14" si="22">D14/7</f>
        <v>0.5714285714285714</v>
      </c>
      <c r="P14" s="32">
        <f t="shared" si="22"/>
        <v>0</v>
      </c>
      <c r="Q14" s="27">
        <f t="shared" si="8"/>
        <v>85</v>
      </c>
      <c r="R14" s="27"/>
      <c r="S14" s="33">
        <v>0.854700854700854</v>
      </c>
      <c r="T14" s="26">
        <v>600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8.9495474537037031E-2</v>
      </c>
      <c r="AD14" s="37">
        <f t="shared" si="12"/>
        <v>-0.49401501944444437</v>
      </c>
      <c r="AE14" s="37">
        <v>-4.9000000000000004</v>
      </c>
      <c r="AF14" s="37">
        <v>-4.3626840909090898</v>
      </c>
      <c r="AG14" s="37">
        <v>0</v>
      </c>
    </row>
    <row r="15" spans="1:33" ht="15.75" customHeight="1" x14ac:dyDescent="0.2">
      <c r="A15" s="26" t="s">
        <v>58</v>
      </c>
      <c r="B15" s="26" t="s">
        <v>322</v>
      </c>
      <c r="C15" s="14">
        <f t="shared" si="4"/>
        <v>13.065999999999999</v>
      </c>
      <c r="D15" s="27">
        <v>5</v>
      </c>
      <c r="E15" s="27">
        <v>0</v>
      </c>
      <c r="F15" s="30">
        <v>65.33</v>
      </c>
      <c r="G15" s="28">
        <v>0</v>
      </c>
      <c r="H15" s="29">
        <f t="shared" si="1"/>
        <v>0</v>
      </c>
      <c r="I15" s="29">
        <f t="shared" si="2"/>
        <v>0.13163264612198056</v>
      </c>
      <c r="J15" s="30">
        <f t="shared" si="5"/>
        <v>8.5995607711489903</v>
      </c>
      <c r="K15" s="30">
        <f t="shared" si="3"/>
        <v>1.7199121542297982</v>
      </c>
      <c r="L15" s="27">
        <v>30</v>
      </c>
      <c r="M15" s="31">
        <f t="shared" si="6"/>
        <v>0.16666666666666666</v>
      </c>
      <c r="N15" s="27">
        <v>44</v>
      </c>
      <c r="O15" s="32">
        <f t="shared" ref="O15:P15" si="23">D15/7</f>
        <v>0.7142857142857143</v>
      </c>
      <c r="P15" s="32">
        <f t="shared" si="23"/>
        <v>0</v>
      </c>
      <c r="Q15" s="27">
        <f t="shared" si="8"/>
        <v>61</v>
      </c>
      <c r="R15" s="27"/>
      <c r="S15" s="33">
        <v>0.89296636085626901</v>
      </c>
      <c r="T15" s="26">
        <v>330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8.9495474537037031E-2</v>
      </c>
      <c r="AD15" s="37">
        <f t="shared" si="12"/>
        <v>-0.61751877430555546</v>
      </c>
      <c r="AE15" s="37">
        <v>-4.9000000000000004</v>
      </c>
      <c r="AF15" s="37">
        <v>-4.3626840909090898</v>
      </c>
      <c r="AG15" s="37">
        <v>0</v>
      </c>
    </row>
    <row r="16" spans="1:33" ht="15.75" customHeight="1" x14ac:dyDescent="0.2">
      <c r="A16" s="26" t="s">
        <v>60</v>
      </c>
      <c r="B16" s="26" t="s">
        <v>322</v>
      </c>
      <c r="C16" s="14">
        <f t="shared" si="4"/>
        <v>12.99</v>
      </c>
      <c r="D16" s="27">
        <v>4</v>
      </c>
      <c r="E16" s="27">
        <v>0</v>
      </c>
      <c r="F16" s="30">
        <v>51.96</v>
      </c>
      <c r="G16" s="28">
        <v>0</v>
      </c>
      <c r="H16" s="29">
        <f t="shared" si="1"/>
        <v>0</v>
      </c>
      <c r="I16" s="29">
        <f t="shared" si="2"/>
        <v>0.12742972703847558</v>
      </c>
      <c r="J16" s="30">
        <f t="shared" si="5"/>
        <v>6.6212486169191918</v>
      </c>
      <c r="K16" s="30">
        <f t="shared" si="3"/>
        <v>1.6553121542297979</v>
      </c>
      <c r="L16" s="27">
        <v>50</v>
      </c>
      <c r="M16" s="31">
        <f t="shared" si="6"/>
        <v>0.08</v>
      </c>
      <c r="N16" s="27">
        <v>40</v>
      </c>
      <c r="O16" s="32">
        <f t="shared" ref="O16:P16" si="24">D16/7</f>
        <v>0.5714285714285714</v>
      </c>
      <c r="P16" s="32">
        <f t="shared" si="24"/>
        <v>0</v>
      </c>
      <c r="Q16" s="27">
        <f t="shared" si="8"/>
        <v>70</v>
      </c>
      <c r="R16" s="27"/>
      <c r="S16" s="33">
        <v>1.00325732899022</v>
      </c>
      <c r="T16" s="26">
        <v>330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8.9495474537037031E-2</v>
      </c>
      <c r="AD16" s="37">
        <f t="shared" si="12"/>
        <v>-0.49401501944444437</v>
      </c>
      <c r="AE16" s="37">
        <v>-4.9000000000000004</v>
      </c>
      <c r="AF16" s="37">
        <v>-4.3626840909090898</v>
      </c>
      <c r="AG16" s="37">
        <v>0</v>
      </c>
    </row>
    <row r="17" spans="1:33" ht="15.75" customHeight="1" x14ac:dyDescent="0.2">
      <c r="A17" s="26" t="s">
        <v>61</v>
      </c>
      <c r="B17" s="26" t="s">
        <v>322</v>
      </c>
      <c r="C17" s="14">
        <f t="shared" si="4"/>
        <v>9.7424999999999997</v>
      </c>
      <c r="D17" s="27">
        <v>4</v>
      </c>
      <c r="E17" s="27">
        <v>0</v>
      </c>
      <c r="F17" s="30">
        <v>38.97</v>
      </c>
      <c r="G17" s="28">
        <v>0</v>
      </c>
      <c r="H17" s="29">
        <f t="shared" si="1"/>
        <v>0</v>
      </c>
      <c r="I17" s="29">
        <f t="shared" si="2"/>
        <v>-0.11342703061536585</v>
      </c>
      <c r="J17" s="30">
        <f t="shared" si="5"/>
        <v>-4.4202513830808075</v>
      </c>
      <c r="K17" s="30">
        <f t="shared" si="3"/>
        <v>-1.1050628457702019</v>
      </c>
      <c r="L17" s="27">
        <v>32</v>
      </c>
      <c r="M17" s="31">
        <f t="shared" si="6"/>
        <v>0.125</v>
      </c>
      <c r="N17" s="27">
        <v>36</v>
      </c>
      <c r="O17" s="32">
        <f t="shared" ref="O17:P17" si="25">D17/7</f>
        <v>0.5714285714285714</v>
      </c>
      <c r="P17" s="32">
        <f t="shared" si="25"/>
        <v>0</v>
      </c>
      <c r="Q17" s="27">
        <f t="shared" si="8"/>
        <v>63</v>
      </c>
      <c r="R17" s="27"/>
      <c r="S17" s="33">
        <v>1.0380622837370199</v>
      </c>
      <c r="T17" s="26">
        <v>330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8.9495474537037031E-2</v>
      </c>
      <c r="AD17" s="37">
        <f t="shared" si="12"/>
        <v>-0.49401501944444437</v>
      </c>
      <c r="AE17" s="37">
        <v>-4.9000000000000004</v>
      </c>
      <c r="AF17" s="37">
        <v>-4.3626840909090898</v>
      </c>
      <c r="AG17" s="37">
        <v>0</v>
      </c>
    </row>
    <row r="18" spans="1:33" ht="15.75" customHeight="1" x14ac:dyDescent="0.2">
      <c r="A18" s="26" t="s">
        <v>62</v>
      </c>
      <c r="B18" s="26" t="s">
        <v>322</v>
      </c>
      <c r="C18" s="14">
        <f t="shared" si="4"/>
        <v>12.99</v>
      </c>
      <c r="D18" s="27">
        <v>2</v>
      </c>
      <c r="E18" s="27">
        <v>0</v>
      </c>
      <c r="F18" s="30">
        <v>25.98</v>
      </c>
      <c r="G18" s="28">
        <v>0</v>
      </c>
      <c r="H18" s="29">
        <f t="shared" si="1"/>
        <v>0</v>
      </c>
      <c r="I18" s="29">
        <f t="shared" si="2"/>
        <v>0.12742972703847558</v>
      </c>
      <c r="J18" s="30">
        <f t="shared" si="5"/>
        <v>3.3106243084595959</v>
      </c>
      <c r="K18" s="30">
        <f t="shared" si="3"/>
        <v>1.6553121542297979</v>
      </c>
      <c r="L18" s="27">
        <v>17</v>
      </c>
      <c r="M18" s="31">
        <f t="shared" si="6"/>
        <v>0.11764705882352941</v>
      </c>
      <c r="N18" s="27">
        <v>34</v>
      </c>
      <c r="O18" s="32">
        <f t="shared" ref="O18:P18" si="26">D18/7</f>
        <v>0.2857142857142857</v>
      </c>
      <c r="P18" s="32">
        <f t="shared" si="26"/>
        <v>0</v>
      </c>
      <c r="Q18" s="27">
        <f t="shared" si="8"/>
        <v>119</v>
      </c>
      <c r="R18" s="27"/>
      <c r="S18" s="33">
        <v>1</v>
      </c>
      <c r="T18" s="26">
        <v>330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8.9495474537037031E-2</v>
      </c>
      <c r="AD18" s="37">
        <f t="shared" si="12"/>
        <v>-0.24700750972222218</v>
      </c>
      <c r="AE18" s="37">
        <v>-4.9000000000000004</v>
      </c>
      <c r="AF18" s="37">
        <v>-4.3626840909090898</v>
      </c>
      <c r="AG18" s="37">
        <v>0</v>
      </c>
    </row>
    <row r="19" spans="1:33" ht="15.75" customHeight="1" x14ac:dyDescent="0.2">
      <c r="A19" s="26" t="s">
        <v>64</v>
      </c>
      <c r="B19" s="26" t="s">
        <v>552</v>
      </c>
      <c r="C19" s="14">
        <f t="shared" si="4"/>
        <v>12.99</v>
      </c>
      <c r="D19" s="27">
        <v>2</v>
      </c>
      <c r="E19" s="27">
        <v>0</v>
      </c>
      <c r="F19" s="30">
        <v>25.98</v>
      </c>
      <c r="G19" s="28">
        <v>0</v>
      </c>
      <c r="H19" s="29">
        <f t="shared" si="1"/>
        <v>0</v>
      </c>
      <c r="I19" s="29">
        <f t="shared" si="2"/>
        <v>0.12742972703847552</v>
      </c>
      <c r="J19" s="30">
        <f t="shared" si="5"/>
        <v>3.3106243084595941</v>
      </c>
      <c r="K19" s="30">
        <f t="shared" si="3"/>
        <v>1.6553121542297971</v>
      </c>
      <c r="L19" s="27">
        <v>29</v>
      </c>
      <c r="M19" s="31">
        <f t="shared" si="6"/>
        <v>6.8965517241379309E-2</v>
      </c>
      <c r="N19" s="27">
        <v>32</v>
      </c>
      <c r="O19" s="32">
        <f t="shared" ref="O19:P19" si="27">D19/7</f>
        <v>0.2857142857142857</v>
      </c>
      <c r="P19" s="32">
        <f t="shared" si="27"/>
        <v>0</v>
      </c>
      <c r="Q19" s="27">
        <f t="shared" si="8"/>
        <v>112</v>
      </c>
      <c r="R19" s="27"/>
      <c r="S19" s="33">
        <v>0.93927125506072795</v>
      </c>
      <c r="T19" s="26">
        <v>330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8.9495474537037031E-2</v>
      </c>
      <c r="AD19" s="37">
        <f t="shared" si="12"/>
        <v>-0.24700750972222218</v>
      </c>
      <c r="AE19" s="37">
        <v>-4.9000000000000004</v>
      </c>
      <c r="AF19" s="37">
        <v>-4.3626840909090907</v>
      </c>
      <c r="AG19" s="37">
        <v>0</v>
      </c>
    </row>
    <row r="20" spans="1:33" ht="15.75" customHeight="1" x14ac:dyDescent="0.2">
      <c r="A20" s="26" t="s">
        <v>65</v>
      </c>
      <c r="B20" s="26" t="s">
        <v>322</v>
      </c>
      <c r="C20" s="14">
        <f t="shared" si="4"/>
        <v>12.202000000000002</v>
      </c>
      <c r="D20" s="27">
        <v>5</v>
      </c>
      <c r="E20" s="27">
        <v>0</v>
      </c>
      <c r="F20" s="30">
        <v>61.010000000000005</v>
      </c>
      <c r="G20" s="28">
        <v>0</v>
      </c>
      <c r="H20" s="29">
        <f t="shared" si="1"/>
        <v>0</v>
      </c>
      <c r="I20" s="29">
        <f t="shared" si="2"/>
        <v>8.0766444372217611E-2</v>
      </c>
      <c r="J20" s="30">
        <f t="shared" si="5"/>
        <v>4.9275607711489968</v>
      </c>
      <c r="K20" s="30">
        <f t="shared" si="3"/>
        <v>0.98551215422979932</v>
      </c>
      <c r="L20" s="27">
        <v>14</v>
      </c>
      <c r="M20" s="31">
        <f t="shared" si="6"/>
        <v>0.35714285714285715</v>
      </c>
      <c r="N20" s="27">
        <v>29</v>
      </c>
      <c r="O20" s="32">
        <f t="shared" ref="O20:P20" si="28">D20/7</f>
        <v>0.7142857142857143</v>
      </c>
      <c r="P20" s="32">
        <f t="shared" si="28"/>
        <v>0</v>
      </c>
      <c r="Q20" s="27">
        <f t="shared" si="8"/>
        <v>40</v>
      </c>
      <c r="R20" s="27"/>
      <c r="S20" s="33">
        <v>0.99115044247787598</v>
      </c>
      <c r="T20" s="26">
        <v>480</v>
      </c>
      <c r="U20" s="34">
        <v>150</v>
      </c>
      <c r="V20" s="35" t="s">
        <v>553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8.9495474537037031E-2</v>
      </c>
      <c r="AD20" s="37">
        <f t="shared" si="12"/>
        <v>-0.61751877430555546</v>
      </c>
      <c r="AE20" s="37">
        <v>-4.9000000000000004</v>
      </c>
      <c r="AF20" s="37">
        <v>-4.3626840909090907</v>
      </c>
      <c r="AG20" s="37">
        <v>0</v>
      </c>
    </row>
    <row r="21" spans="1:33" ht="15.75" customHeight="1" x14ac:dyDescent="0.2">
      <c r="A21" s="26" t="s">
        <v>66</v>
      </c>
      <c r="B21" s="26" t="s">
        <v>322</v>
      </c>
      <c r="C21" s="14">
        <f t="shared" si="4"/>
        <v>10.99</v>
      </c>
      <c r="D21" s="27">
        <v>2</v>
      </c>
      <c r="E21" s="27">
        <v>0</v>
      </c>
      <c r="F21" s="30">
        <v>21.98</v>
      </c>
      <c r="G21" s="28">
        <v>0</v>
      </c>
      <c r="H21" s="29">
        <f t="shared" si="1"/>
        <v>0</v>
      </c>
      <c r="I21" s="29">
        <f t="shared" si="2"/>
        <v>-4.0662280045679925E-3</v>
      </c>
      <c r="J21" s="30">
        <f t="shared" si="5"/>
        <v>-8.9375691540404478E-2</v>
      </c>
      <c r="K21" s="30">
        <f t="shared" si="3"/>
        <v>-4.4687845770202239E-2</v>
      </c>
      <c r="L21" s="27">
        <v>4</v>
      </c>
      <c r="M21" s="31">
        <f t="shared" si="6"/>
        <v>0.5</v>
      </c>
      <c r="N21" s="27">
        <v>27</v>
      </c>
      <c r="O21" s="32">
        <f t="shared" ref="O21:P21" si="29">D21/7</f>
        <v>0.2857142857142857</v>
      </c>
      <c r="P21" s="32">
        <f t="shared" si="29"/>
        <v>0</v>
      </c>
      <c r="Q21" s="27">
        <f t="shared" si="8"/>
        <v>94</v>
      </c>
      <c r="R21" s="27"/>
      <c r="S21" s="33">
        <v>0.98039215686274495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8.9495474537037031E-2</v>
      </c>
      <c r="AD21" s="37">
        <f t="shared" si="12"/>
        <v>-0.24700750972222218</v>
      </c>
      <c r="AE21" s="37">
        <v>-4.9000000000000004</v>
      </c>
      <c r="AF21" s="37">
        <v>-4.3626840909090907</v>
      </c>
      <c r="AG21" s="37">
        <v>0</v>
      </c>
    </row>
    <row r="22" spans="1:33" ht="15.75" customHeight="1" x14ac:dyDescent="0.2">
      <c r="A22" s="26" t="s">
        <v>67</v>
      </c>
      <c r="B22" s="26" t="s">
        <v>322</v>
      </c>
      <c r="C22" s="14">
        <f t="shared" si="4"/>
        <v>10.99</v>
      </c>
      <c r="D22" s="27">
        <v>4</v>
      </c>
      <c r="E22" s="27">
        <v>0</v>
      </c>
      <c r="F22" s="28">
        <v>43.96</v>
      </c>
      <c r="G22" s="28">
        <v>0</v>
      </c>
      <c r="H22" s="29">
        <f t="shared" si="1"/>
        <v>0</v>
      </c>
      <c r="I22" s="29">
        <f t="shared" si="2"/>
        <v>-4.0662280045679925E-3</v>
      </c>
      <c r="J22" s="30">
        <f t="shared" si="5"/>
        <v>-0.17875138308080896</v>
      </c>
      <c r="K22" s="30">
        <f t="shared" si="3"/>
        <v>-4.4687845770202239E-2</v>
      </c>
      <c r="L22" s="27">
        <v>17</v>
      </c>
      <c r="M22" s="31">
        <f t="shared" si="6"/>
        <v>0.23529411764705882</v>
      </c>
      <c r="N22" s="27">
        <v>23</v>
      </c>
      <c r="O22" s="32">
        <f t="shared" ref="O22:P22" si="30">D22/7</f>
        <v>0.5714285714285714</v>
      </c>
      <c r="P22" s="32">
        <f t="shared" si="30"/>
        <v>0</v>
      </c>
      <c r="Q22" s="27">
        <f t="shared" si="8"/>
        <v>40</v>
      </c>
      <c r="R22" s="27"/>
      <c r="S22" s="33">
        <v>0.99492385786801996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8.9495474537037031E-2</v>
      </c>
      <c r="AD22" s="37">
        <f t="shared" si="12"/>
        <v>-0.49401501944444437</v>
      </c>
      <c r="AE22" s="37">
        <v>-4.9000000000000004</v>
      </c>
      <c r="AF22" s="37">
        <v>-4.3626840909090907</v>
      </c>
      <c r="AG22" s="37">
        <v>0</v>
      </c>
    </row>
    <row r="23" spans="1:33" ht="15.75" customHeight="1" x14ac:dyDescent="0.2">
      <c r="A23" s="26" t="s">
        <v>68</v>
      </c>
      <c r="B23" s="26" t="s">
        <v>554</v>
      </c>
      <c r="C23" s="14">
        <f t="shared" si="4"/>
        <v>10.99</v>
      </c>
      <c r="D23" s="27">
        <v>3</v>
      </c>
      <c r="E23" s="27">
        <v>0</v>
      </c>
      <c r="F23" s="30">
        <v>32.97</v>
      </c>
      <c r="G23" s="28">
        <v>0</v>
      </c>
      <c r="H23" s="29">
        <f t="shared" si="1"/>
        <v>0</v>
      </c>
      <c r="I23" s="29">
        <f t="shared" si="2"/>
        <v>-4.0662280045679657E-3</v>
      </c>
      <c r="J23" s="30">
        <f t="shared" si="5"/>
        <v>-0.13406353731060583</v>
      </c>
      <c r="K23" s="30">
        <f t="shared" si="3"/>
        <v>-4.4687845770201941E-2</v>
      </c>
      <c r="L23" s="27">
        <v>21</v>
      </c>
      <c r="M23" s="31">
        <f t="shared" si="6"/>
        <v>0.14285714285714285</v>
      </c>
      <c r="N23" s="27">
        <v>21</v>
      </c>
      <c r="O23" s="32">
        <f t="shared" ref="O23:P23" si="31">D23/7</f>
        <v>0.42857142857142855</v>
      </c>
      <c r="P23" s="32">
        <f t="shared" si="31"/>
        <v>0</v>
      </c>
      <c r="Q23" s="27">
        <f t="shared" si="8"/>
        <v>49</v>
      </c>
      <c r="R23" s="27"/>
      <c r="S23" s="33">
        <v>0.98360655737704905</v>
      </c>
      <c r="T23" s="26">
        <v>480</v>
      </c>
      <c r="U23" s="34" t="s">
        <v>34</v>
      </c>
      <c r="V23" s="35" t="s">
        <v>555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8.9495474537037031E-2</v>
      </c>
      <c r="AD23" s="37">
        <f t="shared" si="12"/>
        <v>-0.37051126458333328</v>
      </c>
      <c r="AE23" s="37">
        <v>-4.9000000000000004</v>
      </c>
      <c r="AF23" s="37">
        <v>-4.3626840909090907</v>
      </c>
      <c r="AG23" s="37">
        <v>0</v>
      </c>
    </row>
    <row r="24" spans="1:33" ht="15.75" customHeight="1" x14ac:dyDescent="0.2">
      <c r="A24" s="26" t="s">
        <v>71</v>
      </c>
      <c r="B24" s="26" t="s">
        <v>556</v>
      </c>
      <c r="C24" s="14">
        <f t="shared" si="4"/>
        <v>10.99</v>
      </c>
      <c r="D24" s="27">
        <v>1</v>
      </c>
      <c r="E24" s="27">
        <v>0</v>
      </c>
      <c r="F24" s="30">
        <v>10.99</v>
      </c>
      <c r="G24" s="30">
        <v>-2.42</v>
      </c>
      <c r="H24" s="29">
        <f t="shared" si="1"/>
        <v>0.22020018198362146</v>
      </c>
      <c r="I24" s="29">
        <f t="shared" si="2"/>
        <v>-0.31525822072522308</v>
      </c>
      <c r="J24" s="30">
        <f t="shared" si="5"/>
        <v>-3.4646878457702019</v>
      </c>
      <c r="K24" s="30">
        <f t="shared" si="3"/>
        <v>-3.4646878457702019</v>
      </c>
      <c r="L24" s="27">
        <v>28</v>
      </c>
      <c r="M24" s="31">
        <f t="shared" si="6"/>
        <v>3.5714285714285712E-2</v>
      </c>
      <c r="N24" s="27">
        <v>20</v>
      </c>
      <c r="O24" s="32">
        <f t="shared" ref="O24:P24" si="32">D24/7</f>
        <v>0.14285714285714285</v>
      </c>
      <c r="P24" s="32">
        <f t="shared" si="32"/>
        <v>0</v>
      </c>
      <c r="Q24" s="27">
        <f t="shared" si="8"/>
        <v>140</v>
      </c>
      <c r="R24" s="27"/>
      <c r="S24" s="33">
        <v>1.04242424242424</v>
      </c>
      <c r="T24" s="26">
        <v>480</v>
      </c>
      <c r="U24" s="34" t="s">
        <v>34</v>
      </c>
      <c r="V24" s="35" t="s">
        <v>555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8.9495474537037031E-2</v>
      </c>
      <c r="AD24" s="37">
        <f t="shared" si="12"/>
        <v>-0.12350375486111109</v>
      </c>
      <c r="AE24" s="37">
        <v>-4.9000000000000004</v>
      </c>
      <c r="AF24" s="37">
        <v>-4.3626840909090907</v>
      </c>
      <c r="AG24" s="37">
        <v>-1</v>
      </c>
    </row>
    <row r="25" spans="1:33" ht="15.75" customHeight="1" x14ac:dyDescent="0.2">
      <c r="A25" s="40" t="s">
        <v>73</v>
      </c>
      <c r="B25" s="40" t="s">
        <v>557</v>
      </c>
      <c r="C25" s="14">
        <f t="shared" si="4"/>
        <v>9.99</v>
      </c>
      <c r="D25" s="15">
        <v>4</v>
      </c>
      <c r="E25" s="15">
        <v>0</v>
      </c>
      <c r="F25" s="16">
        <v>39.96</v>
      </c>
      <c r="G25" s="16">
        <v>-4.6900000000000004</v>
      </c>
      <c r="H25" s="29">
        <f t="shared" si="1"/>
        <v>0.11736736736736737</v>
      </c>
      <c r="I25" s="29">
        <f t="shared" si="2"/>
        <v>-0.23168205754365481</v>
      </c>
      <c r="J25" s="30">
        <f t="shared" si="5"/>
        <v>-9.2580150194444464</v>
      </c>
      <c r="K25" s="30">
        <f t="shared" si="3"/>
        <v>-2.3145037548611116</v>
      </c>
      <c r="L25" s="15">
        <v>58</v>
      </c>
      <c r="M25" s="31">
        <f t="shared" si="6"/>
        <v>6.8965517241379309E-2</v>
      </c>
      <c r="N25" s="15">
        <v>14</v>
      </c>
      <c r="O25" s="32">
        <f t="shared" ref="O25:P25" si="33">D25/7</f>
        <v>0.5714285714285714</v>
      </c>
      <c r="P25" s="32">
        <f t="shared" si="33"/>
        <v>0</v>
      </c>
      <c r="Q25" s="27">
        <f t="shared" si="8"/>
        <v>24</v>
      </c>
      <c r="R25" s="27"/>
      <c r="S25" s="41">
        <v>1.126760563380282</v>
      </c>
      <c r="T25" s="26">
        <v>480</v>
      </c>
      <c r="U25" s="34">
        <v>150</v>
      </c>
      <c r="V25" s="35" t="s">
        <v>558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8.9495474537037031E-2</v>
      </c>
      <c r="AD25" s="37">
        <f t="shared" si="12"/>
        <v>-0.49401501944444437</v>
      </c>
      <c r="AE25" s="42">
        <v>-4.9000000000000004</v>
      </c>
      <c r="AF25" s="42">
        <v>-4.3600000000000003</v>
      </c>
      <c r="AG25" s="42">
        <v>-1</v>
      </c>
    </row>
    <row r="26" spans="1:33" ht="15.75" customHeight="1" x14ac:dyDescent="0.2">
      <c r="A26" s="40" t="s">
        <v>75</v>
      </c>
      <c r="B26" s="40" t="s">
        <v>557</v>
      </c>
      <c r="C26" s="14">
        <f t="shared" si="4"/>
        <v>9.99</v>
      </c>
      <c r="D26" s="15">
        <v>8</v>
      </c>
      <c r="E26" s="15">
        <v>0</v>
      </c>
      <c r="F26" s="16">
        <v>79.92</v>
      </c>
      <c r="G26" s="16">
        <v>-2.0499999999999998</v>
      </c>
      <c r="H26" s="29">
        <f t="shared" si="1"/>
        <v>2.5650650650650648E-2</v>
      </c>
      <c r="I26" s="29">
        <f t="shared" si="2"/>
        <v>-0.12021399857559564</v>
      </c>
      <c r="J26" s="30">
        <f t="shared" si="5"/>
        <v>-9.6075027661616037</v>
      </c>
      <c r="K26" s="30">
        <f t="shared" si="3"/>
        <v>-1.2009378457702005</v>
      </c>
      <c r="L26" s="15">
        <v>40</v>
      </c>
      <c r="M26" s="31">
        <f t="shared" si="6"/>
        <v>0.2</v>
      </c>
      <c r="N26" s="15">
        <v>9</v>
      </c>
      <c r="O26" s="32">
        <f t="shared" ref="O26:P26" si="34">D26/7</f>
        <v>1.1428571428571428</v>
      </c>
      <c r="P26" s="32">
        <f t="shared" si="34"/>
        <v>0</v>
      </c>
      <c r="Q26" s="27">
        <f t="shared" si="8"/>
        <v>7</v>
      </c>
      <c r="R26" s="27"/>
      <c r="S26" s="41">
        <v>1.303030303030303</v>
      </c>
      <c r="T26" s="26">
        <v>480</v>
      </c>
      <c r="U26" s="34">
        <v>150</v>
      </c>
      <c r="V26" s="35" t="s">
        <v>558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8.9495474537037031E-2</v>
      </c>
      <c r="AD26" s="37">
        <f t="shared" si="12"/>
        <v>-0.98803003888888874</v>
      </c>
      <c r="AE26" s="42">
        <v>-4.95</v>
      </c>
      <c r="AF26" s="42">
        <v>-4.3626840909090898</v>
      </c>
      <c r="AG26" s="42">
        <v>0</v>
      </c>
    </row>
    <row r="27" spans="1:33" ht="15.75" customHeight="1" x14ac:dyDescent="0.2">
      <c r="A27" s="40" t="s">
        <v>77</v>
      </c>
      <c r="B27" s="40" t="s">
        <v>557</v>
      </c>
      <c r="C27" s="14">
        <f t="shared" si="4"/>
        <v>9.99</v>
      </c>
      <c r="D27" s="15">
        <v>5</v>
      </c>
      <c r="E27" s="15">
        <v>0</v>
      </c>
      <c r="F27" s="16">
        <v>49.95</v>
      </c>
      <c r="G27" s="16">
        <v>-1.25</v>
      </c>
      <c r="H27" s="29">
        <f t="shared" si="1"/>
        <v>2.5025025025025023E-2</v>
      </c>
      <c r="I27" s="29">
        <f t="shared" si="2"/>
        <v>-0.15962841299001007</v>
      </c>
      <c r="J27" s="30">
        <f t="shared" si="5"/>
        <v>-7.973439228851003</v>
      </c>
      <c r="K27" s="30">
        <f t="shared" si="3"/>
        <v>-1.5946878457702005</v>
      </c>
      <c r="L27" s="15">
        <v>51</v>
      </c>
      <c r="M27" s="31">
        <f t="shared" si="6"/>
        <v>9.8039215686274508E-2</v>
      </c>
      <c r="N27" s="15">
        <v>2</v>
      </c>
      <c r="O27" s="32">
        <f t="shared" ref="O27:P27" si="35">D27/7</f>
        <v>0.7142857142857143</v>
      </c>
      <c r="P27" s="32">
        <f t="shared" si="35"/>
        <v>0</v>
      </c>
      <c r="Q27" s="27">
        <f t="shared" si="8"/>
        <v>2</v>
      </c>
      <c r="R27" s="27"/>
      <c r="S27" s="41">
        <v>1.4214876033057851</v>
      </c>
      <c r="T27" s="26">
        <v>480</v>
      </c>
      <c r="U27" s="34">
        <v>150</v>
      </c>
      <c r="V27" s="35" t="s">
        <v>559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8.9495474537037031E-2</v>
      </c>
      <c r="AD27" s="37">
        <f t="shared" si="12"/>
        <v>-0.61751877430555546</v>
      </c>
      <c r="AE27" s="42">
        <v>-4.95</v>
      </c>
      <c r="AF27" s="42">
        <v>-4.3626840909090898</v>
      </c>
      <c r="AG27" s="42">
        <v>-2</v>
      </c>
    </row>
    <row r="28" spans="1:33" ht="15.75" customHeight="1" x14ac:dyDescent="0.2">
      <c r="A28" s="40" t="s">
        <v>79</v>
      </c>
      <c r="B28" s="40" t="s">
        <v>560</v>
      </c>
      <c r="C28" s="14">
        <f t="shared" si="4"/>
        <v>9.99</v>
      </c>
      <c r="D28" s="15">
        <v>2</v>
      </c>
      <c r="E28" s="15">
        <v>0</v>
      </c>
      <c r="F28" s="16">
        <v>19.98</v>
      </c>
      <c r="G28" s="16">
        <v>-0.3</v>
      </c>
      <c r="H28" s="29">
        <f t="shared" si="1"/>
        <v>1.5015015015015015E-2</v>
      </c>
      <c r="I28" s="29">
        <f t="shared" si="2"/>
        <v>-0.10957836293996008</v>
      </c>
      <c r="J28" s="30">
        <f t="shared" si="5"/>
        <v>-2.1893756915404023</v>
      </c>
      <c r="K28" s="30">
        <f t="shared" si="3"/>
        <v>-1.0946878457702012</v>
      </c>
      <c r="L28" s="15">
        <v>36</v>
      </c>
      <c r="M28" s="31">
        <f t="shared" si="6"/>
        <v>5.5555555555555552E-2</v>
      </c>
      <c r="N28" s="15">
        <v>150</v>
      </c>
      <c r="O28" s="32">
        <f t="shared" ref="O28:P28" si="36">D28/7</f>
        <v>0.2857142857142857</v>
      </c>
      <c r="P28" s="32">
        <f t="shared" si="36"/>
        <v>0</v>
      </c>
      <c r="Q28" s="27">
        <f t="shared" si="8"/>
        <v>525</v>
      </c>
      <c r="R28" s="27"/>
      <c r="S28" s="41">
        <v>0.71317829457364346</v>
      </c>
      <c r="T28" s="40" t="s">
        <v>34</v>
      </c>
      <c r="U28" s="22" t="s">
        <v>34</v>
      </c>
      <c r="V28" s="1" t="s">
        <v>561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8.9495474537037031E-2</v>
      </c>
      <c r="AD28" s="37">
        <f t="shared" si="12"/>
        <v>-0.24700750972222218</v>
      </c>
      <c r="AE28" s="42">
        <v>-4.95</v>
      </c>
      <c r="AF28" s="42">
        <v>-4.3626840909090898</v>
      </c>
      <c r="AG28" s="42">
        <v>0</v>
      </c>
    </row>
    <row r="29" spans="1:33" ht="15.75" customHeight="1" x14ac:dyDescent="0.2">
      <c r="A29" s="26" t="s">
        <v>82</v>
      </c>
      <c r="B29" s="40" t="s">
        <v>560</v>
      </c>
      <c r="C29" s="14">
        <f t="shared" si="4"/>
        <v>9.99</v>
      </c>
      <c r="D29" s="27">
        <v>6</v>
      </c>
      <c r="E29" s="27">
        <v>0</v>
      </c>
      <c r="F29" s="30">
        <v>59.94</v>
      </c>
      <c r="G29" s="30">
        <v>-0.3</v>
      </c>
      <c r="H29" s="29">
        <f t="shared" si="1"/>
        <v>5.005005005005005E-3</v>
      </c>
      <c r="I29" s="29">
        <f t="shared" si="2"/>
        <v>-9.9568352929950088E-2</v>
      </c>
      <c r="J29" s="30">
        <f t="shared" si="5"/>
        <v>-5.9681270746212078</v>
      </c>
      <c r="K29" s="30">
        <f t="shared" si="3"/>
        <v>-0.99468784577020131</v>
      </c>
      <c r="L29" s="27">
        <v>47</v>
      </c>
      <c r="M29" s="31">
        <f t="shared" si="6"/>
        <v>0.1276595744680851</v>
      </c>
      <c r="N29" s="15">
        <v>145</v>
      </c>
      <c r="O29" s="32">
        <f t="shared" ref="O29:P29" si="37">D29/7</f>
        <v>0.8571428571428571</v>
      </c>
      <c r="P29" s="32">
        <f t="shared" si="37"/>
        <v>0</v>
      </c>
      <c r="Q29" s="27">
        <f t="shared" si="8"/>
        <v>169</v>
      </c>
      <c r="R29" s="27"/>
      <c r="S29" s="41">
        <v>0.759493670886076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8.9495474537037031E-2</v>
      </c>
      <c r="AD29" s="37">
        <f t="shared" si="12"/>
        <v>-0.74102252916666655</v>
      </c>
      <c r="AE29" s="37">
        <v>-4.95</v>
      </c>
      <c r="AF29" s="42">
        <v>-4.3626840909090898</v>
      </c>
      <c r="AG29" s="37">
        <v>0</v>
      </c>
    </row>
    <row r="30" spans="1:33" ht="15.75" customHeight="1" x14ac:dyDescent="0.2">
      <c r="A30" s="40" t="s">
        <v>84</v>
      </c>
      <c r="B30" s="40" t="s">
        <v>544</v>
      </c>
      <c r="C30" s="14">
        <f t="shared" si="4"/>
        <v>9.99</v>
      </c>
      <c r="D30" s="15">
        <v>3</v>
      </c>
      <c r="E30" s="15">
        <v>0</v>
      </c>
      <c r="F30" s="16">
        <v>29.97</v>
      </c>
      <c r="G30" s="16">
        <v>0</v>
      </c>
      <c r="H30" s="29">
        <f t="shared" si="1"/>
        <v>0</v>
      </c>
      <c r="I30" s="29">
        <f t="shared" si="2"/>
        <v>-8.9100080879490687E-2</v>
      </c>
      <c r="J30" s="30">
        <f t="shared" si="5"/>
        <v>-2.6703294239583357</v>
      </c>
      <c r="K30" s="30">
        <f t="shared" si="3"/>
        <v>-0.89010980798611194</v>
      </c>
      <c r="L30" s="15">
        <v>27</v>
      </c>
      <c r="M30" s="31">
        <f t="shared" si="6"/>
        <v>0.1111111111111111</v>
      </c>
      <c r="N30" s="15">
        <v>117</v>
      </c>
      <c r="O30" s="32">
        <f t="shared" ref="O30:P30" si="38">D30/7</f>
        <v>0.42857142857142855</v>
      </c>
      <c r="P30" s="32">
        <f t="shared" si="38"/>
        <v>0</v>
      </c>
      <c r="Q30" s="27">
        <f t="shared" si="8"/>
        <v>273</v>
      </c>
      <c r="R30" s="27"/>
      <c r="S30" s="41">
        <v>0.78602620087336239</v>
      </c>
      <c r="T30" s="26">
        <v>210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8.9495474537037031E-2</v>
      </c>
      <c r="AD30" s="37">
        <f t="shared" si="12"/>
        <v>-0.37051126458333328</v>
      </c>
      <c r="AE30" s="42">
        <v>-4.95</v>
      </c>
      <c r="AF30" s="42">
        <v>-4.3081060531249999</v>
      </c>
      <c r="AG30" s="42">
        <v>0</v>
      </c>
    </row>
    <row r="31" spans="1:33" ht="15.75" customHeight="1" x14ac:dyDescent="0.2">
      <c r="A31" s="40" t="s">
        <v>87</v>
      </c>
      <c r="B31" s="40" t="s">
        <v>492</v>
      </c>
      <c r="C31" s="14">
        <f t="shared" si="4"/>
        <v>9.99</v>
      </c>
      <c r="D31" s="15">
        <v>1</v>
      </c>
      <c r="E31" s="15">
        <v>0</v>
      </c>
      <c r="F31" s="16">
        <v>9.99</v>
      </c>
      <c r="G31" s="43">
        <v>-0.3</v>
      </c>
      <c r="H31" s="29">
        <f t="shared" si="1"/>
        <v>3.003003003003003E-2</v>
      </c>
      <c r="I31" s="29">
        <f t="shared" si="2"/>
        <v>-0.21923021100962076</v>
      </c>
      <c r="J31" s="30">
        <f t="shared" si="5"/>
        <v>-2.1901098079861114</v>
      </c>
      <c r="K31" s="30">
        <f t="shared" si="3"/>
        <v>-2.1901098079861114</v>
      </c>
      <c r="L31" s="15">
        <v>45</v>
      </c>
      <c r="M31" s="31">
        <f t="shared" si="6"/>
        <v>2.2222222222222223E-2</v>
      </c>
      <c r="N31" s="15">
        <v>141</v>
      </c>
      <c r="O31" s="32">
        <f t="shared" ref="O31:P31" si="39">D31/7</f>
        <v>0.14285714285714285</v>
      </c>
      <c r="P31" s="32">
        <f t="shared" si="39"/>
        <v>0</v>
      </c>
      <c r="Q31" s="27">
        <f t="shared" si="8"/>
        <v>987</v>
      </c>
      <c r="R31" s="27"/>
      <c r="S31" s="41">
        <v>0.81105990783410098</v>
      </c>
      <c r="T31" s="40">
        <v>210</v>
      </c>
      <c r="U31" s="22" t="s">
        <v>34</v>
      </c>
      <c r="V31" s="1" t="s">
        <v>562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8.9495474537037031E-2</v>
      </c>
      <c r="AD31" s="37">
        <f t="shared" si="12"/>
        <v>-0.12350375486111109</v>
      </c>
      <c r="AE31" s="45">
        <v>-4.95</v>
      </c>
      <c r="AF31" s="45">
        <v>-4.3081060531249999</v>
      </c>
      <c r="AG31" s="42">
        <v>-1</v>
      </c>
    </row>
    <row r="32" spans="1:33" ht="15.75" customHeight="1" x14ac:dyDescent="0.2">
      <c r="A32" s="40" t="s">
        <v>90</v>
      </c>
      <c r="B32" s="40" t="s">
        <v>492</v>
      </c>
      <c r="C32" s="14">
        <f t="shared" si="4"/>
        <v>9.99</v>
      </c>
      <c r="D32" s="15">
        <v>6</v>
      </c>
      <c r="E32" s="15">
        <v>1</v>
      </c>
      <c r="F32" s="16">
        <v>59.94</v>
      </c>
      <c r="G32" s="16">
        <v>-2.1</v>
      </c>
      <c r="H32" s="29">
        <f t="shared" si="1"/>
        <v>3.5035035035035036E-2</v>
      </c>
      <c r="I32" s="29">
        <f t="shared" si="2"/>
        <v>-0.20755186599794251</v>
      </c>
      <c r="J32" s="30">
        <f t="shared" si="5"/>
        <v>-12.440658847916673</v>
      </c>
      <c r="K32" s="30">
        <f t="shared" si="3"/>
        <v>-2.0734431413194456</v>
      </c>
      <c r="L32" s="15">
        <v>48</v>
      </c>
      <c r="M32" s="31">
        <f t="shared" si="6"/>
        <v>0.125</v>
      </c>
      <c r="N32" s="15">
        <v>133</v>
      </c>
      <c r="O32" s="32">
        <f t="shared" ref="O32:P32" si="40">D32/7</f>
        <v>0.8571428571428571</v>
      </c>
      <c r="P32" s="32">
        <f t="shared" si="40"/>
        <v>0.14285714285714285</v>
      </c>
      <c r="Q32" s="27">
        <f t="shared" si="8"/>
        <v>133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0.60188087774294674</v>
      </c>
      <c r="T32" s="40">
        <f ca="1">IFERROR(__xludf.DUMMYFUNCTION("IFERROR(VLOOKUP($B$2,IMPORTRANGE(""https://docs.google.com/spreadsheets/d/1KiWZV1ko8G7lnRucBRBd29jj3Be6ltMfljMDqzOkQmI/edit#gid=1381463014"",""Lookup!A:D""),4,FALSE),"""")"),210)</f>
        <v>210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210 At Factory 50-75 days from Earliest Arrival")</f>
        <v>No Transit, But 210 At Factory 50-75 days from Earliest Arrival</v>
      </c>
      <c r="W32" s="40">
        <v>0</v>
      </c>
      <c r="X32" s="36">
        <f t="shared" si="9"/>
        <v>0</v>
      </c>
      <c r="Y32" s="37">
        <f t="shared" si="10"/>
        <v>2.1</v>
      </c>
      <c r="Z32" s="40">
        <v>1</v>
      </c>
      <c r="AA32" s="40" t="s">
        <v>37</v>
      </c>
      <c r="AB32" s="38">
        <f t="shared" si="11"/>
        <v>-0.69</v>
      </c>
      <c r="AC32" s="44">
        <v>8.9495474537037031E-2</v>
      </c>
      <c r="AD32" s="37">
        <f t="shared" si="12"/>
        <v>-0.74102252916666655</v>
      </c>
      <c r="AE32" s="42">
        <v>-4.95</v>
      </c>
      <c r="AF32" s="42">
        <v>-4.3081060531249999</v>
      </c>
      <c r="AG32" s="42">
        <v>-5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Gray &amp; Black - 36 x 17 Inch Leather Style Computer Pad for Desk")</f>
        <v>Office Desk Mat, Double Sided Gray &amp; Black - 36 x 17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Info!B1:BJ5000""),2,FALSE),"""")"),"B085LL67CN")</f>
        <v>B085LL67CN</v>
      </c>
      <c r="B2" s="3" t="s">
        <v>563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9.8167453566176484</v>
      </c>
      <c r="D3" s="5">
        <f>SUM(D4:D99767)</f>
        <v>139</v>
      </c>
      <c r="E3" s="5"/>
      <c r="F3" s="6">
        <f t="shared" ref="F3:G3" si="0">SUM(F4:F99767)</f>
        <v>1601.1100000000004</v>
      </c>
      <c r="G3" s="6">
        <f t="shared" si="0"/>
        <v>-4.3</v>
      </c>
      <c r="H3" s="7">
        <f t="shared" ref="H3:H32" si="1">G3/F3*-1</f>
        <v>2.685636839442636E-3</v>
      </c>
      <c r="I3" s="8">
        <f t="shared" ref="I3:I32" si="2">J3/F3</f>
        <v>0.11468110605491651</v>
      </c>
      <c r="J3" s="6">
        <f>SUM(J4:J99767)</f>
        <v>183.61706571558742</v>
      </c>
      <c r="K3" s="6">
        <f t="shared" ref="K3:K32" si="3">J3/D3</f>
        <v>1.3209860842848016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-16.274856243787497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Info!B2:BZ3000""),37,FALSE)),"""")*-1"),-3.394233553125)</f>
        <v>-3.3942335531249999</v>
      </c>
      <c r="AG3" s="6">
        <f>SUM(AG4:AG99767)</f>
        <v>0</v>
      </c>
    </row>
    <row r="4" spans="1:33" x14ac:dyDescent="0.2">
      <c r="A4" s="1" t="s">
        <v>32</v>
      </c>
      <c r="B4" s="1" t="s">
        <v>53</v>
      </c>
      <c r="C4" s="14">
        <f t="shared" ref="C4:C32" si="4">IFERROR(F4/D4," - ")</f>
        <v>17.289090909090909</v>
      </c>
      <c r="D4" s="15">
        <v>11</v>
      </c>
      <c r="E4" s="15">
        <v>0</v>
      </c>
      <c r="F4" s="16">
        <v>190.18</v>
      </c>
      <c r="G4" s="16">
        <v>0</v>
      </c>
      <c r="H4" s="17">
        <f t="shared" si="1"/>
        <v>0</v>
      </c>
      <c r="I4" s="17">
        <f t="shared" si="2"/>
        <v>0.36631571552096831</v>
      </c>
      <c r="J4" s="16">
        <f t="shared" ref="J4:J32" si="5">F4*0.85+G4+AF4*D4+D4*AE4+AG4+AD4</f>
        <v>69.665922777777752</v>
      </c>
      <c r="K4" s="16">
        <f t="shared" si="3"/>
        <v>6.333265707070705</v>
      </c>
      <c r="L4" s="15">
        <v>66</v>
      </c>
      <c r="M4" s="18">
        <f t="shared" ref="M4:M32" si="6">IFERROR(D4/L4,"-")</f>
        <v>0.16666666666666666</v>
      </c>
      <c r="N4" s="15">
        <v>89</v>
      </c>
      <c r="O4" s="19">
        <f t="shared" ref="O4:P4" si="7">D4/7</f>
        <v>1.5714285714285714</v>
      </c>
      <c r="P4" s="19">
        <f t="shared" si="7"/>
        <v>0</v>
      </c>
      <c r="Q4" s="15">
        <f t="shared" ref="Q4:Q32" si="8">ROUNDDOWN(N4/(O4+P4),0)</f>
        <v>56</v>
      </c>
      <c r="R4" s="15"/>
      <c r="S4" s="20">
        <v>1.0859728506787301</v>
      </c>
      <c r="T4" s="2">
        <v>540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8.9412037037037054E-2</v>
      </c>
      <c r="AD4" s="24">
        <f t="shared" ref="AD4:AD32" si="12">IFERROR(AB4*AC4*D4*2,0)</f>
        <v>-1.3572747222222223</v>
      </c>
      <c r="AE4" s="24">
        <v>-4.9000000000000004</v>
      </c>
      <c r="AF4" s="24">
        <v>-3.3390729545454545</v>
      </c>
      <c r="AG4" s="24">
        <v>0</v>
      </c>
    </row>
    <row r="5" spans="1:33" ht="15.75" customHeight="1" x14ac:dyDescent="0.2">
      <c r="A5" s="26" t="s">
        <v>35</v>
      </c>
      <c r="B5" s="1" t="s">
        <v>53</v>
      </c>
      <c r="C5" s="14">
        <f t="shared" si="4"/>
        <v>14.989999999999998</v>
      </c>
      <c r="D5" s="27">
        <v>7</v>
      </c>
      <c r="E5" s="27">
        <v>0</v>
      </c>
      <c r="F5" s="28">
        <v>104.92999999999999</v>
      </c>
      <c r="G5" s="28">
        <v>0</v>
      </c>
      <c r="H5" s="29">
        <f t="shared" si="1"/>
        <v>0</v>
      </c>
      <c r="I5" s="29">
        <f t="shared" si="2"/>
        <v>0.29212111127211665</v>
      </c>
      <c r="J5" s="30">
        <f t="shared" si="5"/>
        <v>30.652268205783198</v>
      </c>
      <c r="K5" s="30">
        <f t="shared" si="3"/>
        <v>4.378895457969028</v>
      </c>
      <c r="L5" s="27">
        <v>174</v>
      </c>
      <c r="M5" s="31">
        <f t="shared" si="6"/>
        <v>4.0229885057471264E-2</v>
      </c>
      <c r="N5" s="27">
        <v>81</v>
      </c>
      <c r="O5" s="32">
        <f t="shared" ref="O5:P5" si="13">D5/7</f>
        <v>1</v>
      </c>
      <c r="P5" s="32">
        <f t="shared" si="13"/>
        <v>0</v>
      </c>
      <c r="Q5" s="27">
        <f t="shared" si="8"/>
        <v>81</v>
      </c>
      <c r="R5" s="27"/>
      <c r="S5" s="33">
        <v>1.4375</v>
      </c>
      <c r="T5" s="26">
        <v>540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8.951564310544613E-2</v>
      </c>
      <c r="AD5" s="37">
        <f t="shared" si="12"/>
        <v>-0.8647211123986096</v>
      </c>
      <c r="AE5" s="37">
        <v>-4.9000000000000004</v>
      </c>
      <c r="AF5" s="37">
        <v>-3.3390729545454545</v>
      </c>
      <c r="AG5" s="37">
        <v>0</v>
      </c>
    </row>
    <row r="6" spans="1:33" ht="15.75" customHeight="1" x14ac:dyDescent="0.2">
      <c r="A6" s="26" t="s">
        <v>38</v>
      </c>
      <c r="B6" s="1" t="s">
        <v>53</v>
      </c>
      <c r="C6" s="14">
        <f t="shared" si="4"/>
        <v>14.99</v>
      </c>
      <c r="D6" s="27">
        <v>5</v>
      </c>
      <c r="E6" s="27">
        <v>0</v>
      </c>
      <c r="F6" s="28">
        <v>74.95</v>
      </c>
      <c r="G6" s="28">
        <v>0</v>
      </c>
      <c r="H6" s="29">
        <f t="shared" si="1"/>
        <v>0</v>
      </c>
      <c r="I6" s="29">
        <f t="shared" si="2"/>
        <v>0.29213064938915506</v>
      </c>
      <c r="J6" s="30">
        <f t="shared" si="5"/>
        <v>21.895192171717174</v>
      </c>
      <c r="K6" s="30">
        <f t="shared" si="3"/>
        <v>4.3790384343434345</v>
      </c>
      <c r="L6" s="27">
        <v>142</v>
      </c>
      <c r="M6" s="31">
        <f t="shared" si="6"/>
        <v>3.5211267605633804E-2</v>
      </c>
      <c r="N6" s="27">
        <v>77</v>
      </c>
      <c r="O6" s="32">
        <f t="shared" ref="O6:P6" si="14">D6/7</f>
        <v>0.7142857142857143</v>
      </c>
      <c r="P6" s="32">
        <f t="shared" si="14"/>
        <v>0</v>
      </c>
      <c r="Q6" s="27">
        <f t="shared" si="8"/>
        <v>107</v>
      </c>
      <c r="R6" s="27"/>
      <c r="S6" s="33">
        <v>0.89552238805970097</v>
      </c>
      <c r="T6" s="26">
        <v>540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8.9412037037037054E-2</v>
      </c>
      <c r="AD6" s="37">
        <f t="shared" si="12"/>
        <v>-0.61694305555555562</v>
      </c>
      <c r="AE6" s="37">
        <v>-4.9000000000000004</v>
      </c>
      <c r="AF6" s="37">
        <v>-3.3390729545454545</v>
      </c>
      <c r="AG6" s="37">
        <v>0</v>
      </c>
    </row>
    <row r="7" spans="1:33" ht="15.75" customHeight="1" x14ac:dyDescent="0.2">
      <c r="A7" s="26" t="s">
        <v>41</v>
      </c>
      <c r="B7" s="26" t="s">
        <v>564</v>
      </c>
      <c r="C7" s="14">
        <f t="shared" si="4"/>
        <v>14.99</v>
      </c>
      <c r="D7" s="27">
        <v>1</v>
      </c>
      <c r="E7" s="27">
        <v>0</v>
      </c>
      <c r="F7" s="28">
        <v>14.99</v>
      </c>
      <c r="G7" s="28">
        <v>0</v>
      </c>
      <c r="H7" s="29">
        <f t="shared" si="1"/>
        <v>0</v>
      </c>
      <c r="I7" s="29">
        <f t="shared" si="2"/>
        <v>0.29213064938915506</v>
      </c>
      <c r="J7" s="30">
        <f t="shared" si="5"/>
        <v>4.3790384343434345</v>
      </c>
      <c r="K7" s="30">
        <f t="shared" si="3"/>
        <v>4.3790384343434345</v>
      </c>
      <c r="L7" s="27">
        <v>107</v>
      </c>
      <c r="M7" s="31">
        <f t="shared" si="6"/>
        <v>9.3457943925233638E-3</v>
      </c>
      <c r="N7" s="27">
        <v>74</v>
      </c>
      <c r="O7" s="32">
        <f t="shared" ref="O7:P7" si="15">D7/7</f>
        <v>0.14285714285714285</v>
      </c>
      <c r="P7" s="32">
        <f t="shared" si="15"/>
        <v>0</v>
      </c>
      <c r="Q7" s="27">
        <f t="shared" si="8"/>
        <v>518</v>
      </c>
      <c r="R7" s="27"/>
      <c r="S7" s="33">
        <v>0.96</v>
      </c>
      <c r="T7" s="26">
        <v>540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8.9412037037037054E-2</v>
      </c>
      <c r="AD7" s="37">
        <f t="shared" si="12"/>
        <v>-0.12338861111111113</v>
      </c>
      <c r="AE7" s="37">
        <v>-4.9000000000000004</v>
      </c>
      <c r="AF7" s="37">
        <v>-3.3390729545454545</v>
      </c>
      <c r="AG7" s="37">
        <v>0</v>
      </c>
    </row>
    <row r="8" spans="1:33" ht="15.75" customHeight="1" x14ac:dyDescent="0.2">
      <c r="A8" s="26" t="s">
        <v>43</v>
      </c>
      <c r="B8" s="1" t="s">
        <v>53</v>
      </c>
      <c r="C8" s="14">
        <f t="shared" si="4"/>
        <v>14.093333333333332</v>
      </c>
      <c r="D8" s="27">
        <v>6</v>
      </c>
      <c r="E8" s="27">
        <v>0</v>
      </c>
      <c r="F8" s="28">
        <v>84.559999999999988</v>
      </c>
      <c r="G8" s="28">
        <v>0</v>
      </c>
      <c r="H8" s="29">
        <f t="shared" si="1"/>
        <v>0</v>
      </c>
      <c r="I8" s="29">
        <f t="shared" si="2"/>
        <v>0.25657129060233358</v>
      </c>
      <c r="J8" s="30">
        <f t="shared" si="5"/>
        <v>21.695668333333323</v>
      </c>
      <c r="K8" s="30">
        <f t="shared" si="3"/>
        <v>3.6159447222222205</v>
      </c>
      <c r="L8" s="27">
        <v>89</v>
      </c>
      <c r="M8" s="31">
        <f t="shared" si="6"/>
        <v>6.741573033707865E-2</v>
      </c>
      <c r="N8" s="27">
        <v>68</v>
      </c>
      <c r="O8" s="32">
        <f t="shared" ref="O8:P8" si="16">D8/7</f>
        <v>0.8571428571428571</v>
      </c>
      <c r="P8" s="32">
        <f t="shared" si="16"/>
        <v>0</v>
      </c>
      <c r="Q8" s="27">
        <f t="shared" si="8"/>
        <v>79</v>
      </c>
      <c r="R8" s="27"/>
      <c r="S8" s="33">
        <v>1.1546391752577301</v>
      </c>
      <c r="T8" s="26">
        <v>540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8.9412037037037054E-2</v>
      </c>
      <c r="AD8" s="37">
        <f t="shared" si="12"/>
        <v>-0.74033166666666683</v>
      </c>
      <c r="AE8" s="37">
        <v>-4.9000000000000004</v>
      </c>
      <c r="AF8" s="37">
        <v>-3.34</v>
      </c>
      <c r="AG8" s="37">
        <v>0</v>
      </c>
    </row>
    <row r="9" spans="1:33" ht="15.75" customHeight="1" x14ac:dyDescent="0.2">
      <c r="A9" s="26" t="s">
        <v>45</v>
      </c>
      <c r="B9" s="1" t="s">
        <v>53</v>
      </c>
      <c r="C9" s="14">
        <f t="shared" si="4"/>
        <v>13.072857142857142</v>
      </c>
      <c r="D9" s="27">
        <v>7</v>
      </c>
      <c r="E9" s="27">
        <v>0</v>
      </c>
      <c r="F9" s="28">
        <v>91.509999999999991</v>
      </c>
      <c r="G9" s="28">
        <v>0</v>
      </c>
      <c r="H9" s="29">
        <f t="shared" si="1"/>
        <v>0</v>
      </c>
      <c r="I9" s="29">
        <f t="shared" si="2"/>
        <v>0.20481898098016557</v>
      </c>
      <c r="J9" s="30">
        <f t="shared" si="5"/>
        <v>18.74298494949495</v>
      </c>
      <c r="K9" s="30">
        <f t="shared" si="3"/>
        <v>2.6775692784992784</v>
      </c>
      <c r="L9" s="27">
        <v>70</v>
      </c>
      <c r="M9" s="31">
        <f t="shared" si="6"/>
        <v>0.1</v>
      </c>
      <c r="N9" s="27">
        <v>62</v>
      </c>
      <c r="O9" s="32">
        <f t="shared" ref="O9:P9" si="17">D9/7</f>
        <v>1</v>
      </c>
      <c r="P9" s="32">
        <f t="shared" si="17"/>
        <v>0</v>
      </c>
      <c r="Q9" s="27">
        <f t="shared" si="8"/>
        <v>62</v>
      </c>
      <c r="R9" s="27"/>
      <c r="S9" s="33">
        <v>1.4054054054053999</v>
      </c>
      <c r="T9" s="26">
        <v>540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8.9412037037037054E-2</v>
      </c>
      <c r="AD9" s="37">
        <f t="shared" si="12"/>
        <v>-0.86372027777777793</v>
      </c>
      <c r="AE9" s="37">
        <v>-4.9000000000000004</v>
      </c>
      <c r="AF9" s="37">
        <v>-3.41097068181818</v>
      </c>
      <c r="AG9" s="37">
        <v>0</v>
      </c>
    </row>
    <row r="10" spans="1:33" ht="15.75" customHeight="1" x14ac:dyDescent="0.2">
      <c r="A10" s="26" t="s">
        <v>48</v>
      </c>
      <c r="B10" s="1" t="s">
        <v>53</v>
      </c>
      <c r="C10" s="14">
        <f t="shared" si="4"/>
        <v>12.99</v>
      </c>
      <c r="D10" s="27">
        <v>2</v>
      </c>
      <c r="E10" s="27">
        <v>0</v>
      </c>
      <c r="F10" s="28">
        <v>25.98</v>
      </c>
      <c r="G10" s="28">
        <v>0</v>
      </c>
      <c r="H10" s="29">
        <f t="shared" si="1"/>
        <v>0</v>
      </c>
      <c r="I10" s="29">
        <f t="shared" si="2"/>
        <v>0.20070367259974656</v>
      </c>
      <c r="J10" s="30">
        <f t="shared" si="5"/>
        <v>5.214281414141416</v>
      </c>
      <c r="K10" s="30">
        <f t="shared" si="3"/>
        <v>2.607140707070708</v>
      </c>
      <c r="L10" s="27">
        <v>73</v>
      </c>
      <c r="M10" s="31">
        <f t="shared" si="6"/>
        <v>2.7397260273972601E-2</v>
      </c>
      <c r="N10" s="27">
        <v>61</v>
      </c>
      <c r="O10" s="32">
        <f t="shared" ref="O10:P10" si="18">D10/7</f>
        <v>0.2857142857142857</v>
      </c>
      <c r="P10" s="32">
        <f t="shared" si="18"/>
        <v>0</v>
      </c>
      <c r="Q10" s="27">
        <f t="shared" si="8"/>
        <v>213</v>
      </c>
      <c r="R10" s="27"/>
      <c r="S10" s="33">
        <v>0.93702770780856404</v>
      </c>
      <c r="T10" s="26">
        <v>540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8.9412037037037054E-2</v>
      </c>
      <c r="AD10" s="37">
        <f t="shared" si="12"/>
        <v>-0.24677722222222226</v>
      </c>
      <c r="AE10" s="37">
        <v>-4.9000000000000004</v>
      </c>
      <c r="AF10" s="37">
        <v>-3.41097068181818</v>
      </c>
      <c r="AG10" s="37">
        <v>0</v>
      </c>
    </row>
    <row r="11" spans="1:33" ht="15.75" customHeight="1" x14ac:dyDescent="0.2">
      <c r="A11" s="26" t="s">
        <v>50</v>
      </c>
      <c r="B11" s="26" t="s">
        <v>565</v>
      </c>
      <c r="C11" s="14">
        <f t="shared" si="4"/>
        <v>12.99</v>
      </c>
      <c r="D11" s="27">
        <v>1</v>
      </c>
      <c r="E11" s="27">
        <v>0</v>
      </c>
      <c r="F11" s="28">
        <v>12.99</v>
      </c>
      <c r="G11" s="28">
        <v>0</v>
      </c>
      <c r="H11" s="29">
        <f t="shared" si="1"/>
        <v>0</v>
      </c>
      <c r="I11" s="29">
        <f t="shared" si="2"/>
        <v>0.20070367259974656</v>
      </c>
      <c r="J11" s="30">
        <f t="shared" si="5"/>
        <v>2.607140707070708</v>
      </c>
      <c r="K11" s="30">
        <f t="shared" si="3"/>
        <v>2.607140707070708</v>
      </c>
      <c r="L11" s="27">
        <v>49</v>
      </c>
      <c r="M11" s="31">
        <f t="shared" si="6"/>
        <v>2.0408163265306121E-2</v>
      </c>
      <c r="N11" s="27">
        <v>59</v>
      </c>
      <c r="O11" s="32">
        <f t="shared" ref="O11:P11" si="19">D11/7</f>
        <v>0.14285714285714285</v>
      </c>
      <c r="P11" s="32">
        <f t="shared" si="19"/>
        <v>0</v>
      </c>
      <c r="Q11" s="27">
        <f t="shared" si="8"/>
        <v>413</v>
      </c>
      <c r="R11" s="27"/>
      <c r="S11" s="33">
        <v>0.91989664082687295</v>
      </c>
      <c r="T11" s="26">
        <v>540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8.9412037037037054E-2</v>
      </c>
      <c r="AD11" s="37">
        <f t="shared" si="12"/>
        <v>-0.12338861111111113</v>
      </c>
      <c r="AE11" s="37">
        <v>-4.9000000000000004</v>
      </c>
      <c r="AF11" s="37">
        <v>-3.41097068181818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12.21</v>
      </c>
      <c r="D12" s="27">
        <v>1</v>
      </c>
      <c r="E12" s="27">
        <v>0</v>
      </c>
      <c r="F12" s="28">
        <v>12.21</v>
      </c>
      <c r="G12" s="28">
        <v>0</v>
      </c>
      <c r="H12" s="29">
        <f t="shared" si="1"/>
        <v>0</v>
      </c>
      <c r="I12" s="29">
        <f t="shared" si="2"/>
        <v>0.15922528313437426</v>
      </c>
      <c r="J12" s="30">
        <f t="shared" si="5"/>
        <v>1.9441407070707097</v>
      </c>
      <c r="K12" s="30">
        <f t="shared" si="3"/>
        <v>1.9441407070707097</v>
      </c>
      <c r="L12" s="27">
        <v>26</v>
      </c>
      <c r="M12" s="31">
        <f t="shared" si="6"/>
        <v>3.8461538461538464E-2</v>
      </c>
      <c r="N12" s="27">
        <v>58</v>
      </c>
      <c r="O12" s="32">
        <f t="shared" ref="O12:P12" si="20">D12/7</f>
        <v>0.14285714285714285</v>
      </c>
      <c r="P12" s="32">
        <f t="shared" si="20"/>
        <v>0</v>
      </c>
      <c r="Q12" s="27">
        <f t="shared" si="8"/>
        <v>406</v>
      </c>
      <c r="R12" s="27"/>
      <c r="S12" s="33">
        <v>0.850828729281768</v>
      </c>
      <c r="T12" s="26">
        <v>540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8.9412037037037054E-2</v>
      </c>
      <c r="AD12" s="37">
        <f t="shared" si="12"/>
        <v>-0.12338861111111113</v>
      </c>
      <c r="AE12" s="37">
        <v>-4.9000000000000004</v>
      </c>
      <c r="AF12" s="37">
        <v>-3.41097068181818</v>
      </c>
      <c r="AG12" s="37">
        <v>0</v>
      </c>
    </row>
    <row r="13" spans="1:33" ht="15.75" customHeight="1" x14ac:dyDescent="0.2">
      <c r="A13" s="26" t="s">
        <v>54</v>
      </c>
      <c r="B13" s="26" t="s">
        <v>566</v>
      </c>
      <c r="C13" s="14">
        <f t="shared" si="4"/>
        <v>11.9</v>
      </c>
      <c r="D13" s="27">
        <v>5</v>
      </c>
      <c r="E13" s="27">
        <v>0</v>
      </c>
      <c r="F13" s="30">
        <v>59.5</v>
      </c>
      <c r="G13" s="28">
        <v>0</v>
      </c>
      <c r="H13" s="29">
        <f t="shared" si="1"/>
        <v>0</v>
      </c>
      <c r="I13" s="29">
        <f t="shared" si="2"/>
        <v>0.13805040319157971</v>
      </c>
      <c r="J13" s="30">
        <f t="shared" si="5"/>
        <v>8.2139989898989931</v>
      </c>
      <c r="K13" s="30">
        <f t="shared" si="3"/>
        <v>1.6427997979797986</v>
      </c>
      <c r="L13" s="27">
        <v>41</v>
      </c>
      <c r="M13" s="31">
        <f t="shared" si="6"/>
        <v>0.12195121951219512</v>
      </c>
      <c r="N13" s="27">
        <v>53</v>
      </c>
      <c r="O13" s="32">
        <f t="shared" ref="O13:P13" si="21">D13/7</f>
        <v>0.7142857142857143</v>
      </c>
      <c r="P13" s="32">
        <f t="shared" si="21"/>
        <v>0</v>
      </c>
      <c r="Q13" s="27">
        <f t="shared" si="8"/>
        <v>74</v>
      </c>
      <c r="R13" s="27"/>
      <c r="S13" s="33">
        <v>0.84393063583814998</v>
      </c>
      <c r="T13" s="26">
        <v>540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8.9412037037037054E-2</v>
      </c>
      <c r="AD13" s="37">
        <f t="shared" si="12"/>
        <v>-0.61694305555555562</v>
      </c>
      <c r="AE13" s="37">
        <v>-4.9000000000000004</v>
      </c>
      <c r="AF13" s="37">
        <v>-3.4488115909090902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9.997272727272728</v>
      </c>
      <c r="D14" s="27">
        <v>11</v>
      </c>
      <c r="E14" s="27">
        <v>0</v>
      </c>
      <c r="F14" s="30">
        <v>109.97</v>
      </c>
      <c r="G14" s="28">
        <v>0</v>
      </c>
      <c r="H14" s="29">
        <f t="shared" si="1"/>
        <v>0</v>
      </c>
      <c r="I14" s="29">
        <f t="shared" si="2"/>
        <v>2.5488567589140227E-3</v>
      </c>
      <c r="J14" s="30">
        <f t="shared" si="5"/>
        <v>0.28029777777777509</v>
      </c>
      <c r="K14" s="30">
        <f t="shared" si="3"/>
        <v>2.5481616161615917E-2</v>
      </c>
      <c r="L14" s="27">
        <v>58</v>
      </c>
      <c r="M14" s="31">
        <f t="shared" si="6"/>
        <v>0.18965517241379309</v>
      </c>
      <c r="N14" s="27">
        <v>45</v>
      </c>
      <c r="O14" s="32">
        <f t="shared" ref="O14:P14" si="22">D14/7</f>
        <v>1.5714285714285714</v>
      </c>
      <c r="P14" s="32">
        <f t="shared" si="22"/>
        <v>0</v>
      </c>
      <c r="Q14" s="27">
        <f t="shared" si="8"/>
        <v>28</v>
      </c>
      <c r="R14" s="27"/>
      <c r="S14" s="33">
        <v>0.82432432432432401</v>
      </c>
      <c r="T14" s="26">
        <v>540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8.9412037037037054E-2</v>
      </c>
      <c r="AD14" s="37">
        <f t="shared" si="12"/>
        <v>-1.3572747222222223</v>
      </c>
      <c r="AE14" s="37">
        <v>-4.9000000000000004</v>
      </c>
      <c r="AF14" s="37">
        <v>-3.4488115909090902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10.004545454545456</v>
      </c>
      <c r="D15" s="27">
        <v>11</v>
      </c>
      <c r="E15" s="27">
        <v>0</v>
      </c>
      <c r="F15" s="30">
        <v>110.05000000000001</v>
      </c>
      <c r="G15" s="28">
        <v>0</v>
      </c>
      <c r="H15" s="29">
        <f t="shared" si="1"/>
        <v>0</v>
      </c>
      <c r="I15" s="29">
        <f t="shared" si="2"/>
        <v>3.1649048412338674E-3</v>
      </c>
      <c r="J15" s="30">
        <f t="shared" si="5"/>
        <v>0.34829777777778714</v>
      </c>
      <c r="K15" s="30">
        <f t="shared" si="3"/>
        <v>3.1663434343435194E-2</v>
      </c>
      <c r="L15" s="27">
        <v>57</v>
      </c>
      <c r="M15" s="31">
        <f t="shared" si="6"/>
        <v>0.19298245614035087</v>
      </c>
      <c r="N15" s="27">
        <v>31</v>
      </c>
      <c r="O15" s="32">
        <f t="shared" ref="O15:P15" si="23">D15/7</f>
        <v>1.5714285714285714</v>
      </c>
      <c r="P15" s="32">
        <f t="shared" si="23"/>
        <v>0</v>
      </c>
      <c r="Q15" s="27">
        <f t="shared" si="8"/>
        <v>19</v>
      </c>
      <c r="R15" s="27"/>
      <c r="S15" s="33">
        <v>1.10791366906474</v>
      </c>
      <c r="T15" s="26">
        <v>110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8.9412037037037054E-2</v>
      </c>
      <c r="AD15" s="37">
        <f t="shared" si="12"/>
        <v>-1.3572747222222223</v>
      </c>
      <c r="AE15" s="37">
        <v>-4.9000000000000004</v>
      </c>
      <c r="AF15" s="37">
        <v>-3.4488115909090902</v>
      </c>
      <c r="AG15" s="37">
        <v>0</v>
      </c>
    </row>
    <row r="16" spans="1:33" ht="15.75" customHeight="1" x14ac:dyDescent="0.2">
      <c r="A16" s="26" t="s">
        <v>60</v>
      </c>
      <c r="B16" s="26" t="s">
        <v>567</v>
      </c>
      <c r="C16" s="14">
        <f t="shared" si="4"/>
        <v>9.9899999999999984</v>
      </c>
      <c r="D16" s="27">
        <v>10</v>
      </c>
      <c r="E16" s="27">
        <v>0</v>
      </c>
      <c r="F16" s="30">
        <v>99.899999999999991</v>
      </c>
      <c r="G16" s="28">
        <v>0</v>
      </c>
      <c r="H16" s="29">
        <f t="shared" si="1"/>
        <v>0</v>
      </c>
      <c r="I16" s="29">
        <f t="shared" si="2"/>
        <v>1.9319117096894892E-3</v>
      </c>
      <c r="J16" s="30">
        <f t="shared" si="5"/>
        <v>0.19299797979797995</v>
      </c>
      <c r="K16" s="30">
        <f t="shared" si="3"/>
        <v>1.9299797979797993E-2</v>
      </c>
      <c r="L16" s="27">
        <v>82</v>
      </c>
      <c r="M16" s="31">
        <f t="shared" si="6"/>
        <v>0.12195121951219512</v>
      </c>
      <c r="N16" s="27">
        <v>22</v>
      </c>
      <c r="O16" s="32">
        <f t="shared" ref="O16:P16" si="24">D16/7</f>
        <v>1.4285714285714286</v>
      </c>
      <c r="P16" s="32">
        <f t="shared" si="24"/>
        <v>0</v>
      </c>
      <c r="Q16" s="27">
        <f t="shared" si="8"/>
        <v>15</v>
      </c>
      <c r="R16" s="27"/>
      <c r="S16" s="33">
        <v>1.2319391634980901</v>
      </c>
      <c r="T16" s="26">
        <v>110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8.9412037037037054E-2</v>
      </c>
      <c r="AD16" s="37">
        <f t="shared" si="12"/>
        <v>-1.2338861111111112</v>
      </c>
      <c r="AE16" s="37">
        <v>-4.9000000000000004</v>
      </c>
      <c r="AF16" s="37">
        <v>-3.4488115909090902</v>
      </c>
      <c r="AG16" s="37">
        <v>0</v>
      </c>
    </row>
    <row r="17" spans="1:33" ht="15.75" customHeight="1" x14ac:dyDescent="0.2">
      <c r="A17" s="26" t="s">
        <v>61</v>
      </c>
      <c r="B17" s="26" t="s">
        <v>568</v>
      </c>
      <c r="C17" s="14">
        <f t="shared" si="4"/>
        <v>9.99</v>
      </c>
      <c r="D17" s="27">
        <v>9</v>
      </c>
      <c r="E17" s="27">
        <v>0</v>
      </c>
      <c r="F17" s="30">
        <v>89.91</v>
      </c>
      <c r="G17" s="28">
        <v>0</v>
      </c>
      <c r="H17" s="29">
        <f t="shared" si="1"/>
        <v>0</v>
      </c>
      <c r="I17" s="29">
        <f t="shared" si="2"/>
        <v>3.5786100086828581E-3</v>
      </c>
      <c r="J17" s="30">
        <f t="shared" si="5"/>
        <v>0.32175282588067577</v>
      </c>
      <c r="K17" s="30">
        <f t="shared" si="3"/>
        <v>3.575031398674175E-2</v>
      </c>
      <c r="L17" s="27">
        <v>52</v>
      </c>
      <c r="M17" s="31">
        <f t="shared" si="6"/>
        <v>0.17307692307692307</v>
      </c>
      <c r="N17" s="27">
        <v>13</v>
      </c>
      <c r="O17" s="32">
        <f t="shared" ref="O17:P17" si="25">D17/7</f>
        <v>1.2857142857142858</v>
      </c>
      <c r="P17" s="32">
        <f t="shared" si="25"/>
        <v>0</v>
      </c>
      <c r="Q17" s="27">
        <f t="shared" si="8"/>
        <v>10</v>
      </c>
      <c r="R17" s="27"/>
      <c r="S17" s="33">
        <v>1.36170212765957</v>
      </c>
      <c r="T17" s="26">
        <v>110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7.7491373263888885E-2</v>
      </c>
      <c r="AD17" s="37">
        <f t="shared" si="12"/>
        <v>-0.9624428559374999</v>
      </c>
      <c r="AE17" s="37">
        <v>-4.9000000000000004</v>
      </c>
      <c r="AF17" s="37">
        <v>-3.4488115909090902</v>
      </c>
      <c r="AG17" s="37">
        <v>0</v>
      </c>
    </row>
    <row r="18" spans="1:33" ht="15.75" customHeight="1" x14ac:dyDescent="0.2">
      <c r="A18" s="26" t="s">
        <v>62</v>
      </c>
      <c r="B18" s="26" t="s">
        <v>46</v>
      </c>
      <c r="C18" s="14">
        <f t="shared" si="4"/>
        <v>9.99</v>
      </c>
      <c r="D18" s="27">
        <v>1</v>
      </c>
      <c r="E18" s="27">
        <v>0</v>
      </c>
      <c r="F18" s="30">
        <v>9.99</v>
      </c>
      <c r="G18" s="28">
        <v>0</v>
      </c>
      <c r="H18" s="29">
        <f t="shared" si="1"/>
        <v>0</v>
      </c>
      <c r="I18" s="29">
        <f t="shared" si="2"/>
        <v>3.5786100086830355E-3</v>
      </c>
      <c r="J18" s="30">
        <f t="shared" si="5"/>
        <v>3.5750313986743526E-2</v>
      </c>
      <c r="K18" s="30">
        <f t="shared" si="3"/>
        <v>3.5750313986743526E-2</v>
      </c>
      <c r="L18" s="27">
        <v>4</v>
      </c>
      <c r="M18" s="31">
        <f t="shared" si="6"/>
        <v>0.25</v>
      </c>
      <c r="N18" s="27">
        <v>12</v>
      </c>
      <c r="O18" s="32">
        <f t="shared" ref="O18:P18" si="26">D18/7</f>
        <v>0.14285714285714285</v>
      </c>
      <c r="P18" s="32">
        <f t="shared" si="26"/>
        <v>0</v>
      </c>
      <c r="Q18" s="27">
        <f t="shared" si="8"/>
        <v>84</v>
      </c>
      <c r="R18" s="27"/>
      <c r="S18" s="33">
        <v>1.3397129186602801</v>
      </c>
      <c r="T18" s="26">
        <v>110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7.7491373263888885E-2</v>
      </c>
      <c r="AD18" s="37">
        <f t="shared" si="12"/>
        <v>-0.10693809510416666</v>
      </c>
      <c r="AE18" s="37">
        <v>-4.9000000000000004</v>
      </c>
      <c r="AF18" s="37">
        <v>-3.4488115909090902</v>
      </c>
      <c r="AG18" s="37">
        <v>0</v>
      </c>
    </row>
    <row r="19" spans="1:33" ht="15.75" customHeight="1" x14ac:dyDescent="0.2">
      <c r="A19" s="26" t="s">
        <v>64</v>
      </c>
      <c r="B19" s="26" t="s">
        <v>569</v>
      </c>
      <c r="C19" s="14">
        <f t="shared" si="4"/>
        <v>9.9899999999999984</v>
      </c>
      <c r="D19" s="27">
        <v>11</v>
      </c>
      <c r="E19" s="27">
        <v>0</v>
      </c>
      <c r="F19" s="30">
        <v>109.88999999999999</v>
      </c>
      <c r="G19" s="28">
        <v>0</v>
      </c>
      <c r="H19" s="29">
        <f t="shared" si="1"/>
        <v>0</v>
      </c>
      <c r="I19" s="29">
        <f t="shared" si="2"/>
        <v>3.5786100086827289E-3</v>
      </c>
      <c r="J19" s="30">
        <f t="shared" si="5"/>
        <v>0.39325345385414501</v>
      </c>
      <c r="K19" s="30">
        <f t="shared" si="3"/>
        <v>3.5750313986740452E-2</v>
      </c>
      <c r="L19" s="27">
        <v>34</v>
      </c>
      <c r="M19" s="31">
        <f t="shared" si="6"/>
        <v>0.3235294117647059</v>
      </c>
      <c r="N19" s="27">
        <v>2</v>
      </c>
      <c r="O19" s="32">
        <f t="shared" ref="O19:P19" si="27">D19/7</f>
        <v>1.5714285714285714</v>
      </c>
      <c r="P19" s="32">
        <f t="shared" si="27"/>
        <v>0</v>
      </c>
      <c r="Q19" s="27">
        <f t="shared" si="8"/>
        <v>1</v>
      </c>
      <c r="R19" s="27"/>
      <c r="S19" s="33">
        <v>1.4564102564102499</v>
      </c>
      <c r="T19" s="26">
        <v>110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7.7491373263888885E-2</v>
      </c>
      <c r="AD19" s="37">
        <f t="shared" si="12"/>
        <v>-1.1763190461458333</v>
      </c>
      <c r="AE19" s="37">
        <v>-4.9000000000000004</v>
      </c>
      <c r="AF19" s="37">
        <v>-3.4488115909090906</v>
      </c>
      <c r="AG19" s="37">
        <v>0</v>
      </c>
    </row>
    <row r="20" spans="1:33" ht="15.75" customHeight="1" x14ac:dyDescent="0.2">
      <c r="A20" s="26" t="s">
        <v>65</v>
      </c>
      <c r="B20" s="26" t="s">
        <v>569</v>
      </c>
      <c r="C20" s="14">
        <f t="shared" si="4"/>
        <v>9.99</v>
      </c>
      <c r="D20" s="27">
        <v>3</v>
      </c>
      <c r="E20" s="27">
        <v>0</v>
      </c>
      <c r="F20" s="30">
        <v>29.97</v>
      </c>
      <c r="G20" s="28">
        <v>0</v>
      </c>
      <c r="H20" s="29">
        <f t="shared" si="1"/>
        <v>0</v>
      </c>
      <c r="I20" s="29">
        <f t="shared" si="2"/>
        <v>3.5786100086829162E-3</v>
      </c>
      <c r="J20" s="30">
        <f t="shared" si="5"/>
        <v>0.107250941960227</v>
      </c>
      <c r="K20" s="30">
        <f t="shared" si="3"/>
        <v>3.5750313986742333E-2</v>
      </c>
      <c r="L20" s="27">
        <v>29</v>
      </c>
      <c r="M20" s="31">
        <f t="shared" si="6"/>
        <v>0.10344827586206896</v>
      </c>
      <c r="N20" s="27">
        <v>1</v>
      </c>
      <c r="O20" s="32">
        <f t="shared" ref="O20:P20" si="28">D20/7</f>
        <v>0.42857142857142855</v>
      </c>
      <c r="P20" s="32">
        <f t="shared" si="28"/>
        <v>0</v>
      </c>
      <c r="Q20" s="27">
        <f t="shared" si="8"/>
        <v>2</v>
      </c>
      <c r="R20" s="27"/>
      <c r="S20" s="33">
        <v>1.86666666666666</v>
      </c>
      <c r="T20" s="26">
        <v>230</v>
      </c>
      <c r="U20" s="34">
        <v>120</v>
      </c>
      <c r="V20" s="35" t="s">
        <v>493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7.7491373263888885E-2</v>
      </c>
      <c r="AD20" s="37">
        <f t="shared" si="12"/>
        <v>-0.3208142853125</v>
      </c>
      <c r="AE20" s="37">
        <v>-4.9000000000000004</v>
      </c>
      <c r="AF20" s="37">
        <v>-3.4488115909090906</v>
      </c>
      <c r="AG20" s="37">
        <v>0</v>
      </c>
    </row>
    <row r="21" spans="1:33" ht="15.75" customHeight="1" x14ac:dyDescent="0.2">
      <c r="A21" s="26" t="s">
        <v>66</v>
      </c>
      <c r="B21" s="26" t="s">
        <v>76</v>
      </c>
      <c r="C21" s="14">
        <f t="shared" si="4"/>
        <v>9.99</v>
      </c>
      <c r="D21" s="27">
        <v>1</v>
      </c>
      <c r="E21" s="27">
        <v>0</v>
      </c>
      <c r="F21" s="30">
        <v>9.99</v>
      </c>
      <c r="G21" s="28">
        <v>0</v>
      </c>
      <c r="H21" s="29">
        <f t="shared" si="1"/>
        <v>0</v>
      </c>
      <c r="I21" s="29">
        <f t="shared" si="2"/>
        <v>3.5786100086829466E-3</v>
      </c>
      <c r="J21" s="30">
        <f t="shared" si="5"/>
        <v>3.5750313986742638E-2</v>
      </c>
      <c r="K21" s="30">
        <f t="shared" si="3"/>
        <v>3.5750313986742638E-2</v>
      </c>
      <c r="L21" s="27">
        <v>28</v>
      </c>
      <c r="M21" s="31">
        <f t="shared" si="6"/>
        <v>3.5714285714285712E-2</v>
      </c>
      <c r="N21" s="27">
        <v>0</v>
      </c>
      <c r="O21" s="32">
        <f t="shared" ref="O21:P21" si="29">D21/7</f>
        <v>0.14285714285714285</v>
      </c>
      <c r="P21" s="32">
        <f t="shared" si="29"/>
        <v>0</v>
      </c>
      <c r="Q21" s="27">
        <f t="shared" si="8"/>
        <v>0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7.7491373263888885E-2</v>
      </c>
      <c r="AD21" s="37">
        <f t="shared" si="12"/>
        <v>-0.10693809510416666</v>
      </c>
      <c r="AE21" s="37">
        <v>-4.9000000000000004</v>
      </c>
      <c r="AF21" s="37">
        <v>-3.4488115909090906</v>
      </c>
      <c r="AG21" s="37">
        <v>0</v>
      </c>
    </row>
    <row r="22" spans="1:33" ht="15.75" customHeight="1" x14ac:dyDescent="0.2">
      <c r="A22" s="26" t="s">
        <v>67</v>
      </c>
      <c r="B22" s="26"/>
      <c r="C22" s="14">
        <f t="shared" si="4"/>
        <v>9.99</v>
      </c>
      <c r="D22" s="27">
        <v>1</v>
      </c>
      <c r="E22" s="27">
        <v>0</v>
      </c>
      <c r="F22" s="28">
        <v>9.99</v>
      </c>
      <c r="G22" s="28">
        <v>0</v>
      </c>
      <c r="H22" s="29">
        <f t="shared" si="1"/>
        <v>0</v>
      </c>
      <c r="I22" s="29">
        <f t="shared" si="2"/>
        <v>3.5786100086829466E-3</v>
      </c>
      <c r="J22" s="30">
        <f t="shared" si="5"/>
        <v>3.5750313986742638E-2</v>
      </c>
      <c r="K22" s="30">
        <f t="shared" si="3"/>
        <v>3.5750313986742638E-2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0.14285714285714285</v>
      </c>
      <c r="P22" s="32">
        <f t="shared" si="30"/>
        <v>0</v>
      </c>
      <c r="Q22" s="27">
        <f t="shared" si="8"/>
        <v>0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7.7491373263888885E-2</v>
      </c>
      <c r="AD22" s="37">
        <f t="shared" si="12"/>
        <v>-0.10693809510416666</v>
      </c>
      <c r="AE22" s="37">
        <v>-4.9000000000000004</v>
      </c>
      <c r="AF22" s="37">
        <v>-3.4488115909090906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230</v>
      </c>
      <c r="U23" s="34" t="s">
        <v>34</v>
      </c>
      <c r="V23" s="35" t="s">
        <v>495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 t="e">
        <v>#N/A</v>
      </c>
      <c r="AD23" s="37">
        <f t="shared" si="12"/>
        <v>0</v>
      </c>
      <c r="AE23" s="37">
        <v>-4.9000000000000004</v>
      </c>
      <c r="AF23" s="37">
        <v>-3.4488115909090906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9.99</v>
      </c>
      <c r="D24" s="27">
        <v>2</v>
      </c>
      <c r="E24" s="27">
        <v>0</v>
      </c>
      <c r="F24" s="30">
        <v>19.98</v>
      </c>
      <c r="G24" s="30">
        <v>-2.08</v>
      </c>
      <c r="H24" s="29">
        <f t="shared" si="1"/>
        <v>0.1041041041041041</v>
      </c>
      <c r="I24" s="29">
        <f t="shared" si="2"/>
        <v>-0.10052549409542116</v>
      </c>
      <c r="J24" s="30">
        <f t="shared" si="5"/>
        <v>-2.008499372026515</v>
      </c>
      <c r="K24" s="30">
        <f t="shared" si="3"/>
        <v>-1.0042496860132575</v>
      </c>
      <c r="L24" s="27">
        <v>70</v>
      </c>
      <c r="M24" s="31">
        <f t="shared" si="6"/>
        <v>2.8571428571428571E-2</v>
      </c>
      <c r="N24" s="27">
        <v>0</v>
      </c>
      <c r="O24" s="32">
        <f t="shared" ref="O24:P24" si="32">D24/7</f>
        <v>0.2857142857142857</v>
      </c>
      <c r="P24" s="32">
        <f t="shared" si="32"/>
        <v>0</v>
      </c>
      <c r="Q24" s="27">
        <f t="shared" si="8"/>
        <v>0</v>
      </c>
      <c r="R24" s="27"/>
      <c r="S24" s="33" t="e">
        <v>#N/A</v>
      </c>
      <c r="T24" s="26">
        <v>230</v>
      </c>
      <c r="U24" s="34" t="s">
        <v>34</v>
      </c>
      <c r="V24" s="35" t="s">
        <v>495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7.7491373263888885E-2</v>
      </c>
      <c r="AD24" s="37">
        <f t="shared" si="12"/>
        <v>-0.21387619020833332</v>
      </c>
      <c r="AE24" s="37">
        <v>-4.9000000000000004</v>
      </c>
      <c r="AF24" s="37">
        <v>-3.4488115909090906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9.99</v>
      </c>
      <c r="D25" s="15">
        <v>2</v>
      </c>
      <c r="E25" s="15">
        <v>0</v>
      </c>
      <c r="F25" s="16">
        <v>19.98</v>
      </c>
      <c r="G25" s="16">
        <v>0</v>
      </c>
      <c r="H25" s="29">
        <f t="shared" si="1"/>
        <v>0</v>
      </c>
      <c r="I25" s="29">
        <f t="shared" si="2"/>
        <v>3.4596501397230308E-3</v>
      </c>
      <c r="J25" s="30">
        <f t="shared" si="5"/>
        <v>6.9123809791666158E-2</v>
      </c>
      <c r="K25" s="30">
        <f t="shared" si="3"/>
        <v>3.4561904895833079E-2</v>
      </c>
      <c r="L25" s="15">
        <v>51</v>
      </c>
      <c r="M25" s="31">
        <f t="shared" si="6"/>
        <v>3.9215686274509803E-2</v>
      </c>
      <c r="N25" s="15">
        <v>0</v>
      </c>
      <c r="O25" s="32">
        <f t="shared" ref="O25:P25" si="33">D25/7</f>
        <v>0.2857142857142857</v>
      </c>
      <c r="P25" s="32">
        <f t="shared" si="33"/>
        <v>0</v>
      </c>
      <c r="Q25" s="27">
        <f t="shared" si="8"/>
        <v>0</v>
      </c>
      <c r="R25" s="27"/>
      <c r="S25" s="41">
        <v>0</v>
      </c>
      <c r="T25" s="26">
        <v>230</v>
      </c>
      <c r="U25" s="34">
        <v>120</v>
      </c>
      <c r="V25" s="35" t="s">
        <v>498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7.7491373263888885E-2</v>
      </c>
      <c r="AD25" s="37">
        <f t="shared" si="12"/>
        <v>-0.21387619020833332</v>
      </c>
      <c r="AE25" s="42">
        <v>-4.9000000000000004</v>
      </c>
      <c r="AF25" s="42">
        <v>-3.45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230</v>
      </c>
      <c r="U26" s="34">
        <v>120</v>
      </c>
      <c r="V26" s="35" t="s">
        <v>498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7.7491373263888885E-2</v>
      </c>
      <c r="AD26" s="37">
        <f t="shared" si="12"/>
        <v>0</v>
      </c>
      <c r="AE26" s="42">
        <v>-4.9000000000000004</v>
      </c>
      <c r="AF26" s="42">
        <v>-3.4488115909090902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230</v>
      </c>
      <c r="U27" s="34">
        <v>120</v>
      </c>
      <c r="V27" s="35" t="s">
        <v>500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7.7491373263888885E-2</v>
      </c>
      <c r="AD27" s="37">
        <f t="shared" si="12"/>
        <v>0</v>
      </c>
      <c r="AE27" s="42">
        <v>-4.9000000000000004</v>
      </c>
      <c r="AF27" s="42">
        <v>-3.4488115909090902</v>
      </c>
      <c r="AG27" s="42">
        <v>0</v>
      </c>
    </row>
    <row r="28" spans="1:33" ht="15.75" customHeight="1" x14ac:dyDescent="0.2">
      <c r="A28" s="40" t="s">
        <v>79</v>
      </c>
      <c r="B28" s="40" t="s">
        <v>570</v>
      </c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116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1.1212121212121211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7.7491373263888885E-2</v>
      </c>
      <c r="AD28" s="37">
        <f t="shared" si="12"/>
        <v>0</v>
      </c>
      <c r="AE28" s="42">
        <v>-4.95</v>
      </c>
      <c r="AF28" s="42">
        <v>-3.4488115909090902</v>
      </c>
      <c r="AG28" s="42">
        <v>0</v>
      </c>
    </row>
    <row r="29" spans="1:33" ht="15.75" customHeight="1" x14ac:dyDescent="0.2">
      <c r="A29" s="26" t="s">
        <v>82</v>
      </c>
      <c r="B29" s="26" t="s">
        <v>102</v>
      </c>
      <c r="C29" s="14">
        <f t="shared" si="4"/>
        <v>9.99</v>
      </c>
      <c r="D29" s="27">
        <v>2</v>
      </c>
      <c r="E29" s="27">
        <v>0</v>
      </c>
      <c r="F29" s="30">
        <v>19.98</v>
      </c>
      <c r="G29" s="30">
        <v>-0.3</v>
      </c>
      <c r="H29" s="29">
        <f t="shared" si="1"/>
        <v>1.5015015015015015E-2</v>
      </c>
      <c r="I29" s="29">
        <f t="shared" si="2"/>
        <v>-1.6441410011337001E-2</v>
      </c>
      <c r="J29" s="30">
        <f t="shared" si="5"/>
        <v>-0.3284993720265133</v>
      </c>
      <c r="K29" s="30">
        <f t="shared" si="3"/>
        <v>-0.16424968601325665</v>
      </c>
      <c r="L29" s="27">
        <v>79</v>
      </c>
      <c r="M29" s="31">
        <f t="shared" si="6"/>
        <v>2.5316455696202531E-2</v>
      </c>
      <c r="N29" s="15">
        <v>116</v>
      </c>
      <c r="O29" s="32">
        <f t="shared" ref="O29:P29" si="37">D29/7</f>
        <v>0.2857142857142857</v>
      </c>
      <c r="P29" s="32">
        <f t="shared" si="37"/>
        <v>0</v>
      </c>
      <c r="Q29" s="27">
        <f t="shared" si="8"/>
        <v>406</v>
      </c>
      <c r="R29" s="27"/>
      <c r="S29" s="41">
        <v>0.80519480519480524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7.7491373263888885E-2</v>
      </c>
      <c r="AD29" s="37">
        <f t="shared" si="12"/>
        <v>-0.21387619020833332</v>
      </c>
      <c r="AE29" s="37">
        <v>-4.95</v>
      </c>
      <c r="AF29" s="42">
        <v>-3.4488115909090902</v>
      </c>
      <c r="AG29" s="37">
        <v>0</v>
      </c>
    </row>
    <row r="30" spans="1:33" ht="15.75" customHeight="1" x14ac:dyDescent="0.2">
      <c r="A30" s="40" t="s">
        <v>84</v>
      </c>
      <c r="B30" s="26" t="s">
        <v>102</v>
      </c>
      <c r="C30" s="14">
        <f t="shared" si="4"/>
        <v>9.99</v>
      </c>
      <c r="D30" s="15">
        <v>12</v>
      </c>
      <c r="E30" s="15">
        <v>1</v>
      </c>
      <c r="F30" s="16">
        <v>119.88</v>
      </c>
      <c r="G30" s="16">
        <v>0</v>
      </c>
      <c r="H30" s="29">
        <f t="shared" si="1"/>
        <v>0</v>
      </c>
      <c r="I30" s="29">
        <f t="shared" si="2"/>
        <v>4.0368720491324008E-3</v>
      </c>
      <c r="J30" s="30">
        <f t="shared" si="5"/>
        <v>0.48394022124999214</v>
      </c>
      <c r="K30" s="30">
        <f t="shared" si="3"/>
        <v>4.0328351770832681E-2</v>
      </c>
      <c r="L30" s="15">
        <v>184</v>
      </c>
      <c r="M30" s="31">
        <f t="shared" si="6"/>
        <v>6.5217391304347824E-2</v>
      </c>
      <c r="N30" s="15">
        <v>103</v>
      </c>
      <c r="O30" s="32">
        <f t="shared" ref="O30:P30" si="38">D30/7</f>
        <v>1.7142857142857142</v>
      </c>
      <c r="P30" s="32">
        <f t="shared" si="38"/>
        <v>0.14285714285714285</v>
      </c>
      <c r="Q30" s="27">
        <f t="shared" si="8"/>
        <v>55</v>
      </c>
      <c r="R30" s="27"/>
      <c r="S30" s="41">
        <v>0.87591240875912413</v>
      </c>
      <c r="T30" s="26">
        <v>60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7.7491373263888885E-2</v>
      </c>
      <c r="AD30" s="37">
        <f t="shared" si="12"/>
        <v>-1.28325714125</v>
      </c>
      <c r="AE30" s="42">
        <v>-4.95</v>
      </c>
      <c r="AF30" s="42">
        <v>-3.3942335531249999</v>
      </c>
      <c r="AG30" s="42">
        <v>0</v>
      </c>
    </row>
    <row r="31" spans="1:33" ht="15.75" customHeight="1" x14ac:dyDescent="0.2">
      <c r="A31" s="40" t="s">
        <v>87</v>
      </c>
      <c r="B31" s="26" t="s">
        <v>102</v>
      </c>
      <c r="C31" s="14">
        <f t="shared" si="4"/>
        <v>9.99</v>
      </c>
      <c r="D31" s="15">
        <v>12</v>
      </c>
      <c r="E31" s="15">
        <v>0</v>
      </c>
      <c r="F31" s="16">
        <v>119.88</v>
      </c>
      <c r="G31" s="43">
        <v>-1.92</v>
      </c>
      <c r="H31" s="29">
        <f t="shared" si="1"/>
        <v>1.6016016016016016E-2</v>
      </c>
      <c r="I31" s="29">
        <f t="shared" si="2"/>
        <v>-1.197914396688363E-2</v>
      </c>
      <c r="J31" s="30">
        <f t="shared" si="5"/>
        <v>-1.4360597787500096</v>
      </c>
      <c r="K31" s="30">
        <f t="shared" si="3"/>
        <v>-0.11967164822916747</v>
      </c>
      <c r="L31" s="15">
        <v>144</v>
      </c>
      <c r="M31" s="31">
        <f t="shared" si="6"/>
        <v>8.3333333333333329E-2</v>
      </c>
      <c r="N31" s="15">
        <v>89</v>
      </c>
      <c r="O31" s="32">
        <f t="shared" ref="O31:P31" si="39">D31/7</f>
        <v>1.7142857142857142</v>
      </c>
      <c r="P31" s="32">
        <f t="shared" si="39"/>
        <v>0</v>
      </c>
      <c r="Q31" s="27">
        <f t="shared" si="8"/>
        <v>51</v>
      </c>
      <c r="R31" s="27"/>
      <c r="S31" s="41">
        <v>1.42372881355932</v>
      </c>
      <c r="T31" s="40">
        <v>60</v>
      </c>
      <c r="U31" s="22" t="s">
        <v>34</v>
      </c>
      <c r="V31" s="1" t="s">
        <v>572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7.7491373263888885E-2</v>
      </c>
      <c r="AD31" s="37">
        <f t="shared" si="12"/>
        <v>-1.28325714125</v>
      </c>
      <c r="AE31" s="45">
        <v>-4.95</v>
      </c>
      <c r="AF31" s="45">
        <v>-3.3942335531249999</v>
      </c>
      <c r="AG31" s="42">
        <v>0</v>
      </c>
    </row>
    <row r="32" spans="1:33" ht="15.75" customHeight="1" x14ac:dyDescent="0.2">
      <c r="A32" s="40" t="s">
        <v>90</v>
      </c>
      <c r="B32" s="58" t="s">
        <v>573</v>
      </c>
      <c r="C32" s="14">
        <f t="shared" si="4"/>
        <v>9.99</v>
      </c>
      <c r="D32" s="15">
        <v>5</v>
      </c>
      <c r="E32" s="15">
        <v>0</v>
      </c>
      <c r="F32" s="16">
        <v>49.95</v>
      </c>
      <c r="G32" s="16">
        <v>0</v>
      </c>
      <c r="H32" s="29">
        <f t="shared" si="1"/>
        <v>0</v>
      </c>
      <c r="I32" s="29">
        <f t="shared" si="2"/>
        <v>1.5079442984652454E-3</v>
      </c>
      <c r="J32" s="30">
        <f t="shared" si="5"/>
        <v>7.5321817708339012E-2</v>
      </c>
      <c r="K32" s="30">
        <f t="shared" si="3"/>
        <v>1.5064363541667802E-2</v>
      </c>
      <c r="L32" s="15">
        <v>130</v>
      </c>
      <c r="M32" s="31">
        <f t="shared" si="6"/>
        <v>3.8461538461538464E-2</v>
      </c>
      <c r="N32" s="15">
        <v>84</v>
      </c>
      <c r="O32" s="32">
        <f t="shared" ref="O32:P32" si="40">D32/7</f>
        <v>0.7142857142857143</v>
      </c>
      <c r="P32" s="32">
        <f t="shared" si="40"/>
        <v>0</v>
      </c>
      <c r="Q32" s="27">
        <f t="shared" si="8"/>
        <v>117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1.0769230769230771</v>
      </c>
      <c r="T32" s="40">
        <f ca="1">IFERROR(__xludf.DUMMYFUNCTION("IFERROR(VLOOKUP($B$2,IMPORTRANGE(""https://docs.google.com/spreadsheets/d/1KiWZV1ko8G7lnRucBRBd29jj3Be6ltMfljMDqzOkQmI/edit#gid=1381463014"",""Lookup!A:D""),4,FALSE),"""")"),60)</f>
        <v>60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60 At Factory 50-75 days from Earliest Arrival")</f>
        <v>No Transit, But 60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9.5798611111111126E-2</v>
      </c>
      <c r="AD32" s="37">
        <f t="shared" si="12"/>
        <v>-0.6610104166666666</v>
      </c>
      <c r="AE32" s="42">
        <v>-4.95</v>
      </c>
      <c r="AF32" s="42">
        <v>-3.3942335531249999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9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Gray &amp; Light Blue - 36 x 17 Inch Leather Style Computer Pad for Desk")</f>
        <v>Office Desk Mat, Double Sided Gray &amp; Light Blue - 36 x 17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Info!B1:BJ5000""),2,FALSE),"""")"),"B085KSSQKR")</f>
        <v>B085KSSQKR</v>
      </c>
      <c r="B2" s="3" t="s">
        <v>574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9.8229600625000018</v>
      </c>
      <c r="D3" s="5">
        <f>SUM(D4:D99767)</f>
        <v>13</v>
      </c>
      <c r="E3" s="5"/>
      <c r="F3" s="6">
        <f t="shared" ref="F3:G3" si="0">SUM(F4:F99767)</f>
        <v>122.88000000000001</v>
      </c>
      <c r="G3" s="6">
        <f t="shared" si="0"/>
        <v>-0.3</v>
      </c>
      <c r="H3" s="7">
        <f>G3/F3*-1</f>
        <v>2.4414062499999996E-3</v>
      </c>
      <c r="I3" s="8">
        <f>J3/F3</f>
        <v>-8.3464451686871999E-2</v>
      </c>
      <c r="J3" s="6">
        <f>SUM(J4:J99767)</f>
        <v>-10.256111823282833</v>
      </c>
      <c r="K3" s="6">
        <f>J3/D3</f>
        <v>-0.78893167871406411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-1.8466690193055557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Info!B2:BZ3000""),37,FALSE)),"""")*-1"),-3.399516053125)</f>
        <v>-3.3995160531250002</v>
      </c>
      <c r="AG3" s="6">
        <f>SUM(AG4:AG99767)</f>
        <v>-3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35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35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hidden="1" customHeight="1" x14ac:dyDescent="0.2">
      <c r="A10" s="26"/>
      <c r="B10" s="26"/>
      <c r="C10" s="14"/>
      <c r="D10" s="27"/>
      <c r="E10" s="27"/>
      <c r="F10" s="28"/>
      <c r="G10" s="28"/>
      <c r="H10" s="29"/>
      <c r="I10" s="29"/>
      <c r="J10" s="30"/>
      <c r="K10" s="30"/>
      <c r="L10" s="27"/>
      <c r="M10" s="31"/>
      <c r="N10" s="27"/>
      <c r="O10" s="32"/>
      <c r="P10" s="32"/>
      <c r="Q10" s="27"/>
      <c r="R10" s="27"/>
      <c r="S10" s="33"/>
      <c r="T10" s="26"/>
      <c r="U10" s="34"/>
      <c r="V10" s="35"/>
      <c r="W10" s="26"/>
      <c r="X10" s="36"/>
      <c r="Y10" s="37"/>
      <c r="Z10" s="26"/>
      <c r="AA10" s="26"/>
      <c r="AB10" s="38"/>
      <c r="AC10" s="39"/>
      <c r="AD10" s="37"/>
      <c r="AE10" s="37"/>
      <c r="AF10" s="37"/>
      <c r="AG10" s="37"/>
    </row>
    <row r="11" spans="1:33" ht="15.75" hidden="1" customHeight="1" x14ac:dyDescent="0.2">
      <c r="A11" s="26"/>
      <c r="B11" s="26"/>
      <c r="C11" s="14"/>
      <c r="D11" s="27"/>
      <c r="E11" s="27"/>
      <c r="F11" s="28"/>
      <c r="G11" s="28"/>
      <c r="H11" s="29"/>
      <c r="I11" s="29"/>
      <c r="J11" s="30"/>
      <c r="K11" s="30"/>
      <c r="L11" s="27"/>
      <c r="M11" s="31"/>
      <c r="N11" s="27"/>
      <c r="O11" s="32"/>
      <c r="P11" s="32"/>
      <c r="Q11" s="27"/>
      <c r="R11" s="27"/>
      <c r="S11" s="33"/>
      <c r="T11" s="26"/>
      <c r="U11" s="34"/>
      <c r="V11" s="35"/>
      <c r="W11" s="26"/>
      <c r="X11" s="36"/>
      <c r="Y11" s="37"/>
      <c r="Z11" s="26"/>
      <c r="AA11" s="26"/>
      <c r="AB11" s="38"/>
      <c r="AC11" s="39"/>
      <c r="AD11" s="37"/>
      <c r="AE11" s="37"/>
      <c r="AF11" s="37"/>
      <c r="AG11" s="37"/>
    </row>
    <row r="12" spans="1:33" ht="15.75" hidden="1" customHeight="1" x14ac:dyDescent="0.2">
      <c r="A12" s="26"/>
      <c r="B12" s="26"/>
      <c r="C12" s="14"/>
      <c r="D12" s="27"/>
      <c r="E12" s="27"/>
      <c r="F12" s="28"/>
      <c r="G12" s="28"/>
      <c r="H12" s="29"/>
      <c r="I12" s="29"/>
      <c r="J12" s="30"/>
      <c r="K12" s="30"/>
      <c r="L12" s="27"/>
      <c r="M12" s="31"/>
      <c r="N12" s="27"/>
      <c r="O12" s="32"/>
      <c r="P12" s="32"/>
      <c r="Q12" s="27"/>
      <c r="R12" s="27"/>
      <c r="S12" s="33"/>
      <c r="T12" s="26"/>
      <c r="U12" s="34"/>
      <c r="V12" s="35"/>
      <c r="W12" s="26"/>
      <c r="X12" s="36"/>
      <c r="Y12" s="37"/>
      <c r="Z12" s="26"/>
      <c r="AA12" s="26"/>
      <c r="AB12" s="38"/>
      <c r="AC12" s="39"/>
      <c r="AD12" s="37"/>
      <c r="AE12" s="37"/>
      <c r="AF12" s="37"/>
      <c r="AG12" s="37"/>
    </row>
    <row r="13" spans="1:33" ht="15.75" hidden="1" customHeight="1" x14ac:dyDescent="0.2">
      <c r="A13" s="26"/>
      <c r="B13" s="26"/>
      <c r="C13" s="14"/>
      <c r="D13" s="27"/>
      <c r="E13" s="27"/>
      <c r="F13" s="30"/>
      <c r="G13" s="28"/>
      <c r="H13" s="29"/>
      <c r="I13" s="29"/>
      <c r="J13" s="30"/>
      <c r="K13" s="30"/>
      <c r="L13" s="27"/>
      <c r="M13" s="31"/>
      <c r="N13" s="27"/>
      <c r="O13" s="32"/>
      <c r="P13" s="32"/>
      <c r="Q13" s="27"/>
      <c r="R13" s="27"/>
      <c r="S13" s="33"/>
      <c r="T13" s="26"/>
      <c r="U13" s="34"/>
      <c r="V13" s="35"/>
      <c r="W13" s="26"/>
      <c r="X13" s="36"/>
      <c r="Y13" s="37"/>
      <c r="Z13" s="26"/>
      <c r="AA13" s="26"/>
      <c r="AB13" s="38"/>
      <c r="AC13" s="39"/>
      <c r="AD13" s="37"/>
      <c r="AE13" s="37"/>
      <c r="AF13" s="37"/>
      <c r="AG13" s="37"/>
    </row>
    <row r="14" spans="1:33" ht="15.75" hidden="1" customHeight="1" x14ac:dyDescent="0.2">
      <c r="A14" s="26"/>
      <c r="B14" s="26"/>
      <c r="C14" s="14"/>
      <c r="D14" s="27"/>
      <c r="E14" s="27"/>
      <c r="F14" s="30"/>
      <c r="G14" s="28"/>
      <c r="H14" s="29"/>
      <c r="I14" s="29"/>
      <c r="J14" s="30"/>
      <c r="K14" s="30"/>
      <c r="L14" s="27"/>
      <c r="M14" s="31"/>
      <c r="N14" s="27"/>
      <c r="O14" s="32"/>
      <c r="P14" s="32"/>
      <c r="Q14" s="27"/>
      <c r="R14" s="27"/>
      <c r="S14" s="33"/>
      <c r="T14" s="26"/>
      <c r="U14" s="34"/>
      <c r="V14" s="35"/>
      <c r="W14" s="26"/>
      <c r="X14" s="36"/>
      <c r="Y14" s="37"/>
      <c r="Z14" s="26"/>
      <c r="AA14" s="26"/>
      <c r="AB14" s="38"/>
      <c r="AC14" s="39"/>
      <c r="AD14" s="37"/>
      <c r="AE14" s="37"/>
      <c r="AF14" s="37"/>
      <c r="AG14" s="37"/>
    </row>
    <row r="15" spans="1:33" ht="15.75" hidden="1" customHeight="1" x14ac:dyDescent="0.2">
      <c r="A15" s="26"/>
      <c r="B15" s="26"/>
      <c r="C15" s="14"/>
      <c r="D15" s="27"/>
      <c r="E15" s="27"/>
      <c r="F15" s="30"/>
      <c r="G15" s="28"/>
      <c r="H15" s="29"/>
      <c r="I15" s="29"/>
      <c r="J15" s="30"/>
      <c r="K15" s="30"/>
      <c r="L15" s="27"/>
      <c r="M15" s="31"/>
      <c r="N15" s="27"/>
      <c r="O15" s="32"/>
      <c r="P15" s="32"/>
      <c r="Q15" s="27"/>
      <c r="R15" s="27"/>
      <c r="S15" s="33"/>
      <c r="T15" s="26"/>
      <c r="U15" s="34"/>
      <c r="V15" s="35"/>
      <c r="W15" s="26"/>
      <c r="X15" s="36"/>
      <c r="Y15" s="37"/>
      <c r="Z15" s="26"/>
      <c r="AA15" s="26"/>
      <c r="AB15" s="38"/>
      <c r="AC15" s="39"/>
      <c r="AD15" s="37"/>
      <c r="AE15" s="37"/>
      <c r="AF15" s="37"/>
      <c r="AG15" s="37"/>
    </row>
    <row r="16" spans="1:33" ht="15.75" hidden="1" customHeight="1" x14ac:dyDescent="0.2">
      <c r="A16" s="26"/>
      <c r="B16" s="26"/>
      <c r="C16" s="14"/>
      <c r="D16" s="27"/>
      <c r="E16" s="27"/>
      <c r="F16" s="30"/>
      <c r="G16" s="28"/>
      <c r="H16" s="29"/>
      <c r="I16" s="29"/>
      <c r="J16" s="30"/>
      <c r="K16" s="30"/>
      <c r="L16" s="27"/>
      <c r="M16" s="31"/>
      <c r="N16" s="27"/>
      <c r="O16" s="32"/>
      <c r="P16" s="32"/>
      <c r="Q16" s="27"/>
      <c r="R16" s="27"/>
      <c r="S16" s="33"/>
      <c r="T16" s="26"/>
      <c r="U16" s="34"/>
      <c r="V16" s="35"/>
      <c r="W16" s="26"/>
      <c r="X16" s="36"/>
      <c r="Y16" s="37"/>
      <c r="Z16" s="26"/>
      <c r="AA16" s="26"/>
      <c r="AB16" s="38"/>
      <c r="AC16" s="39"/>
      <c r="AD16" s="37"/>
      <c r="AE16" s="37"/>
      <c r="AF16" s="37"/>
      <c r="AG16" s="37"/>
    </row>
    <row r="17" spans="1:33" ht="15.75" hidden="1" customHeight="1" x14ac:dyDescent="0.2">
      <c r="A17" s="26"/>
      <c r="B17" s="26"/>
      <c r="C17" s="14"/>
      <c r="D17" s="27"/>
      <c r="E17" s="27"/>
      <c r="F17" s="30"/>
      <c r="G17" s="28"/>
      <c r="H17" s="29"/>
      <c r="I17" s="29"/>
      <c r="J17" s="30"/>
      <c r="K17" s="30"/>
      <c r="L17" s="27"/>
      <c r="M17" s="31"/>
      <c r="N17" s="27"/>
      <c r="O17" s="32"/>
      <c r="P17" s="32"/>
      <c r="Q17" s="27"/>
      <c r="R17" s="27"/>
      <c r="S17" s="33"/>
      <c r="T17" s="26"/>
      <c r="U17" s="34"/>
      <c r="V17" s="35"/>
      <c r="W17" s="26"/>
      <c r="X17" s="36"/>
      <c r="Y17" s="37"/>
      <c r="Z17" s="26"/>
      <c r="AA17" s="26"/>
      <c r="AB17" s="38"/>
      <c r="AC17" s="39"/>
      <c r="AD17" s="37"/>
      <c r="AE17" s="37"/>
      <c r="AF17" s="37"/>
      <c r="AG17" s="37"/>
    </row>
    <row r="18" spans="1:33" ht="15.75" hidden="1" customHeight="1" x14ac:dyDescent="0.2">
      <c r="A18" s="26"/>
      <c r="B18" s="26"/>
      <c r="C18" s="14"/>
      <c r="D18" s="27"/>
      <c r="E18" s="27"/>
      <c r="F18" s="30"/>
      <c r="G18" s="28"/>
      <c r="H18" s="29"/>
      <c r="I18" s="29"/>
      <c r="J18" s="30"/>
      <c r="K18" s="30"/>
      <c r="L18" s="27"/>
      <c r="M18" s="31"/>
      <c r="N18" s="27"/>
      <c r="O18" s="32"/>
      <c r="P18" s="32"/>
      <c r="Q18" s="27"/>
      <c r="R18" s="27"/>
      <c r="S18" s="33"/>
      <c r="T18" s="26"/>
      <c r="U18" s="34"/>
      <c r="V18" s="35"/>
      <c r="W18" s="26"/>
      <c r="X18" s="36"/>
      <c r="Y18" s="37"/>
      <c r="Z18" s="26"/>
      <c r="AA18" s="26"/>
      <c r="AB18" s="38"/>
      <c r="AC18" s="39"/>
      <c r="AD18" s="37"/>
      <c r="AE18" s="37"/>
      <c r="AF18" s="37"/>
      <c r="AG18" s="37"/>
    </row>
    <row r="19" spans="1:33" ht="15.75" hidden="1" customHeight="1" x14ac:dyDescent="0.2">
      <c r="A19" s="26"/>
      <c r="B19" s="26"/>
      <c r="C19" s="14"/>
      <c r="D19" s="27"/>
      <c r="E19" s="27"/>
      <c r="F19" s="30"/>
      <c r="G19" s="28"/>
      <c r="H19" s="29"/>
      <c r="I19" s="29"/>
      <c r="J19" s="30"/>
      <c r="K19" s="30"/>
      <c r="L19" s="27"/>
      <c r="M19" s="31"/>
      <c r="N19" s="27"/>
      <c r="O19" s="32"/>
      <c r="P19" s="32"/>
      <c r="Q19" s="27"/>
      <c r="R19" s="27"/>
      <c r="S19" s="33"/>
      <c r="T19" s="26"/>
      <c r="U19" s="34"/>
      <c r="V19" s="35"/>
      <c r="W19" s="26"/>
      <c r="X19" s="36"/>
      <c r="Y19" s="37"/>
      <c r="Z19" s="26"/>
      <c r="AA19" s="26"/>
      <c r="AB19" s="38"/>
      <c r="AC19" s="39"/>
      <c r="AD19" s="37"/>
      <c r="AE19" s="37"/>
      <c r="AF19" s="37"/>
      <c r="AG19" s="37"/>
    </row>
    <row r="20" spans="1:33" ht="15.75" hidden="1" customHeight="1" x14ac:dyDescent="0.2">
      <c r="A20" s="26"/>
      <c r="B20" s="26"/>
      <c r="C20" s="14"/>
      <c r="D20" s="27"/>
      <c r="E20" s="27"/>
      <c r="F20" s="30"/>
      <c r="G20" s="28"/>
      <c r="H20" s="29"/>
      <c r="I20" s="29"/>
      <c r="J20" s="30"/>
      <c r="K20" s="30"/>
      <c r="L20" s="27"/>
      <c r="M20" s="31"/>
      <c r="N20" s="27"/>
      <c r="O20" s="32"/>
      <c r="P20" s="32"/>
      <c r="Q20" s="27"/>
      <c r="R20" s="27"/>
      <c r="S20" s="33"/>
      <c r="T20" s="26"/>
      <c r="U20" s="34"/>
      <c r="V20" s="35"/>
      <c r="W20" s="26"/>
      <c r="X20" s="36"/>
      <c r="Y20" s="37"/>
      <c r="Z20" s="26"/>
      <c r="AA20" s="26"/>
      <c r="AB20" s="38"/>
      <c r="AC20" s="39"/>
      <c r="AD20" s="37"/>
      <c r="AE20" s="37"/>
      <c r="AF20" s="37"/>
      <c r="AG20" s="37"/>
    </row>
    <row r="21" spans="1:33" ht="15.75" hidden="1" customHeight="1" x14ac:dyDescent="0.2">
      <c r="A21" s="26"/>
      <c r="B21" s="26"/>
      <c r="C21" s="14"/>
      <c r="D21" s="27"/>
      <c r="E21" s="27"/>
      <c r="F21" s="30"/>
      <c r="G21" s="28"/>
      <c r="H21" s="29"/>
      <c r="I21" s="29"/>
      <c r="J21" s="30"/>
      <c r="K21" s="30"/>
      <c r="L21" s="27"/>
      <c r="M21" s="31"/>
      <c r="N21" s="27"/>
      <c r="O21" s="32"/>
      <c r="P21" s="32"/>
      <c r="Q21" s="27"/>
      <c r="R21" s="27"/>
      <c r="S21" s="33"/>
      <c r="T21" s="26"/>
      <c r="U21" s="34"/>
      <c r="V21" s="35"/>
      <c r="W21" s="26"/>
      <c r="X21" s="36"/>
      <c r="Y21" s="37"/>
      <c r="Z21" s="26"/>
      <c r="AA21" s="26"/>
      <c r="AB21" s="38"/>
      <c r="AC21" s="39"/>
      <c r="AD21" s="37"/>
      <c r="AE21" s="37"/>
      <c r="AF21" s="37"/>
      <c r="AG21" s="37"/>
    </row>
    <row r="22" spans="1:33" ht="15.75" hidden="1" customHeight="1" x14ac:dyDescent="0.2">
      <c r="A22" s="26"/>
      <c r="B22" s="26"/>
      <c r="C22" s="14"/>
      <c r="D22" s="27"/>
      <c r="E22" s="27"/>
      <c r="F22" s="28"/>
      <c r="G22" s="28"/>
      <c r="H22" s="29"/>
      <c r="I22" s="29"/>
      <c r="J22" s="30"/>
      <c r="K22" s="30"/>
      <c r="L22" s="27"/>
      <c r="M22" s="31"/>
      <c r="N22" s="27"/>
      <c r="O22" s="32"/>
      <c r="P22" s="32"/>
      <c r="Q22" s="27"/>
      <c r="R22" s="27"/>
      <c r="S22" s="33"/>
      <c r="T22" s="26"/>
      <c r="U22" s="34"/>
      <c r="V22" s="35"/>
      <c r="W22" s="26"/>
      <c r="X22" s="36"/>
      <c r="Y22" s="37"/>
      <c r="Z22" s="26"/>
      <c r="AA22" s="26"/>
      <c r="AB22" s="38"/>
      <c r="AC22" s="39"/>
      <c r="AD22" s="37"/>
      <c r="AE22" s="37"/>
      <c r="AF22" s="37"/>
      <c r="AG22" s="37"/>
    </row>
    <row r="23" spans="1:33" ht="15.75" customHeight="1" x14ac:dyDescent="0.2">
      <c r="A23" s="26" t="s">
        <v>68</v>
      </c>
      <c r="B23" s="26" t="s">
        <v>575</v>
      </c>
      <c r="C23" s="14">
        <f t="shared" ref="C23:C32" si="1">IFERROR(F23/D23," - ")</f>
        <v>12.99</v>
      </c>
      <c r="D23" s="27">
        <v>1</v>
      </c>
      <c r="E23" s="27">
        <v>0</v>
      </c>
      <c r="F23" s="30">
        <v>12.99</v>
      </c>
      <c r="G23" s="28">
        <v>0</v>
      </c>
      <c r="H23" s="29">
        <f t="shared" ref="H23:H32" si="2">G23/F23*-1</f>
        <v>0</v>
      </c>
      <c r="I23" s="29">
        <f t="shared" ref="I23:I32" si="3">J23/F23</f>
        <v>0.11147006827318597</v>
      </c>
      <c r="J23" s="30">
        <f t="shared" ref="J23:J32" si="4">F23*0.85+G23+AF23*D23+D23*AE23+AG23+AD23</f>
        <v>1.4479961868686857</v>
      </c>
      <c r="K23" s="30">
        <f t="shared" ref="K23:K32" si="5">J23/D23</f>
        <v>1.4479961868686857</v>
      </c>
      <c r="L23" s="27">
        <v>0</v>
      </c>
      <c r="M23" s="31" t="str">
        <f t="shared" ref="M23:M32" si="6">IFERROR(D23/L23,"-")</f>
        <v>-</v>
      </c>
      <c r="N23" s="27">
        <v>0</v>
      </c>
      <c r="O23" s="32">
        <f t="shared" ref="O23:P23" si="7">D23/7</f>
        <v>0.14285714285714285</v>
      </c>
      <c r="P23" s="32">
        <f t="shared" si="7"/>
        <v>0</v>
      </c>
      <c r="Q23" s="27">
        <f t="shared" ref="Q23:Q32" si="8">ROUNDDOWN(N23/(O23+P23),0)</f>
        <v>0</v>
      </c>
      <c r="R23" s="27"/>
      <c r="S23" s="33" t="e">
        <v>#N/A</v>
      </c>
      <c r="T23" s="26">
        <v>540</v>
      </c>
      <c r="U23" s="34" t="s">
        <v>34</v>
      </c>
      <c r="V23" s="35" t="s">
        <v>463</v>
      </c>
      <c r="W23" s="26">
        <v>0</v>
      </c>
      <c r="X23" s="36">
        <f t="shared" ref="X23:X32" si="9">IFERROR(W23/D23,0)</f>
        <v>0</v>
      </c>
      <c r="Y23" s="37">
        <f t="shared" ref="Y23:Y32" si="10">IFERROR(G23/(W23+Z23)*-1,0)</f>
        <v>0</v>
      </c>
      <c r="Z23" s="26">
        <v>0</v>
      </c>
      <c r="AA23" s="26" t="s">
        <v>37</v>
      </c>
      <c r="AB23" s="38">
        <f t="shared" ref="AB23:AB32" si="11">IF(OR(AA23="UsLargeStandardSize",AA23="UsSmallStandardSize"),-0.69,-0.48)</f>
        <v>-0.69</v>
      </c>
      <c r="AC23" s="39">
        <v>0.24594907407407407</v>
      </c>
      <c r="AD23" s="37">
        <f t="shared" ref="AD23:AD32" si="12">IFERROR(AB23*AC23*D23*2,0)</f>
        <v>-0.33940972222222221</v>
      </c>
      <c r="AE23" s="37">
        <v>-5.8</v>
      </c>
      <c r="AF23" s="37">
        <v>-3.4540940909090909</v>
      </c>
      <c r="AG23" s="37">
        <v>0</v>
      </c>
    </row>
    <row r="24" spans="1:33" ht="15.75" customHeight="1" x14ac:dyDescent="0.2">
      <c r="A24" s="26" t="s">
        <v>71</v>
      </c>
      <c r="B24" s="26" t="s">
        <v>575</v>
      </c>
      <c r="C24" s="14" t="str">
        <f t="shared" si="1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2"/>
        <v>#DIV/0!</v>
      </c>
      <c r="I24" s="29" t="e">
        <f t="shared" si="3"/>
        <v>#DIV/0!</v>
      </c>
      <c r="J24" s="30">
        <f t="shared" si="4"/>
        <v>0</v>
      </c>
      <c r="K24" s="30" t="e">
        <f t="shared" si="5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13">D24/7</f>
        <v>0</v>
      </c>
      <c r="P24" s="32">
        <f t="shared" si="13"/>
        <v>0</v>
      </c>
      <c r="Q24" s="27" t="e">
        <f t="shared" si="8"/>
        <v>#DIV/0!</v>
      </c>
      <c r="R24" s="27"/>
      <c r="S24" s="33" t="e">
        <v>#N/A</v>
      </c>
      <c r="T24" s="26">
        <v>540</v>
      </c>
      <c r="U24" s="34" t="s">
        <v>34</v>
      </c>
      <c r="V24" s="35" t="s">
        <v>463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0.24594907407407407</v>
      </c>
      <c r="AD24" s="37">
        <f t="shared" si="12"/>
        <v>0</v>
      </c>
      <c r="AE24" s="37">
        <v>-5.8</v>
      </c>
      <c r="AF24" s="37">
        <v>-3.4540940909090909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1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2"/>
        <v>#DIV/0!</v>
      </c>
      <c r="I25" s="29" t="e">
        <f t="shared" si="3"/>
        <v>#DIV/0!</v>
      </c>
      <c r="J25" s="30">
        <f t="shared" si="4"/>
        <v>0</v>
      </c>
      <c r="K25" s="30" t="e">
        <f t="shared" si="5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14">D25/7</f>
        <v>0</v>
      </c>
      <c r="P25" s="32">
        <f t="shared" si="14"/>
        <v>0</v>
      </c>
      <c r="Q25" s="27" t="e">
        <f t="shared" si="8"/>
        <v>#DIV/0!</v>
      </c>
      <c r="R25" s="27"/>
      <c r="S25" s="41">
        <v>0</v>
      </c>
      <c r="T25" s="26">
        <v>540</v>
      </c>
      <c r="U25" s="34">
        <v>180</v>
      </c>
      <c r="V25" s="35" t="s">
        <v>464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0.24594907407407407</v>
      </c>
      <c r="AD25" s="37">
        <f t="shared" si="12"/>
        <v>0</v>
      </c>
      <c r="AE25" s="42">
        <v>-5.8</v>
      </c>
      <c r="AF25" s="42">
        <v>-3.45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1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2"/>
        <v>#DIV/0!</v>
      </c>
      <c r="I26" s="29" t="e">
        <f t="shared" si="3"/>
        <v>#DIV/0!</v>
      </c>
      <c r="J26" s="30">
        <f t="shared" si="4"/>
        <v>0</v>
      </c>
      <c r="K26" s="30" t="e">
        <f t="shared" si="5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15">D26/7</f>
        <v>0</v>
      </c>
      <c r="P26" s="32">
        <f t="shared" si="15"/>
        <v>0</v>
      </c>
      <c r="Q26" s="27" t="e">
        <f t="shared" si="8"/>
        <v>#DIV/0!</v>
      </c>
      <c r="R26" s="27"/>
      <c r="S26" s="41">
        <v>0</v>
      </c>
      <c r="T26" s="26">
        <v>540</v>
      </c>
      <c r="U26" s="34">
        <v>180</v>
      </c>
      <c r="V26" s="35" t="s">
        <v>464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0.24594907407407407</v>
      </c>
      <c r="AD26" s="37">
        <f t="shared" si="12"/>
        <v>0</v>
      </c>
      <c r="AE26" s="42">
        <v>-5.8</v>
      </c>
      <c r="AF26" s="42">
        <v>-3.45409409090909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1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2"/>
        <v>#DIV/0!</v>
      </c>
      <c r="I27" s="29" t="e">
        <f t="shared" si="3"/>
        <v>#DIV/0!</v>
      </c>
      <c r="J27" s="30">
        <f t="shared" si="4"/>
        <v>0</v>
      </c>
      <c r="K27" s="30" t="e">
        <f t="shared" si="5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16">D27/7</f>
        <v>0</v>
      </c>
      <c r="P27" s="32">
        <f t="shared" si="16"/>
        <v>0</v>
      </c>
      <c r="Q27" s="27" t="e">
        <f t="shared" si="8"/>
        <v>#DIV/0!</v>
      </c>
      <c r="R27" s="27"/>
      <c r="S27" s="41">
        <v>0</v>
      </c>
      <c r="T27" s="26">
        <v>540</v>
      </c>
      <c r="U27" s="34">
        <v>180</v>
      </c>
      <c r="V27" s="35" t="s">
        <v>465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0.24594907407407407</v>
      </c>
      <c r="AD27" s="37">
        <f t="shared" si="12"/>
        <v>0</v>
      </c>
      <c r="AE27" s="42">
        <v>-5.8</v>
      </c>
      <c r="AF27" s="42">
        <v>-3.45409409090909</v>
      </c>
      <c r="AG27" s="42">
        <v>0</v>
      </c>
    </row>
    <row r="28" spans="1:33" ht="15.75" customHeight="1" x14ac:dyDescent="0.2">
      <c r="A28" s="40" t="s">
        <v>79</v>
      </c>
      <c r="B28" s="40" t="s">
        <v>576</v>
      </c>
      <c r="C28" s="14" t="str">
        <f t="shared" si="1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2"/>
        <v>#DIV/0!</v>
      </c>
      <c r="I28" s="29" t="e">
        <f t="shared" si="3"/>
        <v>#DIV/0!</v>
      </c>
      <c r="J28" s="30">
        <f t="shared" si="4"/>
        <v>0</v>
      </c>
      <c r="K28" s="30" t="e">
        <f t="shared" si="5"/>
        <v>#DIV/0!</v>
      </c>
      <c r="L28" s="15">
        <v>0</v>
      </c>
      <c r="M28" s="31" t="str">
        <f t="shared" si="6"/>
        <v>-</v>
      </c>
      <c r="N28" s="15">
        <v>180</v>
      </c>
      <c r="O28" s="32">
        <f t="shared" ref="O28:P28" si="17">D28/7</f>
        <v>0</v>
      </c>
      <c r="P28" s="32">
        <f t="shared" si="17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561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0.24594907407407407</v>
      </c>
      <c r="AD28" s="37">
        <f t="shared" si="12"/>
        <v>0</v>
      </c>
      <c r="AE28" s="42">
        <v>-5.98</v>
      </c>
      <c r="AF28" s="42">
        <v>-3.45409409090909</v>
      </c>
      <c r="AG28" s="42">
        <v>0</v>
      </c>
    </row>
    <row r="29" spans="1:33" ht="15.75" customHeight="1" x14ac:dyDescent="0.2">
      <c r="A29" s="26" t="s">
        <v>82</v>
      </c>
      <c r="B29" s="26" t="s">
        <v>46</v>
      </c>
      <c r="C29" s="14">
        <f t="shared" si="1"/>
        <v>9.99</v>
      </c>
      <c r="D29" s="27">
        <v>2</v>
      </c>
      <c r="E29" s="27">
        <v>0</v>
      </c>
      <c r="F29" s="30">
        <v>19.98</v>
      </c>
      <c r="G29" s="30">
        <v>-0.3</v>
      </c>
      <c r="H29" s="29">
        <f t="shared" si="2"/>
        <v>1.5015015015015015E-2</v>
      </c>
      <c r="I29" s="29">
        <f t="shared" si="3"/>
        <v>-1.8838741975245342E-2</v>
      </c>
      <c r="J29" s="30">
        <f t="shared" si="4"/>
        <v>-0.37639806466540193</v>
      </c>
      <c r="K29" s="30">
        <f t="shared" si="5"/>
        <v>-0.18819903233270097</v>
      </c>
      <c r="L29" s="27">
        <v>34</v>
      </c>
      <c r="M29" s="31">
        <f t="shared" si="6"/>
        <v>5.8823529411764705E-2</v>
      </c>
      <c r="N29" s="15">
        <v>173</v>
      </c>
      <c r="O29" s="32">
        <f t="shared" ref="O29:P29" si="18">D29/7</f>
        <v>0.2857142857142857</v>
      </c>
      <c r="P29" s="32">
        <f t="shared" si="18"/>
        <v>0</v>
      </c>
      <c r="Q29" s="27">
        <f t="shared" si="8"/>
        <v>605</v>
      </c>
      <c r="R29" s="27"/>
      <c r="S29" s="41">
        <v>2.298850574712644E-2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9.1018073495370375E-2</v>
      </c>
      <c r="AD29" s="37">
        <f t="shared" si="12"/>
        <v>-0.25120988284722223</v>
      </c>
      <c r="AE29" s="37">
        <v>-4.95</v>
      </c>
      <c r="AF29" s="42">
        <v>-3.45409409090909</v>
      </c>
      <c r="AG29" s="37">
        <v>0</v>
      </c>
    </row>
    <row r="30" spans="1:33" ht="15.75" customHeight="1" x14ac:dyDescent="0.2">
      <c r="A30" s="40" t="s">
        <v>84</v>
      </c>
      <c r="B30" s="40" t="s">
        <v>577</v>
      </c>
      <c r="C30" s="14">
        <f t="shared" si="1"/>
        <v>9.99</v>
      </c>
      <c r="D30" s="15">
        <v>4</v>
      </c>
      <c r="E30" s="15">
        <v>0</v>
      </c>
      <c r="F30" s="16">
        <v>39.96</v>
      </c>
      <c r="G30" s="16">
        <v>0</v>
      </c>
      <c r="H30" s="29">
        <f t="shared" si="2"/>
        <v>0</v>
      </c>
      <c r="I30" s="29">
        <f t="shared" si="3"/>
        <v>1.6395400852241503E-3</v>
      </c>
      <c r="J30" s="30">
        <f t="shared" si="4"/>
        <v>6.5516021805557045E-2</v>
      </c>
      <c r="K30" s="30">
        <f t="shared" si="5"/>
        <v>1.6379005451389261E-2</v>
      </c>
      <c r="L30" s="15">
        <v>27</v>
      </c>
      <c r="M30" s="31">
        <f t="shared" si="6"/>
        <v>0.14814814814814814</v>
      </c>
      <c r="N30" s="15">
        <v>139</v>
      </c>
      <c r="O30" s="32">
        <f t="shared" ref="O30:P30" si="19">D30/7</f>
        <v>0.5714285714285714</v>
      </c>
      <c r="P30" s="32">
        <f t="shared" si="19"/>
        <v>0</v>
      </c>
      <c r="Q30" s="27">
        <f t="shared" si="8"/>
        <v>243</v>
      </c>
      <c r="R30" s="27"/>
      <c r="S30" s="41">
        <v>0.1420118343195266</v>
      </c>
      <c r="T30" s="26">
        <v>90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9.1018073495370375E-2</v>
      </c>
      <c r="AD30" s="37">
        <f t="shared" si="12"/>
        <v>-0.50241976569444446</v>
      </c>
      <c r="AE30" s="42">
        <v>-4.95</v>
      </c>
      <c r="AF30" s="42">
        <v>-3.3995160531250002</v>
      </c>
      <c r="AG30" s="42">
        <v>0</v>
      </c>
    </row>
    <row r="31" spans="1:33" ht="15.75" customHeight="1" x14ac:dyDescent="0.2">
      <c r="A31" s="40" t="s">
        <v>87</v>
      </c>
      <c r="B31" s="40" t="s">
        <v>492</v>
      </c>
      <c r="C31" s="14">
        <f t="shared" si="1"/>
        <v>6.66</v>
      </c>
      <c r="D31" s="15">
        <v>3</v>
      </c>
      <c r="E31" s="15">
        <v>0</v>
      </c>
      <c r="F31" s="16">
        <v>19.98</v>
      </c>
      <c r="G31" s="43">
        <v>0</v>
      </c>
      <c r="H31" s="29">
        <f t="shared" si="2"/>
        <v>0</v>
      </c>
      <c r="I31" s="29">
        <f t="shared" si="3"/>
        <v>-0.47259073992221401</v>
      </c>
      <c r="J31" s="30">
        <f t="shared" si="4"/>
        <v>-9.442362983645836</v>
      </c>
      <c r="K31" s="30">
        <f t="shared" si="5"/>
        <v>-3.1474543278819453</v>
      </c>
      <c r="L31" s="15">
        <v>35</v>
      </c>
      <c r="M31" s="31">
        <f t="shared" si="6"/>
        <v>8.5714285714285715E-2</v>
      </c>
      <c r="N31" s="15">
        <v>136</v>
      </c>
      <c r="O31" s="32">
        <f t="shared" ref="O31:P31" si="20">D31/7</f>
        <v>0.42857142857142855</v>
      </c>
      <c r="P31" s="32">
        <f t="shared" si="20"/>
        <v>0</v>
      </c>
      <c r="Q31" s="27">
        <f t="shared" si="8"/>
        <v>317</v>
      </c>
      <c r="R31" s="27"/>
      <c r="S31" s="41">
        <v>0.20437956204379501</v>
      </c>
      <c r="T31" s="40">
        <v>90</v>
      </c>
      <c r="U31" s="22" t="s">
        <v>34</v>
      </c>
      <c r="V31" s="1" t="s">
        <v>578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9.1018073495370375E-2</v>
      </c>
      <c r="AD31" s="37">
        <f t="shared" si="12"/>
        <v>-0.37681482427083335</v>
      </c>
      <c r="AE31" s="45">
        <v>-4.95</v>
      </c>
      <c r="AF31" s="45">
        <v>-3.3995160531250002</v>
      </c>
      <c r="AG31" s="42">
        <v>-1</v>
      </c>
    </row>
    <row r="32" spans="1:33" ht="15.75" customHeight="1" x14ac:dyDescent="0.2">
      <c r="A32" s="40" t="s">
        <v>90</v>
      </c>
      <c r="B32" s="50" t="s">
        <v>579</v>
      </c>
      <c r="C32" s="14">
        <f t="shared" si="1"/>
        <v>9.99</v>
      </c>
      <c r="D32" s="15">
        <v>3</v>
      </c>
      <c r="E32" s="15">
        <v>0</v>
      </c>
      <c r="F32" s="16">
        <v>29.97</v>
      </c>
      <c r="G32" s="16">
        <v>0</v>
      </c>
      <c r="H32" s="29">
        <f t="shared" si="2"/>
        <v>0</v>
      </c>
      <c r="I32" s="29">
        <f t="shared" si="3"/>
        <v>-6.5093859981509405E-2</v>
      </c>
      <c r="J32" s="30">
        <f t="shared" si="4"/>
        <v>-1.9508629836458367</v>
      </c>
      <c r="K32" s="30">
        <f t="shared" si="5"/>
        <v>-0.65028766121527892</v>
      </c>
      <c r="L32" s="15">
        <v>37</v>
      </c>
      <c r="M32" s="31">
        <f t="shared" si="6"/>
        <v>8.1081081081081086E-2</v>
      </c>
      <c r="N32" s="15">
        <v>163</v>
      </c>
      <c r="O32" s="32">
        <f t="shared" ref="O32:P32" si="21">D32/7</f>
        <v>0.42857142857142855</v>
      </c>
      <c r="P32" s="32">
        <f t="shared" si="21"/>
        <v>0</v>
      </c>
      <c r="Q32" s="27">
        <f t="shared" si="8"/>
        <v>380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0.1282798833819242</v>
      </c>
      <c r="T32" s="40">
        <f ca="1">IFERROR(__xludf.DUMMYFUNCTION("IFERROR(VLOOKUP($B$2,IMPORTRANGE(""https://docs.google.com/spreadsheets/d/1KiWZV1ko8G7lnRucBRBd29jj3Be6ltMfljMDqzOkQmI/edit#gid=1381463014"",""Lookup!A:D""),4,FALSE),"""")"),90)</f>
        <v>90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90 At Factory 50-75 days from Earliest Arrival")</f>
        <v>No Transit, But 90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9.1018073495370375E-2</v>
      </c>
      <c r="AD32" s="37">
        <f t="shared" si="12"/>
        <v>-0.37681482427083335</v>
      </c>
      <c r="AE32" s="42">
        <v>-4.95</v>
      </c>
      <c r="AF32" s="42">
        <v>-3.3995160531250002</v>
      </c>
      <c r="AG32" s="42">
        <v>-2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A201" s="40"/>
      <c r="B201" s="40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</row>
    <row r="202" spans="1:33" ht="15.75" customHeight="1" x14ac:dyDescent="0.2">
      <c r="A202" s="40"/>
      <c r="B202" s="40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</row>
    <row r="203" spans="1:33" ht="15.75" customHeight="1" x14ac:dyDescent="0.2">
      <c r="A203" s="40"/>
      <c r="B203" s="40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</row>
    <row r="204" spans="1:33" ht="15.75" customHeight="1" x14ac:dyDescent="0.2">
      <c r="A204" s="40"/>
      <c r="B204" s="40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</row>
    <row r="205" spans="1:33" ht="15.75" customHeight="1" x14ac:dyDescent="0.2">
      <c r="A205" s="40"/>
      <c r="B205" s="40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</row>
    <row r="206" spans="1:33" ht="15.75" customHeight="1" x14ac:dyDescent="0.2">
      <c r="A206" s="40"/>
      <c r="B206" s="40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</row>
    <row r="207" spans="1:33" ht="15.75" customHeight="1" x14ac:dyDescent="0.2">
      <c r="A207" s="40"/>
      <c r="B207" s="40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</row>
    <row r="208" spans="1:33" ht="15.75" customHeight="1" x14ac:dyDescent="0.2">
      <c r="A208" s="40"/>
      <c r="B208" s="40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</row>
    <row r="209" spans="1:33" ht="15.75" customHeight="1" x14ac:dyDescent="0.2">
      <c r="A209" s="40"/>
      <c r="B209" s="40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</row>
    <row r="210" spans="1:33" ht="15.75" customHeight="1" x14ac:dyDescent="0.2">
      <c r="A210" s="40"/>
      <c r="B210" s="40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</row>
    <row r="211" spans="1:33" ht="15.75" customHeight="1" x14ac:dyDescent="0.2">
      <c r="A211" s="40"/>
      <c r="B211" s="40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</row>
    <row r="212" spans="1:33" ht="15.75" customHeight="1" x14ac:dyDescent="0.2">
      <c r="A212" s="40"/>
      <c r="B212" s="40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</row>
    <row r="213" spans="1:33" ht="15.75" customHeight="1" x14ac:dyDescent="0.2">
      <c r="A213" s="40"/>
      <c r="B213" s="40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</row>
    <row r="214" spans="1:33" ht="15.75" customHeight="1" x14ac:dyDescent="0.2">
      <c r="A214" s="40"/>
      <c r="B214" s="40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</row>
    <row r="215" spans="1:33" ht="15.75" customHeight="1" x14ac:dyDescent="0.2">
      <c r="A215" s="40"/>
      <c r="B215" s="40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</row>
    <row r="216" spans="1:33" ht="15.75" customHeight="1" x14ac:dyDescent="0.2">
      <c r="A216" s="40"/>
      <c r="B216" s="40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</row>
    <row r="217" spans="1:33" ht="15.75" customHeight="1" x14ac:dyDescent="0.2">
      <c r="A217" s="40"/>
      <c r="B217" s="40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</row>
    <row r="218" spans="1:33" ht="15.75" customHeight="1" x14ac:dyDescent="0.2">
      <c r="A218" s="40"/>
      <c r="B218" s="40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</row>
    <row r="219" spans="1:33" ht="15.75" customHeight="1" x14ac:dyDescent="0.2">
      <c r="A219" s="40"/>
      <c r="B219" s="40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</row>
    <row r="220" spans="1:33" ht="15.75" customHeight="1" x14ac:dyDescent="0.2">
      <c r="A220" s="40"/>
      <c r="B220" s="40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</row>
    <row r="221" spans="1:33" ht="15.75" customHeight="1" x14ac:dyDescent="0.2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1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</row>
    <row r="222" spans="1:33" ht="15.75" customHeight="1" x14ac:dyDescent="0.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1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</row>
    <row r="223" spans="1:33" ht="15.75" customHeight="1" x14ac:dyDescent="0.2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1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</row>
    <row r="224" spans="1:33" ht="15.75" customHeight="1" x14ac:dyDescent="0.2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1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8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Black &amp; Mauve - 36 x 17 Inch Leather Style Computer Pad for Desk")</f>
        <v>Office Desk Mat, Double Sided Black &amp; Mauve - 36 x 17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Info!B1:BJ5000""),2,FALSE),"""")"),"B085LL8SSP")</f>
        <v>B085LL8SSP</v>
      </c>
      <c r="B2" s="3" t="s">
        <v>580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9.8167453566176484</v>
      </c>
      <c r="D3" s="5">
        <f>SUM(D4:D99767)</f>
        <v>142</v>
      </c>
      <c r="E3" s="5"/>
      <c r="F3" s="6">
        <f t="shared" ref="F3:G3" si="0">SUM(F4:F99767)</f>
        <v>1364.5900000000004</v>
      </c>
      <c r="G3" s="6">
        <f t="shared" si="0"/>
        <v>-338.18</v>
      </c>
      <c r="H3" s="7">
        <f t="shared" ref="H3:H32" si="1">G3/F3*-1</f>
        <v>0.24782535413567439</v>
      </c>
      <c r="I3" s="8">
        <f t="shared" ref="I3:I32" si="2">J3/F3</f>
        <v>-0.29477547107013202</v>
      </c>
      <c r="J3" s="6">
        <f>SUM(J4:J99767)</f>
        <v>-402.24766006759154</v>
      </c>
      <c r="K3" s="6">
        <f t="shared" ref="K3:K32" si="3">J3/D3</f>
        <v>-2.8327300004759968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21</v>
      </c>
      <c r="X3" s="7">
        <f>W3/D3</f>
        <v>0.14788732394366197</v>
      </c>
      <c r="Y3" s="6"/>
      <c r="Z3" s="5"/>
      <c r="AA3" s="5"/>
      <c r="AB3" s="5"/>
      <c r="AC3" s="5"/>
      <c r="AD3" s="6">
        <f>SUM(AD4:AD99767)</f>
        <v>-16.668229453102864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Info!B2:BZ3000""),37,FALSE)),"""")*-1"),-3.394233553125)</f>
        <v>-3.3942335531249999</v>
      </c>
      <c r="AG3" s="6">
        <f>SUM(AG4:AG99767)</f>
        <v>-22</v>
      </c>
    </row>
    <row r="4" spans="1:33" x14ac:dyDescent="0.2">
      <c r="A4" s="1" t="s">
        <v>32</v>
      </c>
      <c r="B4" s="2" t="s">
        <v>581</v>
      </c>
      <c r="C4" s="14">
        <f t="shared" ref="C4:C32" si="4">IFERROR(F4/D4," - ")</f>
        <v>11.99</v>
      </c>
      <c r="D4" s="15">
        <v>3</v>
      </c>
      <c r="E4" s="15">
        <v>0</v>
      </c>
      <c r="F4" s="16">
        <v>35.97</v>
      </c>
      <c r="G4" s="16">
        <v>0</v>
      </c>
      <c r="H4" s="17">
        <f t="shared" si="1"/>
        <v>0</v>
      </c>
      <c r="I4" s="17">
        <f t="shared" si="2"/>
        <v>0.15285433540997964</v>
      </c>
      <c r="J4" s="16">
        <f t="shared" ref="J4:J32" si="5">F4*0.85+G4+AF4*D4+D4*AE4+AG4+AD4</f>
        <v>5.4981704446969673</v>
      </c>
      <c r="K4" s="16">
        <f t="shared" si="3"/>
        <v>1.8327234815656557</v>
      </c>
      <c r="L4" s="15">
        <v>59</v>
      </c>
      <c r="M4" s="18">
        <f t="shared" ref="M4:M32" si="6">IFERROR(D4/L4,"-")</f>
        <v>5.0847457627118647E-2</v>
      </c>
      <c r="N4" s="15">
        <v>132</v>
      </c>
      <c r="O4" s="19">
        <f t="shared" ref="O4:P4" si="7">D4/7</f>
        <v>0.42857142857142855</v>
      </c>
      <c r="P4" s="19">
        <f t="shared" si="7"/>
        <v>0</v>
      </c>
      <c r="Q4" s="15">
        <f t="shared" ref="Q4:Q32" si="8">ROUNDDOWN(N4/(O4+P4),0)</f>
        <v>308</v>
      </c>
      <c r="R4" s="15"/>
      <c r="S4" s="20">
        <v>0.201438848920863</v>
      </c>
      <c r="T4" s="2">
        <v>540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8.6741712962962958E-2</v>
      </c>
      <c r="AD4" s="24">
        <f t="shared" ref="AD4:AD32" si="12">IFERROR(AB4*AC4*D4*2,0)</f>
        <v>-0.35911069166666665</v>
      </c>
      <c r="AE4" s="24">
        <v>-4.9000000000000004</v>
      </c>
      <c r="AF4" s="24">
        <v>-3.3390729545454545</v>
      </c>
      <c r="AG4" s="24">
        <v>0</v>
      </c>
    </row>
    <row r="5" spans="1:33" ht="15.75" customHeight="1" x14ac:dyDescent="0.2">
      <c r="A5" s="26" t="s">
        <v>35</v>
      </c>
      <c r="B5" s="26" t="s">
        <v>102</v>
      </c>
      <c r="C5" s="14">
        <f t="shared" si="4"/>
        <v>11.99</v>
      </c>
      <c r="D5" s="27">
        <v>4</v>
      </c>
      <c r="E5" s="27">
        <v>0</v>
      </c>
      <c r="F5" s="28">
        <v>47.96</v>
      </c>
      <c r="G5" s="28">
        <v>0</v>
      </c>
      <c r="H5" s="29">
        <f t="shared" si="1"/>
        <v>0</v>
      </c>
      <c r="I5" s="29">
        <f t="shared" si="2"/>
        <v>0.15284276690862242</v>
      </c>
      <c r="J5" s="30">
        <f t="shared" si="5"/>
        <v>7.3303391009375316</v>
      </c>
      <c r="K5" s="30">
        <f t="shared" si="3"/>
        <v>1.8325847752343829</v>
      </c>
      <c r="L5" s="27">
        <v>135</v>
      </c>
      <c r="M5" s="31">
        <f t="shared" si="6"/>
        <v>2.9629629629629631E-2</v>
      </c>
      <c r="N5" s="27">
        <v>127</v>
      </c>
      <c r="O5" s="32">
        <f t="shared" ref="O5:P5" si="13">D5/7</f>
        <v>0.5714285714285714</v>
      </c>
      <c r="P5" s="32">
        <f t="shared" si="13"/>
        <v>0</v>
      </c>
      <c r="Q5" s="27">
        <f t="shared" si="8"/>
        <v>222</v>
      </c>
      <c r="R5" s="27"/>
      <c r="S5" s="33">
        <v>0.29520295202952002</v>
      </c>
      <c r="T5" s="26">
        <v>540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8.6842224797219009E-2</v>
      </c>
      <c r="AD5" s="37">
        <f t="shared" si="12"/>
        <v>-0.47936908088064889</v>
      </c>
      <c r="AE5" s="37">
        <v>-4.9000000000000004</v>
      </c>
      <c r="AF5" s="37">
        <v>-3.3390729545454545</v>
      </c>
      <c r="AG5" s="37">
        <v>0</v>
      </c>
    </row>
    <row r="6" spans="1:33" ht="15.75" customHeight="1" x14ac:dyDescent="0.2">
      <c r="A6" s="26" t="s">
        <v>38</v>
      </c>
      <c r="B6" s="26" t="s">
        <v>570</v>
      </c>
      <c r="C6" s="14">
        <f t="shared" si="4"/>
        <v>11.99</v>
      </c>
      <c r="D6" s="27">
        <v>1</v>
      </c>
      <c r="E6" s="27">
        <v>0</v>
      </c>
      <c r="F6" s="28">
        <v>11.99</v>
      </c>
      <c r="G6" s="28">
        <v>0</v>
      </c>
      <c r="H6" s="29">
        <f t="shared" si="1"/>
        <v>0</v>
      </c>
      <c r="I6" s="29">
        <f t="shared" si="2"/>
        <v>0.15285433540997967</v>
      </c>
      <c r="J6" s="30">
        <f t="shared" si="5"/>
        <v>1.8327234815656563</v>
      </c>
      <c r="K6" s="30">
        <f t="shared" si="3"/>
        <v>1.8327234815656563</v>
      </c>
      <c r="L6" s="27">
        <v>106</v>
      </c>
      <c r="M6" s="31">
        <f t="shared" si="6"/>
        <v>9.433962264150943E-3</v>
      </c>
      <c r="N6" s="27">
        <v>126</v>
      </c>
      <c r="O6" s="32">
        <f t="shared" ref="O6:P6" si="14">D6/7</f>
        <v>0.14285714285714285</v>
      </c>
      <c r="P6" s="32">
        <f t="shared" si="14"/>
        <v>0</v>
      </c>
      <c r="Q6" s="27">
        <f t="shared" si="8"/>
        <v>882</v>
      </c>
      <c r="R6" s="27"/>
      <c r="S6" s="33">
        <v>0.21153846153846101</v>
      </c>
      <c r="T6" s="26">
        <v>540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8.6741712962962958E-2</v>
      </c>
      <c r="AD6" s="37">
        <f t="shared" si="12"/>
        <v>-0.11970356388888888</v>
      </c>
      <c r="AE6" s="37">
        <v>-4.9000000000000004</v>
      </c>
      <c r="AF6" s="37">
        <v>-3.3390729545454545</v>
      </c>
      <c r="AG6" s="37">
        <v>0</v>
      </c>
    </row>
    <row r="7" spans="1:33" ht="15.75" customHeight="1" x14ac:dyDescent="0.2">
      <c r="A7" s="26" t="s">
        <v>41</v>
      </c>
      <c r="B7" s="26" t="s">
        <v>523</v>
      </c>
      <c r="C7" s="14">
        <f t="shared" si="4"/>
        <v>9.99</v>
      </c>
      <c r="D7" s="27">
        <v>4</v>
      </c>
      <c r="E7" s="27">
        <v>0</v>
      </c>
      <c r="F7" s="28">
        <v>39.96</v>
      </c>
      <c r="G7" s="28">
        <v>0</v>
      </c>
      <c r="H7" s="29">
        <f t="shared" si="1"/>
        <v>0</v>
      </c>
      <c r="I7" s="29">
        <f t="shared" si="2"/>
        <v>1.3285633790356055E-2</v>
      </c>
      <c r="J7" s="30">
        <f t="shared" si="5"/>
        <v>0.53089392626262799</v>
      </c>
      <c r="K7" s="30">
        <f t="shared" si="3"/>
        <v>0.132723481565657</v>
      </c>
      <c r="L7" s="27">
        <v>81</v>
      </c>
      <c r="M7" s="31">
        <f t="shared" si="6"/>
        <v>4.9382716049382713E-2</v>
      </c>
      <c r="N7" s="27">
        <v>124</v>
      </c>
      <c r="O7" s="32">
        <f t="shared" ref="O7:P7" si="15">D7/7</f>
        <v>0.5714285714285714</v>
      </c>
      <c r="P7" s="32">
        <f t="shared" si="15"/>
        <v>0</v>
      </c>
      <c r="Q7" s="27">
        <f t="shared" si="8"/>
        <v>217</v>
      </c>
      <c r="R7" s="27"/>
      <c r="S7" s="33">
        <v>0.223300970873786</v>
      </c>
      <c r="T7" s="26">
        <v>540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8.6741712962962958E-2</v>
      </c>
      <c r="AD7" s="37">
        <f t="shared" si="12"/>
        <v>-0.47881425555555551</v>
      </c>
      <c r="AE7" s="37">
        <v>-4.9000000000000004</v>
      </c>
      <c r="AF7" s="37">
        <v>-3.3390729545454545</v>
      </c>
      <c r="AG7" s="37">
        <v>0</v>
      </c>
    </row>
    <row r="8" spans="1:33" ht="15.75" customHeight="1" x14ac:dyDescent="0.2">
      <c r="A8" s="26" t="s">
        <v>43</v>
      </c>
      <c r="B8" s="26" t="s">
        <v>523</v>
      </c>
      <c r="C8" s="14">
        <f t="shared" si="4"/>
        <v>9.99</v>
      </c>
      <c r="D8" s="27">
        <v>4</v>
      </c>
      <c r="E8" s="27">
        <v>0</v>
      </c>
      <c r="F8" s="28">
        <v>39.96</v>
      </c>
      <c r="G8" s="28">
        <v>0</v>
      </c>
      <c r="H8" s="29">
        <f t="shared" si="1"/>
        <v>0</v>
      </c>
      <c r="I8" s="29">
        <f t="shared" si="2"/>
        <v>1.3192836447558677E-2</v>
      </c>
      <c r="J8" s="30">
        <f t="shared" si="5"/>
        <v>0.52718574444444477</v>
      </c>
      <c r="K8" s="30">
        <f t="shared" si="3"/>
        <v>0.13179643611111119</v>
      </c>
      <c r="L8" s="27">
        <v>75</v>
      </c>
      <c r="M8" s="31">
        <f t="shared" si="6"/>
        <v>5.3333333333333337E-2</v>
      </c>
      <c r="N8" s="27">
        <v>118</v>
      </c>
      <c r="O8" s="32">
        <f t="shared" ref="O8:P8" si="16">D8/7</f>
        <v>0.5714285714285714</v>
      </c>
      <c r="P8" s="32">
        <f t="shared" si="16"/>
        <v>0</v>
      </c>
      <c r="Q8" s="27">
        <f t="shared" si="8"/>
        <v>206</v>
      </c>
      <c r="R8" s="27"/>
      <c r="S8" s="33">
        <v>0.30226700251889099</v>
      </c>
      <c r="T8" s="26">
        <v>540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8.6741712962962958E-2</v>
      </c>
      <c r="AD8" s="37">
        <f t="shared" si="12"/>
        <v>-0.47881425555555551</v>
      </c>
      <c r="AE8" s="37">
        <v>-4.9000000000000004</v>
      </c>
      <c r="AF8" s="37">
        <v>-3.34</v>
      </c>
      <c r="AG8" s="37">
        <v>0</v>
      </c>
    </row>
    <row r="9" spans="1:33" ht="15.75" customHeight="1" x14ac:dyDescent="0.2">
      <c r="A9" s="26" t="s">
        <v>45</v>
      </c>
      <c r="B9" s="26" t="s">
        <v>523</v>
      </c>
      <c r="C9" s="14">
        <f t="shared" si="4"/>
        <v>9.99</v>
      </c>
      <c r="D9" s="27">
        <v>2</v>
      </c>
      <c r="E9" s="27">
        <v>0</v>
      </c>
      <c r="F9" s="28">
        <v>19.98</v>
      </c>
      <c r="G9" s="28">
        <v>0</v>
      </c>
      <c r="H9" s="29">
        <f t="shared" si="1"/>
        <v>0</v>
      </c>
      <c r="I9" s="29">
        <f t="shared" si="2"/>
        <v>6.0886640933865369E-3</v>
      </c>
      <c r="J9" s="30">
        <f t="shared" si="5"/>
        <v>0.12165150858586302</v>
      </c>
      <c r="K9" s="30">
        <f t="shared" si="3"/>
        <v>6.0825754292931508E-2</v>
      </c>
      <c r="L9" s="27">
        <v>51</v>
      </c>
      <c r="M9" s="31">
        <f t="shared" si="6"/>
        <v>3.9215686274509803E-2</v>
      </c>
      <c r="N9" s="27">
        <v>116</v>
      </c>
      <c r="O9" s="32">
        <f t="shared" ref="O9:P9" si="17">D9/7</f>
        <v>0.2857142857142857</v>
      </c>
      <c r="P9" s="32">
        <f t="shared" si="17"/>
        <v>0</v>
      </c>
      <c r="Q9" s="27">
        <f t="shared" si="8"/>
        <v>406</v>
      </c>
      <c r="R9" s="27"/>
      <c r="S9" s="33">
        <v>0.32820512820512798</v>
      </c>
      <c r="T9" s="26">
        <v>540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8.6741712962962958E-2</v>
      </c>
      <c r="AD9" s="37">
        <f t="shared" si="12"/>
        <v>-0.23940712777777776</v>
      </c>
      <c r="AE9" s="37">
        <v>-4.9000000000000004</v>
      </c>
      <c r="AF9" s="37">
        <v>-3.41097068181818</v>
      </c>
      <c r="AG9" s="37">
        <v>0</v>
      </c>
    </row>
    <row r="10" spans="1:33" ht="15.75" customHeight="1" x14ac:dyDescent="0.2">
      <c r="A10" s="26" t="s">
        <v>48</v>
      </c>
      <c r="B10" s="26" t="s">
        <v>523</v>
      </c>
      <c r="C10" s="14">
        <f t="shared" si="4"/>
        <v>9.99</v>
      </c>
      <c r="D10" s="27">
        <v>4</v>
      </c>
      <c r="E10" s="27">
        <v>0</v>
      </c>
      <c r="F10" s="28">
        <v>39.96</v>
      </c>
      <c r="G10" s="28">
        <v>0</v>
      </c>
      <c r="H10" s="29">
        <f t="shared" si="1"/>
        <v>0</v>
      </c>
      <c r="I10" s="29">
        <f t="shared" si="2"/>
        <v>6.0886640933865369E-3</v>
      </c>
      <c r="J10" s="30">
        <f t="shared" si="5"/>
        <v>0.24330301717172603</v>
      </c>
      <c r="K10" s="30">
        <f t="shared" si="3"/>
        <v>6.0825754292931508E-2</v>
      </c>
      <c r="L10" s="27">
        <v>47</v>
      </c>
      <c r="M10" s="31">
        <f t="shared" si="6"/>
        <v>8.5106382978723402E-2</v>
      </c>
      <c r="N10" s="27">
        <v>112</v>
      </c>
      <c r="O10" s="32">
        <f t="shared" ref="O10:P10" si="18">D10/7</f>
        <v>0.5714285714285714</v>
      </c>
      <c r="P10" s="32">
        <f t="shared" si="18"/>
        <v>0</v>
      </c>
      <c r="Q10" s="27">
        <f t="shared" si="8"/>
        <v>196</v>
      </c>
      <c r="R10" s="27"/>
      <c r="S10" s="33">
        <v>0.26415094339622602</v>
      </c>
      <c r="T10" s="26">
        <v>540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8.6741712962962958E-2</v>
      </c>
      <c r="AD10" s="37">
        <f t="shared" si="12"/>
        <v>-0.47881425555555551</v>
      </c>
      <c r="AE10" s="37">
        <v>-4.9000000000000004</v>
      </c>
      <c r="AF10" s="37">
        <v>-3.41097068181818</v>
      </c>
      <c r="AG10" s="37">
        <v>0</v>
      </c>
    </row>
    <row r="11" spans="1:33" ht="15.75" customHeight="1" x14ac:dyDescent="0.2">
      <c r="A11" s="26" t="s">
        <v>50</v>
      </c>
      <c r="B11" s="26" t="s">
        <v>582</v>
      </c>
      <c r="C11" s="14">
        <f t="shared" si="4"/>
        <v>9.99</v>
      </c>
      <c r="D11" s="27">
        <v>1</v>
      </c>
      <c r="E11" s="27">
        <v>1</v>
      </c>
      <c r="F11" s="28">
        <v>9.99</v>
      </c>
      <c r="G11" s="28">
        <v>0</v>
      </c>
      <c r="H11" s="29">
        <f t="shared" si="1"/>
        <v>0</v>
      </c>
      <c r="I11" s="29">
        <f t="shared" si="2"/>
        <v>6.0886640933865369E-3</v>
      </c>
      <c r="J11" s="30">
        <f t="shared" si="5"/>
        <v>6.0825754292931508E-2</v>
      </c>
      <c r="K11" s="30">
        <f t="shared" si="3"/>
        <v>6.0825754292931508E-2</v>
      </c>
      <c r="L11" s="27">
        <v>32</v>
      </c>
      <c r="M11" s="31">
        <f t="shared" si="6"/>
        <v>3.125E-2</v>
      </c>
      <c r="N11" s="27">
        <v>110</v>
      </c>
      <c r="O11" s="32">
        <f t="shared" ref="O11:P11" si="19">D11/7</f>
        <v>0.14285714285714285</v>
      </c>
      <c r="P11" s="32">
        <f t="shared" si="19"/>
        <v>0.14285714285714285</v>
      </c>
      <c r="Q11" s="27">
        <f t="shared" si="8"/>
        <v>385</v>
      </c>
      <c r="R11" s="27"/>
      <c r="S11" s="33">
        <v>0.28244274809160302</v>
      </c>
      <c r="T11" s="26">
        <v>540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8.6741712962962958E-2</v>
      </c>
      <c r="AD11" s="37">
        <f t="shared" si="12"/>
        <v>-0.11970356388888888</v>
      </c>
      <c r="AE11" s="37">
        <v>-4.9000000000000004</v>
      </c>
      <c r="AF11" s="37">
        <v>-3.41097068181818</v>
      </c>
      <c r="AG11" s="37">
        <v>0</v>
      </c>
    </row>
    <row r="12" spans="1:33" ht="15.75" customHeight="1" x14ac:dyDescent="0.2">
      <c r="A12" s="26" t="s">
        <v>52</v>
      </c>
      <c r="B12" s="26" t="s">
        <v>583</v>
      </c>
      <c r="C12" s="14">
        <f t="shared" si="4"/>
        <v>9.99</v>
      </c>
      <c r="D12" s="27">
        <v>2</v>
      </c>
      <c r="E12" s="27">
        <v>0</v>
      </c>
      <c r="F12" s="28">
        <v>19.98</v>
      </c>
      <c r="G12" s="28">
        <v>0</v>
      </c>
      <c r="H12" s="29">
        <f t="shared" si="1"/>
        <v>0</v>
      </c>
      <c r="I12" s="29">
        <f t="shared" si="2"/>
        <v>6.0886640933865369E-3</v>
      </c>
      <c r="J12" s="30">
        <f t="shared" si="5"/>
        <v>0.12165150858586302</v>
      </c>
      <c r="K12" s="30">
        <f t="shared" si="3"/>
        <v>6.0825754292931508E-2</v>
      </c>
      <c r="L12" s="27">
        <v>28</v>
      </c>
      <c r="M12" s="31">
        <f t="shared" si="6"/>
        <v>7.1428571428571425E-2</v>
      </c>
      <c r="N12" s="27">
        <v>108</v>
      </c>
      <c r="O12" s="32">
        <f t="shared" ref="O12:P12" si="20">D12/7</f>
        <v>0.2857142857142857</v>
      </c>
      <c r="P12" s="32">
        <f t="shared" si="20"/>
        <v>0</v>
      </c>
      <c r="Q12" s="27">
        <f t="shared" si="8"/>
        <v>378</v>
      </c>
      <c r="R12" s="27"/>
      <c r="S12" s="33">
        <v>0.27559055118110198</v>
      </c>
      <c r="T12" s="26">
        <v>540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8.6741712962962958E-2</v>
      </c>
      <c r="AD12" s="37">
        <f t="shared" si="12"/>
        <v>-0.23940712777777776</v>
      </c>
      <c r="AE12" s="37">
        <v>-4.9000000000000004</v>
      </c>
      <c r="AF12" s="37">
        <v>-3.41097068181818</v>
      </c>
      <c r="AG12" s="37">
        <v>0</v>
      </c>
    </row>
    <row r="13" spans="1:33" ht="15.75" customHeight="1" x14ac:dyDescent="0.2">
      <c r="A13" s="26" t="s">
        <v>54</v>
      </c>
      <c r="B13" s="26" t="s">
        <v>584</v>
      </c>
      <c r="C13" s="14">
        <f t="shared" si="4"/>
        <v>9.9899999999999984</v>
      </c>
      <c r="D13" s="27">
        <v>10</v>
      </c>
      <c r="E13" s="27">
        <v>0</v>
      </c>
      <c r="F13" s="30">
        <v>99.899999999999991</v>
      </c>
      <c r="G13" s="28">
        <v>-34.239999999999995</v>
      </c>
      <c r="H13" s="29">
        <f t="shared" si="1"/>
        <v>0.34274274274274275</v>
      </c>
      <c r="I13" s="29">
        <f t="shared" si="2"/>
        <v>-0.34044195743723521</v>
      </c>
      <c r="J13" s="30">
        <f t="shared" si="5"/>
        <v>-34.010151547979795</v>
      </c>
      <c r="K13" s="30">
        <f t="shared" si="3"/>
        <v>-3.4010151547979794</v>
      </c>
      <c r="L13" s="27">
        <v>35</v>
      </c>
      <c r="M13" s="31">
        <f t="shared" si="6"/>
        <v>0.2857142857142857</v>
      </c>
      <c r="N13" s="27">
        <v>98</v>
      </c>
      <c r="O13" s="32">
        <f t="shared" ref="O13:P13" si="21">D13/7</f>
        <v>1.4285714285714286</v>
      </c>
      <c r="P13" s="32">
        <f t="shared" si="21"/>
        <v>0</v>
      </c>
      <c r="Q13" s="27">
        <f t="shared" si="8"/>
        <v>68</v>
      </c>
      <c r="R13" s="27"/>
      <c r="S13" s="33">
        <v>0.268244575936883</v>
      </c>
      <c r="T13" s="26">
        <v>540</v>
      </c>
      <c r="U13" s="34" t="s">
        <v>34</v>
      </c>
      <c r="V13" s="35" t="s">
        <v>34</v>
      </c>
      <c r="W13" s="26">
        <v>5</v>
      </c>
      <c r="X13" s="36">
        <f t="shared" si="9"/>
        <v>0.5</v>
      </c>
      <c r="Y13" s="37">
        <f t="shared" si="10"/>
        <v>4.8914285714285706</v>
      </c>
      <c r="Z13" s="26">
        <v>2</v>
      </c>
      <c r="AA13" s="26" t="s">
        <v>37</v>
      </c>
      <c r="AB13" s="38">
        <f t="shared" si="11"/>
        <v>-0.69</v>
      </c>
      <c r="AC13" s="39">
        <v>8.6741712962962958E-2</v>
      </c>
      <c r="AD13" s="37">
        <f t="shared" si="12"/>
        <v>-1.1970356388888888</v>
      </c>
      <c r="AE13" s="37">
        <v>-4.9000000000000004</v>
      </c>
      <c r="AF13" s="37">
        <v>-3.4488115909090902</v>
      </c>
      <c r="AG13" s="37">
        <v>0</v>
      </c>
    </row>
    <row r="14" spans="1:33" ht="15.75" customHeight="1" x14ac:dyDescent="0.2">
      <c r="A14" s="26" t="s">
        <v>56</v>
      </c>
      <c r="B14" s="26" t="s">
        <v>585</v>
      </c>
      <c r="C14" s="14">
        <f t="shared" si="4"/>
        <v>9.99</v>
      </c>
      <c r="D14" s="27">
        <v>8</v>
      </c>
      <c r="E14" s="27">
        <v>0</v>
      </c>
      <c r="F14" s="30">
        <v>79.92</v>
      </c>
      <c r="G14" s="28">
        <v>-75.75</v>
      </c>
      <c r="H14" s="29">
        <f t="shared" si="1"/>
        <v>0.94782282282282282</v>
      </c>
      <c r="I14" s="29">
        <f t="shared" si="2"/>
        <v>-0.94552203751731512</v>
      </c>
      <c r="J14" s="30">
        <f t="shared" si="5"/>
        <v>-75.566121238383829</v>
      </c>
      <c r="K14" s="30">
        <f t="shared" si="3"/>
        <v>-9.4457651547979786</v>
      </c>
      <c r="L14" s="27">
        <v>74</v>
      </c>
      <c r="M14" s="31">
        <f t="shared" si="6"/>
        <v>0.10810810810810811</v>
      </c>
      <c r="N14" s="27">
        <v>92</v>
      </c>
      <c r="O14" s="32">
        <f t="shared" ref="O14:P14" si="22">D14/7</f>
        <v>1.1428571428571428</v>
      </c>
      <c r="P14" s="32">
        <f t="shared" si="22"/>
        <v>0</v>
      </c>
      <c r="Q14" s="27">
        <f t="shared" si="8"/>
        <v>80</v>
      </c>
      <c r="R14" s="27"/>
      <c r="S14" s="33">
        <v>0.38493723849372302</v>
      </c>
      <c r="T14" s="26">
        <v>540</v>
      </c>
      <c r="U14" s="34" t="s">
        <v>34</v>
      </c>
      <c r="V14" s="35" t="s">
        <v>34</v>
      </c>
      <c r="W14" s="26">
        <v>2</v>
      </c>
      <c r="X14" s="36">
        <f t="shared" si="9"/>
        <v>0.25</v>
      </c>
      <c r="Y14" s="37">
        <f t="shared" si="10"/>
        <v>4.4558823529411766</v>
      </c>
      <c r="Z14" s="26">
        <v>15</v>
      </c>
      <c r="AA14" s="26" t="s">
        <v>37</v>
      </c>
      <c r="AB14" s="38">
        <f t="shared" si="11"/>
        <v>-0.69</v>
      </c>
      <c r="AC14" s="39">
        <v>8.6741712962962958E-2</v>
      </c>
      <c r="AD14" s="37">
        <f t="shared" si="12"/>
        <v>-0.95762851111111102</v>
      </c>
      <c r="AE14" s="37">
        <v>-4.9000000000000004</v>
      </c>
      <c r="AF14" s="37">
        <v>-3.4488115909090902</v>
      </c>
      <c r="AG14" s="37">
        <v>0</v>
      </c>
    </row>
    <row r="15" spans="1:33" ht="15.75" customHeight="1" x14ac:dyDescent="0.2">
      <c r="A15" s="26" t="s">
        <v>58</v>
      </c>
      <c r="B15" s="26" t="s">
        <v>105</v>
      </c>
      <c r="C15" s="14">
        <f t="shared" si="4"/>
        <v>9.99</v>
      </c>
      <c r="D15" s="27">
        <v>6</v>
      </c>
      <c r="E15" s="27">
        <v>0</v>
      </c>
      <c r="F15" s="30">
        <v>59.940000000000005</v>
      </c>
      <c r="G15" s="28">
        <v>-109</v>
      </c>
      <c r="H15" s="29">
        <f t="shared" si="1"/>
        <v>1.818485151818485</v>
      </c>
      <c r="I15" s="29">
        <f t="shared" si="2"/>
        <v>-1.8829177665797108</v>
      </c>
      <c r="J15" s="30">
        <f t="shared" si="5"/>
        <v>-112.86209092878788</v>
      </c>
      <c r="K15" s="30">
        <f t="shared" si="3"/>
        <v>-18.810348488131314</v>
      </c>
      <c r="L15" s="27">
        <v>68</v>
      </c>
      <c r="M15" s="31">
        <f t="shared" si="6"/>
        <v>8.8235294117647065E-2</v>
      </c>
      <c r="N15" s="27">
        <v>85</v>
      </c>
      <c r="O15" s="32">
        <f t="shared" ref="O15:P15" si="23">D15/7</f>
        <v>0.8571428571428571</v>
      </c>
      <c r="P15" s="32">
        <f t="shared" si="23"/>
        <v>0</v>
      </c>
      <c r="Q15" s="27">
        <f t="shared" si="8"/>
        <v>99</v>
      </c>
      <c r="R15" s="27"/>
      <c r="S15" s="33">
        <v>0.44635193133047202</v>
      </c>
      <c r="T15" s="26">
        <v>210</v>
      </c>
      <c r="U15" s="34" t="s">
        <v>34</v>
      </c>
      <c r="V15" s="35" t="s">
        <v>34</v>
      </c>
      <c r="W15" s="26">
        <v>2</v>
      </c>
      <c r="X15" s="36">
        <f t="shared" si="9"/>
        <v>0.33333333333333331</v>
      </c>
      <c r="Y15" s="37">
        <f t="shared" si="10"/>
        <v>21.8</v>
      </c>
      <c r="Z15" s="26">
        <v>3</v>
      </c>
      <c r="AA15" s="26" t="s">
        <v>37</v>
      </c>
      <c r="AB15" s="38">
        <f t="shared" si="11"/>
        <v>-0.69</v>
      </c>
      <c r="AC15" s="39">
        <v>8.6741712962962958E-2</v>
      </c>
      <c r="AD15" s="37">
        <f t="shared" si="12"/>
        <v>-0.7182213833333333</v>
      </c>
      <c r="AE15" s="37">
        <v>-4.9000000000000004</v>
      </c>
      <c r="AF15" s="37">
        <v>-3.4488115909090902</v>
      </c>
      <c r="AG15" s="37">
        <v>-4</v>
      </c>
    </row>
    <row r="16" spans="1:33" ht="15.75" customHeight="1" x14ac:dyDescent="0.2">
      <c r="A16" s="26" t="s">
        <v>60</v>
      </c>
      <c r="B16" s="26" t="s">
        <v>586</v>
      </c>
      <c r="C16" s="14">
        <f t="shared" si="4"/>
        <v>9.99</v>
      </c>
      <c r="D16" s="27">
        <v>6</v>
      </c>
      <c r="E16" s="27">
        <v>0</v>
      </c>
      <c r="F16" s="30">
        <v>59.940000000000005</v>
      </c>
      <c r="G16" s="28">
        <v>-73.41</v>
      </c>
      <c r="H16" s="29">
        <f t="shared" si="1"/>
        <v>1.2247247247247246</v>
      </c>
      <c r="I16" s="29">
        <f t="shared" si="2"/>
        <v>-1.2724739894692669</v>
      </c>
      <c r="J16" s="30">
        <f t="shared" si="5"/>
        <v>-76.272090928787861</v>
      </c>
      <c r="K16" s="30">
        <f t="shared" si="3"/>
        <v>-12.712015154797976</v>
      </c>
      <c r="L16" s="27">
        <v>95</v>
      </c>
      <c r="M16" s="31">
        <f t="shared" si="6"/>
        <v>6.3157894736842107E-2</v>
      </c>
      <c r="N16" s="27">
        <v>79</v>
      </c>
      <c r="O16" s="32">
        <f t="shared" ref="O16:P16" si="24">D16/7</f>
        <v>0.8571428571428571</v>
      </c>
      <c r="P16" s="32">
        <f t="shared" si="24"/>
        <v>0</v>
      </c>
      <c r="Q16" s="27">
        <f t="shared" si="8"/>
        <v>92</v>
      </c>
      <c r="R16" s="27"/>
      <c r="S16" s="33">
        <v>0.49667405764966699</v>
      </c>
      <c r="T16" s="26">
        <v>210</v>
      </c>
      <c r="U16" s="34" t="s">
        <v>34</v>
      </c>
      <c r="V16" s="35" t="s">
        <v>34</v>
      </c>
      <c r="W16" s="26">
        <v>1</v>
      </c>
      <c r="X16" s="36">
        <f t="shared" si="9"/>
        <v>0.16666666666666666</v>
      </c>
      <c r="Y16" s="37">
        <f t="shared" si="10"/>
        <v>18.352499999999999</v>
      </c>
      <c r="Z16" s="26">
        <v>3</v>
      </c>
      <c r="AA16" s="26" t="s">
        <v>37</v>
      </c>
      <c r="AB16" s="38">
        <f t="shared" si="11"/>
        <v>-0.69</v>
      </c>
      <c r="AC16" s="39">
        <v>8.6741712962962958E-2</v>
      </c>
      <c r="AD16" s="37">
        <f t="shared" si="12"/>
        <v>-0.7182213833333333</v>
      </c>
      <c r="AE16" s="37">
        <v>-4.9000000000000004</v>
      </c>
      <c r="AF16" s="37">
        <v>-3.4488115909090902</v>
      </c>
      <c r="AG16" s="37">
        <v>-3</v>
      </c>
    </row>
    <row r="17" spans="1:33" ht="15.75" customHeight="1" x14ac:dyDescent="0.2">
      <c r="A17" s="26" t="s">
        <v>61</v>
      </c>
      <c r="B17" s="26" t="s">
        <v>46</v>
      </c>
      <c r="C17" s="14">
        <f t="shared" si="4"/>
        <v>9.99</v>
      </c>
      <c r="D17" s="27">
        <v>1</v>
      </c>
      <c r="E17" s="27">
        <v>0</v>
      </c>
      <c r="F17" s="30">
        <v>9.99</v>
      </c>
      <c r="G17" s="28">
        <v>-3.75</v>
      </c>
      <c r="H17" s="29">
        <f t="shared" si="1"/>
        <v>0.37537537537537535</v>
      </c>
      <c r="I17" s="29">
        <f t="shared" si="2"/>
        <v>-0.47317469016996783</v>
      </c>
      <c r="J17" s="30">
        <f t="shared" si="5"/>
        <v>-4.7270151547979786</v>
      </c>
      <c r="K17" s="30">
        <f t="shared" si="3"/>
        <v>-4.7270151547979786</v>
      </c>
      <c r="L17" s="27">
        <v>0</v>
      </c>
      <c r="M17" s="31" t="str">
        <f t="shared" si="6"/>
        <v>-</v>
      </c>
      <c r="N17" s="27">
        <v>79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553</v>
      </c>
      <c r="R17" s="27"/>
      <c r="S17" s="33">
        <v>0.50113895216400905</v>
      </c>
      <c r="T17" s="26">
        <v>210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3.75</v>
      </c>
      <c r="Z17" s="26">
        <v>1</v>
      </c>
      <c r="AA17" s="26" t="s">
        <v>37</v>
      </c>
      <c r="AB17" s="38">
        <f t="shared" si="11"/>
        <v>-0.69</v>
      </c>
      <c r="AC17" s="39">
        <v>8.6741712962962958E-2</v>
      </c>
      <c r="AD17" s="37">
        <f t="shared" si="12"/>
        <v>-0.11970356388888888</v>
      </c>
      <c r="AE17" s="37">
        <v>-4.9000000000000004</v>
      </c>
      <c r="AF17" s="37">
        <v>-3.4488115909090902</v>
      </c>
      <c r="AG17" s="37">
        <v>-1</v>
      </c>
    </row>
    <row r="18" spans="1:33" ht="15.75" customHeight="1" x14ac:dyDescent="0.2">
      <c r="A18" s="26" t="s">
        <v>62</v>
      </c>
      <c r="B18" s="26" t="s">
        <v>46</v>
      </c>
      <c r="C18" s="14">
        <f t="shared" si="4"/>
        <v>9.99</v>
      </c>
      <c r="D18" s="27">
        <v>3</v>
      </c>
      <c r="E18" s="27">
        <v>0</v>
      </c>
      <c r="F18" s="30">
        <v>29.97</v>
      </c>
      <c r="G18" s="28">
        <v>0</v>
      </c>
      <c r="H18" s="29">
        <f t="shared" si="1"/>
        <v>0</v>
      </c>
      <c r="I18" s="29">
        <f t="shared" si="2"/>
        <v>-6.4432614761225887E-2</v>
      </c>
      <c r="J18" s="30">
        <f t="shared" si="5"/>
        <v>-1.9310454643939396</v>
      </c>
      <c r="K18" s="30">
        <f t="shared" si="3"/>
        <v>-0.64368182146464659</v>
      </c>
      <c r="L18" s="27">
        <v>27</v>
      </c>
      <c r="M18" s="31">
        <f t="shared" si="6"/>
        <v>0.1111111111111111</v>
      </c>
      <c r="N18" s="27">
        <v>75</v>
      </c>
      <c r="O18" s="32">
        <f t="shared" ref="O18:P18" si="26">D18/7</f>
        <v>0.42857142857142855</v>
      </c>
      <c r="P18" s="32">
        <f t="shared" si="26"/>
        <v>0</v>
      </c>
      <c r="Q18" s="27">
        <f t="shared" si="8"/>
        <v>175</v>
      </c>
      <c r="R18" s="27"/>
      <c r="S18" s="33">
        <v>0.50961538461538403</v>
      </c>
      <c r="T18" s="26">
        <v>210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8.6741712962962958E-2</v>
      </c>
      <c r="AD18" s="37">
        <f t="shared" si="12"/>
        <v>-0.35911069166666665</v>
      </c>
      <c r="AE18" s="37">
        <v>-4.9000000000000004</v>
      </c>
      <c r="AF18" s="37">
        <v>-3.4488115909090902</v>
      </c>
      <c r="AG18" s="37">
        <v>-2</v>
      </c>
    </row>
    <row r="19" spans="1:33" ht="15.75" customHeight="1" x14ac:dyDescent="0.2">
      <c r="A19" s="26" t="s">
        <v>64</v>
      </c>
      <c r="B19" s="26" t="s">
        <v>492</v>
      </c>
      <c r="C19" s="14">
        <f t="shared" si="4"/>
        <v>9.99</v>
      </c>
      <c r="D19" s="27">
        <v>2</v>
      </c>
      <c r="E19" s="27">
        <v>1</v>
      </c>
      <c r="F19" s="30">
        <v>19.98</v>
      </c>
      <c r="G19" s="28">
        <v>0</v>
      </c>
      <c r="H19" s="29">
        <f t="shared" si="1"/>
        <v>0</v>
      </c>
      <c r="I19" s="29">
        <f t="shared" si="2"/>
        <v>2.3007853055075494E-3</v>
      </c>
      <c r="J19" s="30">
        <f t="shared" si="5"/>
        <v>4.5969690404040836E-2</v>
      </c>
      <c r="K19" s="30">
        <f t="shared" si="3"/>
        <v>2.2984845202020418E-2</v>
      </c>
      <c r="L19" s="27">
        <v>37</v>
      </c>
      <c r="M19" s="31">
        <f t="shared" si="6"/>
        <v>5.4054054054054057E-2</v>
      </c>
      <c r="N19" s="27">
        <v>73</v>
      </c>
      <c r="O19" s="32">
        <f t="shared" ref="O19:P19" si="27">D19/7</f>
        <v>0.2857142857142857</v>
      </c>
      <c r="P19" s="32">
        <f t="shared" si="27"/>
        <v>0.14285714285714285</v>
      </c>
      <c r="Q19" s="27">
        <f t="shared" si="8"/>
        <v>170</v>
      </c>
      <c r="R19" s="27"/>
      <c r="S19" s="33">
        <v>0.51833740831295805</v>
      </c>
      <c r="T19" s="26">
        <v>210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8.6741712962962958E-2</v>
      </c>
      <c r="AD19" s="37">
        <f t="shared" si="12"/>
        <v>-0.23940712777777776</v>
      </c>
      <c r="AE19" s="37">
        <v>-4.9000000000000004</v>
      </c>
      <c r="AF19" s="37">
        <v>-3.4488115909090906</v>
      </c>
      <c r="AG19" s="37">
        <v>0</v>
      </c>
    </row>
    <row r="20" spans="1:33" ht="15.75" customHeight="1" x14ac:dyDescent="0.2">
      <c r="A20" s="26" t="s">
        <v>65</v>
      </c>
      <c r="B20" s="26" t="s">
        <v>492</v>
      </c>
      <c r="C20" s="14">
        <f t="shared" si="4"/>
        <v>9.99</v>
      </c>
      <c r="D20" s="27">
        <v>3</v>
      </c>
      <c r="E20" s="27">
        <v>1</v>
      </c>
      <c r="F20" s="30">
        <v>29.97</v>
      </c>
      <c r="G20" s="28">
        <v>0</v>
      </c>
      <c r="H20" s="29">
        <f t="shared" si="1"/>
        <v>0</v>
      </c>
      <c r="I20" s="29">
        <f t="shared" si="2"/>
        <v>-6.4432614761225887E-2</v>
      </c>
      <c r="J20" s="30">
        <f t="shared" si="5"/>
        <v>-1.9310454643939396</v>
      </c>
      <c r="K20" s="30">
        <f t="shared" si="3"/>
        <v>-0.64368182146464659</v>
      </c>
      <c r="L20" s="27">
        <v>49</v>
      </c>
      <c r="M20" s="31">
        <f t="shared" si="6"/>
        <v>6.1224489795918366E-2</v>
      </c>
      <c r="N20" s="27">
        <v>68</v>
      </c>
      <c r="O20" s="32">
        <f t="shared" ref="O20:P20" si="28">D20/7</f>
        <v>0.42857142857142855</v>
      </c>
      <c r="P20" s="32">
        <f t="shared" si="28"/>
        <v>0.14285714285714285</v>
      </c>
      <c r="Q20" s="27">
        <f t="shared" si="8"/>
        <v>119</v>
      </c>
      <c r="R20" s="27"/>
      <c r="S20" s="33">
        <v>0.58312020460358005</v>
      </c>
      <c r="T20" s="26">
        <v>270</v>
      </c>
      <c r="U20" s="34">
        <v>60</v>
      </c>
      <c r="V20" s="35" t="s">
        <v>533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8.6741712962962958E-2</v>
      </c>
      <c r="AD20" s="37">
        <f t="shared" si="12"/>
        <v>-0.35911069166666665</v>
      </c>
      <c r="AE20" s="37">
        <v>-4.9000000000000004</v>
      </c>
      <c r="AF20" s="37">
        <v>-3.4488115909090906</v>
      </c>
      <c r="AG20" s="37">
        <v>-2</v>
      </c>
    </row>
    <row r="21" spans="1:33" ht="15.75" customHeight="1" x14ac:dyDescent="0.2">
      <c r="A21" s="26" t="s">
        <v>66</v>
      </c>
      <c r="B21" s="26" t="s">
        <v>492</v>
      </c>
      <c r="C21" s="14">
        <f t="shared" si="4"/>
        <v>9.99</v>
      </c>
      <c r="D21" s="27">
        <v>6</v>
      </c>
      <c r="E21" s="27">
        <v>0</v>
      </c>
      <c r="F21" s="30">
        <v>59.940000000000005</v>
      </c>
      <c r="G21" s="28">
        <v>0</v>
      </c>
      <c r="H21" s="29">
        <f t="shared" si="1"/>
        <v>0</v>
      </c>
      <c r="I21" s="29">
        <f t="shared" si="2"/>
        <v>-1.4382564711175711E-2</v>
      </c>
      <c r="J21" s="30">
        <f t="shared" si="5"/>
        <v>-0.86209092878787219</v>
      </c>
      <c r="K21" s="30">
        <f t="shared" si="3"/>
        <v>-0.14368182146464537</v>
      </c>
      <c r="L21" s="27">
        <v>39</v>
      </c>
      <c r="M21" s="31">
        <f t="shared" si="6"/>
        <v>0.15384615384615385</v>
      </c>
      <c r="N21" s="27">
        <v>62</v>
      </c>
      <c r="O21" s="32">
        <f t="shared" ref="O21:P21" si="29">D21/7</f>
        <v>0.8571428571428571</v>
      </c>
      <c r="P21" s="32">
        <f t="shared" si="29"/>
        <v>0</v>
      </c>
      <c r="Q21" s="27">
        <f t="shared" si="8"/>
        <v>72</v>
      </c>
      <c r="R21" s="27"/>
      <c r="S21" s="33">
        <v>0.57599999999999996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8.6741712962962958E-2</v>
      </c>
      <c r="AD21" s="37">
        <f t="shared" si="12"/>
        <v>-0.7182213833333333</v>
      </c>
      <c r="AE21" s="37">
        <v>-4.9000000000000004</v>
      </c>
      <c r="AF21" s="37">
        <v>-3.4488115909090906</v>
      </c>
      <c r="AG21" s="37">
        <v>-1</v>
      </c>
    </row>
    <row r="22" spans="1:33" ht="15.75" customHeight="1" x14ac:dyDescent="0.2">
      <c r="A22" s="26" t="s">
        <v>67</v>
      </c>
      <c r="B22" s="26" t="s">
        <v>587</v>
      </c>
      <c r="C22" s="14">
        <f t="shared" si="4"/>
        <v>9.99</v>
      </c>
      <c r="D22" s="27">
        <v>6</v>
      </c>
      <c r="E22" s="27">
        <v>0</v>
      </c>
      <c r="F22" s="28">
        <v>59.940000000000005</v>
      </c>
      <c r="G22" s="28">
        <v>0</v>
      </c>
      <c r="H22" s="29">
        <f t="shared" si="1"/>
        <v>0</v>
      </c>
      <c r="I22" s="29">
        <f t="shared" si="2"/>
        <v>2.3007853055076375E-3</v>
      </c>
      <c r="J22" s="30">
        <f t="shared" si="5"/>
        <v>0.13790907121212781</v>
      </c>
      <c r="K22" s="30">
        <f t="shared" si="3"/>
        <v>2.2984845202021303E-2</v>
      </c>
      <c r="L22" s="27">
        <v>76</v>
      </c>
      <c r="M22" s="31">
        <f t="shared" si="6"/>
        <v>7.8947368421052627E-2</v>
      </c>
      <c r="N22" s="27">
        <v>56</v>
      </c>
      <c r="O22" s="32">
        <f t="shared" ref="O22:P22" si="30">D22/7</f>
        <v>0.8571428571428571</v>
      </c>
      <c r="P22" s="32">
        <f t="shared" si="30"/>
        <v>0</v>
      </c>
      <c r="Q22" s="27">
        <f t="shared" si="8"/>
        <v>65</v>
      </c>
      <c r="R22" s="27"/>
      <c r="S22" s="33">
        <v>0.676056338028169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8.6741712962962958E-2</v>
      </c>
      <c r="AD22" s="37">
        <f t="shared" si="12"/>
        <v>-0.7182213833333333</v>
      </c>
      <c r="AE22" s="37">
        <v>-4.9000000000000004</v>
      </c>
      <c r="AF22" s="37">
        <v>-3.4488115909090906</v>
      </c>
      <c r="AG22" s="37">
        <v>0</v>
      </c>
    </row>
    <row r="23" spans="1:33" ht="15.75" customHeight="1" x14ac:dyDescent="0.2">
      <c r="A23" s="26" t="s">
        <v>68</v>
      </c>
      <c r="B23" s="26" t="s">
        <v>588</v>
      </c>
      <c r="C23" s="14">
        <f t="shared" si="4"/>
        <v>9.99</v>
      </c>
      <c r="D23" s="27">
        <v>5</v>
      </c>
      <c r="E23" s="27">
        <v>0</v>
      </c>
      <c r="F23" s="30">
        <v>49.95</v>
      </c>
      <c r="G23" s="28">
        <v>0</v>
      </c>
      <c r="H23" s="29">
        <f t="shared" si="1"/>
        <v>0</v>
      </c>
      <c r="I23" s="29">
        <f t="shared" si="2"/>
        <v>-3.7739254734532435E-2</v>
      </c>
      <c r="J23" s="30">
        <f t="shared" si="5"/>
        <v>-1.8850757739898953</v>
      </c>
      <c r="K23" s="30">
        <f t="shared" si="3"/>
        <v>-0.37701515479797909</v>
      </c>
      <c r="L23" s="27">
        <v>88</v>
      </c>
      <c r="M23" s="31">
        <f t="shared" si="6"/>
        <v>5.6818181818181816E-2</v>
      </c>
      <c r="N23" s="27">
        <v>51</v>
      </c>
      <c r="O23" s="32">
        <f t="shared" ref="O23:P23" si="31">D23/7</f>
        <v>0.7142857142857143</v>
      </c>
      <c r="P23" s="32">
        <f t="shared" si="31"/>
        <v>0</v>
      </c>
      <c r="Q23" s="27">
        <f t="shared" si="8"/>
        <v>71</v>
      </c>
      <c r="R23" s="27"/>
      <c r="S23" s="33">
        <v>0.71976401179940996</v>
      </c>
      <c r="T23" s="26">
        <v>270</v>
      </c>
      <c r="U23" s="34" t="s">
        <v>34</v>
      </c>
      <c r="V23" s="35" t="s">
        <v>536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8.6741712962962958E-2</v>
      </c>
      <c r="AD23" s="37">
        <f t="shared" si="12"/>
        <v>-0.59851781944444438</v>
      </c>
      <c r="AE23" s="37">
        <v>-4.9000000000000004</v>
      </c>
      <c r="AF23" s="37">
        <v>-3.4488115909090906</v>
      </c>
      <c r="AG23" s="37">
        <v>-2</v>
      </c>
    </row>
    <row r="24" spans="1:33" ht="15.75" customHeight="1" x14ac:dyDescent="0.2">
      <c r="A24" s="26" t="s">
        <v>71</v>
      </c>
      <c r="B24" s="26" t="s">
        <v>589</v>
      </c>
      <c r="C24" s="14">
        <f t="shared" si="4"/>
        <v>8.9899999999999984</v>
      </c>
      <c r="D24" s="27">
        <v>11</v>
      </c>
      <c r="E24" s="27">
        <v>0</v>
      </c>
      <c r="F24" s="30">
        <v>98.889999999999986</v>
      </c>
      <c r="G24" s="30">
        <v>-2.0299999999999998</v>
      </c>
      <c r="H24" s="29">
        <f t="shared" si="1"/>
        <v>2.0527859237536659E-2</v>
      </c>
      <c r="I24" s="29">
        <f t="shared" si="2"/>
        <v>-0.1428573839900677</v>
      </c>
      <c r="J24" s="30">
        <f t="shared" si="5"/>
        <v>-14.127166702777794</v>
      </c>
      <c r="K24" s="30">
        <f t="shared" si="3"/>
        <v>-1.2842878820707087</v>
      </c>
      <c r="L24" s="27">
        <v>68</v>
      </c>
      <c r="M24" s="31">
        <f t="shared" si="6"/>
        <v>0.16176470588235295</v>
      </c>
      <c r="N24" s="27">
        <v>43</v>
      </c>
      <c r="O24" s="32">
        <f t="shared" ref="O24:P24" si="32">D24/7</f>
        <v>1.5714285714285714</v>
      </c>
      <c r="P24" s="32">
        <f t="shared" si="32"/>
        <v>0</v>
      </c>
      <c r="Q24" s="27">
        <f t="shared" si="8"/>
        <v>27</v>
      </c>
      <c r="R24" s="27"/>
      <c r="S24" s="33">
        <v>0.79245283018867896</v>
      </c>
      <c r="T24" s="26">
        <v>270</v>
      </c>
      <c r="U24" s="34" t="s">
        <v>34</v>
      </c>
      <c r="V24" s="35" t="s">
        <v>536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8.6741712962962958E-2</v>
      </c>
      <c r="AD24" s="37">
        <f t="shared" si="12"/>
        <v>-1.3167392027777776</v>
      </c>
      <c r="AE24" s="37">
        <v>-4.9000000000000004</v>
      </c>
      <c r="AF24" s="37">
        <v>-3.4488115909090906</v>
      </c>
      <c r="AG24" s="37">
        <v>-3</v>
      </c>
    </row>
    <row r="25" spans="1:33" ht="15.75" customHeight="1" x14ac:dyDescent="0.2">
      <c r="A25" s="40" t="s">
        <v>73</v>
      </c>
      <c r="B25" s="40" t="s">
        <v>590</v>
      </c>
      <c r="C25" s="14">
        <f t="shared" si="4"/>
        <v>5.9933333333333332</v>
      </c>
      <c r="D25" s="15">
        <v>3</v>
      </c>
      <c r="E25" s="15">
        <v>0</v>
      </c>
      <c r="F25" s="16">
        <v>17.98</v>
      </c>
      <c r="G25" s="16">
        <v>-5.92</v>
      </c>
      <c r="H25" s="29">
        <f t="shared" si="1"/>
        <v>0.3292547274749722</v>
      </c>
      <c r="I25" s="29">
        <f t="shared" si="2"/>
        <v>-0.94805954903596623</v>
      </c>
      <c r="J25" s="30">
        <f t="shared" si="5"/>
        <v>-17.046110691666673</v>
      </c>
      <c r="K25" s="30">
        <f t="shared" si="3"/>
        <v>-5.6820368972222246</v>
      </c>
      <c r="L25" s="15">
        <v>101</v>
      </c>
      <c r="M25" s="31">
        <f t="shared" si="6"/>
        <v>2.9702970297029702E-2</v>
      </c>
      <c r="N25" s="15">
        <v>37</v>
      </c>
      <c r="O25" s="32">
        <f t="shared" ref="O25:P25" si="33">D25/7</f>
        <v>0.42857142857142855</v>
      </c>
      <c r="P25" s="32">
        <f t="shared" si="33"/>
        <v>0</v>
      </c>
      <c r="Q25" s="27">
        <f t="shared" si="8"/>
        <v>86</v>
      </c>
      <c r="R25" s="27"/>
      <c r="S25" s="41">
        <v>0.96598639455782309</v>
      </c>
      <c r="T25" s="26">
        <v>270</v>
      </c>
      <c r="U25" s="34">
        <v>60</v>
      </c>
      <c r="V25" s="35" t="s">
        <v>539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8.6741712962962958E-2</v>
      </c>
      <c r="AD25" s="37">
        <f t="shared" si="12"/>
        <v>-0.35911069166666665</v>
      </c>
      <c r="AE25" s="42">
        <v>-4.9000000000000004</v>
      </c>
      <c r="AF25" s="42">
        <v>-3.45</v>
      </c>
      <c r="AG25" s="42">
        <v>-1</v>
      </c>
    </row>
    <row r="26" spans="1:33" ht="15.75" customHeight="1" x14ac:dyDescent="0.2">
      <c r="A26" s="40" t="s">
        <v>75</v>
      </c>
      <c r="B26" s="40" t="s">
        <v>538</v>
      </c>
      <c r="C26" s="14">
        <f t="shared" si="4"/>
        <v>8.99</v>
      </c>
      <c r="D26" s="15">
        <v>7</v>
      </c>
      <c r="E26" s="15">
        <v>0</v>
      </c>
      <c r="F26" s="16">
        <v>62.93</v>
      </c>
      <c r="G26" s="16">
        <v>-8.6</v>
      </c>
      <c r="H26" s="29">
        <f t="shared" si="1"/>
        <v>0.13665978070872398</v>
      </c>
      <c r="I26" s="29">
        <f t="shared" si="2"/>
        <v>-0.23421430293319329</v>
      </c>
      <c r="J26" s="30">
        <f t="shared" si="5"/>
        <v>-14.739106083585854</v>
      </c>
      <c r="K26" s="30">
        <f t="shared" si="3"/>
        <v>-2.1055865833694076</v>
      </c>
      <c r="L26" s="15">
        <v>87</v>
      </c>
      <c r="M26" s="31">
        <f t="shared" si="6"/>
        <v>8.0459770114942528E-2</v>
      </c>
      <c r="N26" s="15">
        <v>32</v>
      </c>
      <c r="O26" s="32">
        <f t="shared" ref="O26:P26" si="34">D26/7</f>
        <v>1</v>
      </c>
      <c r="P26" s="32">
        <f t="shared" si="34"/>
        <v>0</v>
      </c>
      <c r="Q26" s="27">
        <f t="shared" si="8"/>
        <v>32</v>
      </c>
      <c r="R26" s="27"/>
      <c r="S26" s="41">
        <v>0.96</v>
      </c>
      <c r="T26" s="26">
        <v>270</v>
      </c>
      <c r="U26" s="34">
        <v>60</v>
      </c>
      <c r="V26" s="35" t="s">
        <v>539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8.6741712962962958E-2</v>
      </c>
      <c r="AD26" s="37">
        <f t="shared" si="12"/>
        <v>-0.83792494722222211</v>
      </c>
      <c r="AE26" s="42">
        <v>-4.95</v>
      </c>
      <c r="AF26" s="42">
        <v>-3.4488115909090902</v>
      </c>
      <c r="AG26" s="42">
        <v>0</v>
      </c>
    </row>
    <row r="27" spans="1:33" ht="15.75" customHeight="1" x14ac:dyDescent="0.2">
      <c r="A27" s="40" t="s">
        <v>77</v>
      </c>
      <c r="B27" s="40" t="s">
        <v>591</v>
      </c>
      <c r="C27" s="14">
        <f t="shared" si="4"/>
        <v>8.99</v>
      </c>
      <c r="D27" s="15">
        <v>4</v>
      </c>
      <c r="E27" s="15">
        <v>0</v>
      </c>
      <c r="F27" s="16">
        <v>35.96</v>
      </c>
      <c r="G27" s="16">
        <v>-14.76</v>
      </c>
      <c r="H27" s="29">
        <f t="shared" si="1"/>
        <v>0.41045606229143489</v>
      </c>
      <c r="I27" s="29">
        <f t="shared" si="2"/>
        <v>-0.56270960719542462</v>
      </c>
      <c r="J27" s="30">
        <f t="shared" si="5"/>
        <v>-20.235037474747472</v>
      </c>
      <c r="K27" s="30">
        <f t="shared" si="3"/>
        <v>-5.0587593686868679</v>
      </c>
      <c r="L27" s="15">
        <v>93</v>
      </c>
      <c r="M27" s="31">
        <f t="shared" si="6"/>
        <v>4.3010752688172046E-2</v>
      </c>
      <c r="N27" s="15">
        <v>26</v>
      </c>
      <c r="O27" s="32">
        <f t="shared" ref="O27:P27" si="35">D27/7</f>
        <v>0.5714285714285714</v>
      </c>
      <c r="P27" s="32">
        <f t="shared" si="35"/>
        <v>0</v>
      </c>
      <c r="Q27" s="27">
        <f t="shared" si="8"/>
        <v>45</v>
      </c>
      <c r="R27" s="27"/>
      <c r="S27" s="41">
        <v>1.003921568627451</v>
      </c>
      <c r="T27" s="26">
        <v>270</v>
      </c>
      <c r="U27" s="34">
        <v>60</v>
      </c>
      <c r="V27" s="35" t="s">
        <v>541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8.0759259259259253E-2</v>
      </c>
      <c r="AD27" s="37">
        <f t="shared" si="12"/>
        <v>-0.44579111111111103</v>
      </c>
      <c r="AE27" s="42">
        <v>-4.95</v>
      </c>
      <c r="AF27" s="42">
        <v>-3.4488115909090902</v>
      </c>
      <c r="AG27" s="42">
        <v>-2</v>
      </c>
    </row>
    <row r="28" spans="1:33" ht="15.75" customHeight="1" x14ac:dyDescent="0.2">
      <c r="A28" s="40" t="s">
        <v>79</v>
      </c>
      <c r="B28" s="40" t="s">
        <v>592</v>
      </c>
      <c r="C28" s="14">
        <f t="shared" si="4"/>
        <v>8.99</v>
      </c>
      <c r="D28" s="15">
        <v>19</v>
      </c>
      <c r="E28" s="15">
        <v>0</v>
      </c>
      <c r="F28" s="16">
        <v>170.81</v>
      </c>
      <c r="G28" s="16">
        <v>-5.6599999999999993</v>
      </c>
      <c r="H28" s="29">
        <f t="shared" si="1"/>
        <v>3.3136233241613487E-2</v>
      </c>
      <c r="I28" s="29">
        <f t="shared" si="2"/>
        <v>-0.1297724255315876</v>
      </c>
      <c r="J28" s="30">
        <f t="shared" si="5"/>
        <v>-22.166428005050481</v>
      </c>
      <c r="K28" s="30">
        <f t="shared" si="3"/>
        <v>-1.1666541055289728</v>
      </c>
      <c r="L28" s="15">
        <v>90</v>
      </c>
      <c r="M28" s="31">
        <f t="shared" si="6"/>
        <v>0.21111111111111111</v>
      </c>
      <c r="N28" s="15">
        <v>68</v>
      </c>
      <c r="O28" s="32">
        <f t="shared" ref="O28:P28" si="36">D28/7</f>
        <v>2.7142857142857144</v>
      </c>
      <c r="P28" s="32">
        <f t="shared" si="36"/>
        <v>0</v>
      </c>
      <c r="Q28" s="27">
        <f t="shared" si="8"/>
        <v>25</v>
      </c>
      <c r="R28" s="27"/>
      <c r="S28" s="41">
        <v>0.88135593220338981</v>
      </c>
      <c r="T28" s="40" t="s">
        <v>34</v>
      </c>
      <c r="U28" s="22" t="s">
        <v>34</v>
      </c>
      <c r="V28" s="1" t="s">
        <v>543</v>
      </c>
      <c r="W28" s="40">
        <v>11</v>
      </c>
      <c r="X28" s="36">
        <f t="shared" si="9"/>
        <v>0.57894736842105265</v>
      </c>
      <c r="Y28" s="37">
        <f t="shared" si="10"/>
        <v>0.51454545454545453</v>
      </c>
      <c r="Z28" s="40">
        <v>0</v>
      </c>
      <c r="AA28" s="26" t="s">
        <v>37</v>
      </c>
      <c r="AB28" s="38">
        <f t="shared" si="11"/>
        <v>-0.69</v>
      </c>
      <c r="AC28" s="39">
        <v>8.0759259259259253E-2</v>
      </c>
      <c r="AD28" s="37">
        <f t="shared" si="12"/>
        <v>-2.1175077777777775</v>
      </c>
      <c r="AE28" s="42">
        <v>-4.95</v>
      </c>
      <c r="AF28" s="42">
        <v>-3.4488115909090902</v>
      </c>
      <c r="AG28" s="42">
        <v>0</v>
      </c>
    </row>
    <row r="29" spans="1:33" ht="15.75" customHeight="1" x14ac:dyDescent="0.2">
      <c r="A29" s="26" t="s">
        <v>82</v>
      </c>
      <c r="B29" s="40" t="s">
        <v>592</v>
      </c>
      <c r="C29" s="14">
        <f t="shared" si="4"/>
        <v>8.99</v>
      </c>
      <c r="D29" s="27">
        <v>8</v>
      </c>
      <c r="E29" s="27">
        <v>0</v>
      </c>
      <c r="F29" s="30">
        <v>71.92</v>
      </c>
      <c r="G29" s="30">
        <v>-4.2699999999999996</v>
      </c>
      <c r="H29" s="29">
        <f t="shared" si="1"/>
        <v>5.9371523915461619E-2</v>
      </c>
      <c r="I29" s="29">
        <f t="shared" si="2"/>
        <v>-0.15600771620543591</v>
      </c>
      <c r="J29" s="30">
        <f t="shared" si="5"/>
        <v>-11.220074949494951</v>
      </c>
      <c r="K29" s="30">
        <f t="shared" si="3"/>
        <v>-1.4025093686868688</v>
      </c>
      <c r="L29" s="27">
        <v>116</v>
      </c>
      <c r="M29" s="31">
        <f t="shared" si="6"/>
        <v>6.8965517241379309E-2</v>
      </c>
      <c r="N29" s="15">
        <v>60</v>
      </c>
      <c r="O29" s="32">
        <f t="shared" ref="O29:P29" si="37">D29/7</f>
        <v>1.1428571428571428</v>
      </c>
      <c r="P29" s="32">
        <f t="shared" si="37"/>
        <v>0</v>
      </c>
      <c r="Q29" s="27">
        <f t="shared" si="8"/>
        <v>52</v>
      </c>
      <c r="R29" s="27"/>
      <c r="S29" s="41">
        <v>1.28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8.0759259259259253E-2</v>
      </c>
      <c r="AD29" s="37">
        <f t="shared" si="12"/>
        <v>-0.89158222222222205</v>
      </c>
      <c r="AE29" s="37">
        <v>-4.95</v>
      </c>
      <c r="AF29" s="42">
        <v>-3.4488115909090902</v>
      </c>
      <c r="AG29" s="37">
        <v>0</v>
      </c>
    </row>
    <row r="30" spans="1:33" ht="15.75" customHeight="1" x14ac:dyDescent="0.2">
      <c r="A30" s="40" t="s">
        <v>84</v>
      </c>
      <c r="B30" s="40" t="s">
        <v>592</v>
      </c>
      <c r="C30" s="14">
        <f t="shared" si="4"/>
        <v>8.99</v>
      </c>
      <c r="D30" s="15">
        <v>2</v>
      </c>
      <c r="E30" s="15">
        <v>0</v>
      </c>
      <c r="F30" s="16">
        <v>17.98</v>
      </c>
      <c r="G30" s="16">
        <v>-0.49</v>
      </c>
      <c r="H30" s="29">
        <f t="shared" si="1"/>
        <v>2.7252502780867629E-2</v>
      </c>
      <c r="I30" s="29">
        <f t="shared" si="2"/>
        <v>-0.11781772312600425</v>
      </c>
      <c r="J30" s="30">
        <f t="shared" si="5"/>
        <v>-2.1183626618055564</v>
      </c>
      <c r="K30" s="30">
        <f t="shared" si="3"/>
        <v>-1.0591813309027782</v>
      </c>
      <c r="L30" s="15">
        <v>112</v>
      </c>
      <c r="M30" s="31">
        <f t="shared" si="6"/>
        <v>1.7857142857142856E-2</v>
      </c>
      <c r="N30" s="15">
        <v>52</v>
      </c>
      <c r="O30" s="32">
        <f t="shared" ref="O30:P30" si="38">D30/7</f>
        <v>0.2857142857142857</v>
      </c>
      <c r="P30" s="32">
        <f t="shared" si="38"/>
        <v>0</v>
      </c>
      <c r="Q30" s="27">
        <f t="shared" si="8"/>
        <v>182</v>
      </c>
      <c r="R30" s="27"/>
      <c r="S30" s="41">
        <v>1.2682926829268291</v>
      </c>
      <c r="T30" s="26">
        <v>120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8.0759259259259253E-2</v>
      </c>
      <c r="AD30" s="37">
        <f t="shared" si="12"/>
        <v>-0.22289555555555551</v>
      </c>
      <c r="AE30" s="42">
        <v>-4.95</v>
      </c>
      <c r="AF30" s="42">
        <v>-3.3942335531249999</v>
      </c>
      <c r="AG30" s="42">
        <v>0</v>
      </c>
    </row>
    <row r="31" spans="1:33" ht="15.75" customHeight="1" x14ac:dyDescent="0.2">
      <c r="A31" s="40" t="s">
        <v>87</v>
      </c>
      <c r="B31" s="40" t="s">
        <v>593</v>
      </c>
      <c r="C31" s="14">
        <f t="shared" si="4"/>
        <v>8.99</v>
      </c>
      <c r="D31" s="15">
        <v>3</v>
      </c>
      <c r="E31" s="15">
        <v>0</v>
      </c>
      <c r="F31" s="16">
        <v>26.97</v>
      </c>
      <c r="G31" s="43">
        <v>0</v>
      </c>
      <c r="H31" s="29">
        <f t="shared" si="1"/>
        <v>0</v>
      </c>
      <c r="I31" s="29">
        <f t="shared" si="2"/>
        <v>-9.0565220345136685E-2</v>
      </c>
      <c r="J31" s="30">
        <f t="shared" si="5"/>
        <v>-2.4425439927083361</v>
      </c>
      <c r="K31" s="30">
        <f t="shared" si="3"/>
        <v>-0.81418133090277867</v>
      </c>
      <c r="L31" s="15">
        <v>91</v>
      </c>
      <c r="M31" s="31">
        <f t="shared" si="6"/>
        <v>3.2967032967032968E-2</v>
      </c>
      <c r="N31" s="15">
        <v>51</v>
      </c>
      <c r="O31" s="32">
        <f t="shared" ref="O31:P31" si="39">D31/7</f>
        <v>0.42857142857142855</v>
      </c>
      <c r="P31" s="32">
        <f t="shared" si="39"/>
        <v>0</v>
      </c>
      <c r="Q31" s="27">
        <f t="shared" si="8"/>
        <v>119</v>
      </c>
      <c r="R31" s="27"/>
      <c r="S31" s="41">
        <v>1.4363636363636301</v>
      </c>
      <c r="T31" s="40">
        <v>120</v>
      </c>
      <c r="U31" s="22" t="s">
        <v>34</v>
      </c>
      <c r="V31" s="1" t="s">
        <v>546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8.0759259259259253E-2</v>
      </c>
      <c r="AD31" s="37">
        <f t="shared" si="12"/>
        <v>-0.33434333333333327</v>
      </c>
      <c r="AE31" s="45">
        <v>-4.95</v>
      </c>
      <c r="AF31" s="45">
        <v>-3.3942335531249999</v>
      </c>
      <c r="AG31" s="42">
        <v>0</v>
      </c>
    </row>
    <row r="32" spans="1:33" ht="15.75" customHeight="1" x14ac:dyDescent="0.2">
      <c r="A32" s="40" t="s">
        <v>90</v>
      </c>
      <c r="B32" s="50" t="s">
        <v>594</v>
      </c>
      <c r="C32" s="14">
        <f t="shared" si="4"/>
        <v>8.99</v>
      </c>
      <c r="D32" s="15">
        <v>4</v>
      </c>
      <c r="E32" s="15">
        <v>0</v>
      </c>
      <c r="F32" s="16">
        <v>35.96</v>
      </c>
      <c r="G32" s="16">
        <v>-0.3</v>
      </c>
      <c r="H32" s="29">
        <f t="shared" si="1"/>
        <v>8.3426028921023358E-3</v>
      </c>
      <c r="I32" s="29">
        <f t="shared" si="2"/>
        <v>-0.12671649954424674</v>
      </c>
      <c r="J32" s="30">
        <f t="shared" si="5"/>
        <v>-4.5567253236111132</v>
      </c>
      <c r="K32" s="30">
        <f t="shared" si="3"/>
        <v>-1.1391813309027783</v>
      </c>
      <c r="L32" s="15">
        <v>115</v>
      </c>
      <c r="M32" s="31">
        <f t="shared" si="6"/>
        <v>3.4782608695652174E-2</v>
      </c>
      <c r="N32" s="15">
        <v>53</v>
      </c>
      <c r="O32" s="32">
        <f t="shared" ref="O32:P32" si="40">D32/7</f>
        <v>0.5714285714285714</v>
      </c>
      <c r="P32" s="32">
        <f t="shared" si="40"/>
        <v>0</v>
      </c>
      <c r="Q32" s="27">
        <f t="shared" si="8"/>
        <v>92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1.2200772200772201</v>
      </c>
      <c r="T32" s="40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120 At Factory 50-75 days from Earliest Arrival")</f>
        <v>No Transit, But 120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8.0759259259259253E-2</v>
      </c>
      <c r="AD32" s="37">
        <f t="shared" si="12"/>
        <v>-0.44579111111111103</v>
      </c>
      <c r="AE32" s="42">
        <v>-4.95</v>
      </c>
      <c r="AF32" s="42">
        <v>-3.3942335531249999</v>
      </c>
      <c r="AG32" s="42">
        <v>-1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Dark Blue &amp; Tan, Textured - 36 x 17 Inch Plastic Computer Pad for Desk")</f>
        <v>Office Desk Mat, Dark Blue &amp; Tan, Textured - 36 x 17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Info!B1:BJ5000""),2,FALSE),"""")"),"B07TCQKS4L")</f>
        <v>B07TCQKS4L</v>
      </c>
      <c r="B2" s="3" t="s">
        <v>595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9.6303041801470588</v>
      </c>
      <c r="D3" s="5">
        <f>SUM(D4:D99767)</f>
        <v>141</v>
      </c>
      <c r="E3" s="5"/>
      <c r="F3" s="6">
        <f t="shared" ref="F3:G3" si="0">SUM(F4:F99767)</f>
        <v>1243.6000000000001</v>
      </c>
      <c r="G3" s="6">
        <f t="shared" si="0"/>
        <v>-289.13999999999993</v>
      </c>
      <c r="H3" s="7">
        <f t="shared" ref="H3:H32" si="1">G3/F3*-1</f>
        <v>0.23250241235123825</v>
      </c>
      <c r="I3" s="8">
        <f t="shared" ref="I3:I32" si="2">J3/F3</f>
        <v>-0.34301499797937457</v>
      </c>
      <c r="J3" s="6">
        <f>SUM(J4:J99767)</f>
        <v>-426.57345148715024</v>
      </c>
      <c r="K3" s="6">
        <f t="shared" ref="K3:K32" si="3">J3/D3</f>
        <v>-3.0253436275684416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5</v>
      </c>
      <c r="X3" s="7">
        <f>W3/D3</f>
        <v>3.5460992907801421E-2</v>
      </c>
      <c r="Y3" s="6"/>
      <c r="Z3" s="5"/>
      <c r="AA3" s="5"/>
      <c r="AB3" s="5"/>
      <c r="AC3" s="5"/>
      <c r="AD3" s="6">
        <f>SUM(AD4:AD99767)</f>
        <v>-6.5344706360139044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Info!B2:BZ3000""),37,FALSE)),"""")*-1"),-3.235758553125)</f>
        <v>-3.2357585531250002</v>
      </c>
      <c r="AG3" s="6">
        <f>SUM(AG4:AG99767)</f>
        <v>-34</v>
      </c>
    </row>
    <row r="4" spans="1:33" x14ac:dyDescent="0.2">
      <c r="A4" s="1" t="s">
        <v>32</v>
      </c>
      <c r="B4" s="1" t="s">
        <v>596</v>
      </c>
      <c r="C4" s="14">
        <f t="shared" ref="C4:C32" si="4">IFERROR(F4/D4," - ")</f>
        <v>9.99</v>
      </c>
      <c r="D4" s="15">
        <v>1</v>
      </c>
      <c r="E4" s="15">
        <v>0</v>
      </c>
      <c r="F4" s="16">
        <v>9.99</v>
      </c>
      <c r="G4" s="16">
        <v>0</v>
      </c>
      <c r="H4" s="17">
        <f t="shared" si="1"/>
        <v>0</v>
      </c>
      <c r="I4" s="17">
        <f t="shared" si="2"/>
        <v>3.6492473018472985E-2</v>
      </c>
      <c r="J4" s="16">
        <f t="shared" ref="J4:J32" si="5">F4*0.85+G4+AF4*D4+D4*AE4+AG4+AD4</f>
        <v>0.36455980545454514</v>
      </c>
      <c r="K4" s="16">
        <f t="shared" si="3"/>
        <v>0.36455980545454514</v>
      </c>
      <c r="L4" s="15">
        <v>116</v>
      </c>
      <c r="M4" s="18">
        <f t="shared" ref="M4:M32" si="6">IFERROR(D4/L4,"-")</f>
        <v>8.6206896551724137E-3</v>
      </c>
      <c r="N4" s="15">
        <v>123</v>
      </c>
      <c r="O4" s="19">
        <f t="shared" ref="O4:P4" si="7">D4/7</f>
        <v>0.14285714285714285</v>
      </c>
      <c r="P4" s="19">
        <f t="shared" si="7"/>
        <v>0</v>
      </c>
      <c r="Q4" s="15">
        <f t="shared" ref="Q4:Q32" si="8">ROUNDDOWN(N4/(O4+P4),0)</f>
        <v>861</v>
      </c>
      <c r="R4" s="15"/>
      <c r="S4" s="20">
        <v>0.40148698884758299</v>
      </c>
      <c r="T4" s="2">
        <v>445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3.3581333333333324E-2</v>
      </c>
      <c r="AD4" s="24">
        <f t="shared" ref="AD4:AD32" si="12">IFERROR(AB4*AC4*D4*2,0)</f>
        <v>-4.6342239999999986E-2</v>
      </c>
      <c r="AE4" s="24">
        <v>-4.9000000000000004</v>
      </c>
      <c r="AF4" s="24">
        <v>-3.1805979545454548</v>
      </c>
      <c r="AG4" s="24">
        <v>0</v>
      </c>
    </row>
    <row r="5" spans="1:33" ht="15.75" customHeight="1" x14ac:dyDescent="0.2">
      <c r="A5" s="26" t="s">
        <v>35</v>
      </c>
      <c r="B5" s="1" t="s">
        <v>596</v>
      </c>
      <c r="C5" s="14">
        <f t="shared" si="4"/>
        <v>14.99</v>
      </c>
      <c r="D5" s="27">
        <v>4</v>
      </c>
      <c r="E5" s="27">
        <v>0</v>
      </c>
      <c r="F5" s="28">
        <v>59.96</v>
      </c>
      <c r="G5" s="28">
        <v>0</v>
      </c>
      <c r="H5" s="29">
        <f t="shared" si="1"/>
        <v>0</v>
      </c>
      <c r="I5" s="29">
        <f t="shared" si="2"/>
        <v>0.30783896640767638</v>
      </c>
      <c r="J5" s="30">
        <f t="shared" si="5"/>
        <v>18.458024425804275</v>
      </c>
      <c r="K5" s="30">
        <f t="shared" si="3"/>
        <v>4.6145061064510688</v>
      </c>
      <c r="L5" s="27">
        <v>187</v>
      </c>
      <c r="M5" s="31">
        <f t="shared" si="6"/>
        <v>2.1390374331550801E-2</v>
      </c>
      <c r="N5" s="27">
        <v>119</v>
      </c>
      <c r="O5" s="32">
        <f t="shared" ref="O5:P5" si="13">D5/7</f>
        <v>0.5714285714285714</v>
      </c>
      <c r="P5" s="32">
        <f t="shared" si="13"/>
        <v>0</v>
      </c>
      <c r="Q5" s="27">
        <f t="shared" si="8"/>
        <v>208</v>
      </c>
      <c r="R5" s="27"/>
      <c r="S5" s="33">
        <v>0.43773584905660301</v>
      </c>
      <c r="T5" s="26">
        <v>445</v>
      </c>
      <c r="U5" s="34" t="s">
        <v>34</v>
      </c>
      <c r="V5" s="35"/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3.3620245654692925E-2</v>
      </c>
      <c r="AD5" s="37">
        <f t="shared" si="12"/>
        <v>-0.18558375601390492</v>
      </c>
      <c r="AE5" s="37">
        <v>-4.9000000000000004</v>
      </c>
      <c r="AF5" s="37">
        <v>-3.1805979545454548</v>
      </c>
      <c r="AG5" s="37">
        <v>0</v>
      </c>
    </row>
    <row r="6" spans="1:33" ht="15.75" customHeight="1" x14ac:dyDescent="0.2">
      <c r="A6" s="26" t="s">
        <v>38</v>
      </c>
      <c r="B6" s="26" t="s">
        <v>597</v>
      </c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119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>
        <v>0.30693069306930598</v>
      </c>
      <c r="T6" s="26">
        <v>445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3.3581333333333324E-2</v>
      </c>
      <c r="AD6" s="37">
        <f t="shared" si="12"/>
        <v>0</v>
      </c>
      <c r="AE6" s="37">
        <v>-4.9000000000000004</v>
      </c>
      <c r="AF6" s="37">
        <v>-3.1805979545454548</v>
      </c>
      <c r="AG6" s="37">
        <v>0</v>
      </c>
    </row>
    <row r="7" spans="1:33" ht="15.75" customHeight="1" x14ac:dyDescent="0.2">
      <c r="A7" s="26" t="s">
        <v>41</v>
      </c>
      <c r="B7" s="1" t="s">
        <v>596</v>
      </c>
      <c r="C7" s="14">
        <f t="shared" si="4"/>
        <v>9.99</v>
      </c>
      <c r="D7" s="27">
        <v>5</v>
      </c>
      <c r="E7" s="27">
        <v>0</v>
      </c>
      <c r="F7" s="28">
        <v>49.95</v>
      </c>
      <c r="G7" s="28">
        <v>0</v>
      </c>
      <c r="H7" s="29">
        <f t="shared" si="1"/>
        <v>0</v>
      </c>
      <c r="I7" s="29">
        <f t="shared" si="2"/>
        <v>3.6492473018473054E-2</v>
      </c>
      <c r="J7" s="30">
        <f t="shared" si="5"/>
        <v>1.8227990272727292</v>
      </c>
      <c r="K7" s="30">
        <f t="shared" si="3"/>
        <v>0.36455980545454586</v>
      </c>
      <c r="L7" s="27">
        <v>130</v>
      </c>
      <c r="M7" s="31">
        <f t="shared" si="6"/>
        <v>3.8461538461538464E-2</v>
      </c>
      <c r="N7" s="27">
        <v>115</v>
      </c>
      <c r="O7" s="32">
        <f t="shared" ref="O7:P7" si="15">D7/7</f>
        <v>0.7142857142857143</v>
      </c>
      <c r="P7" s="32">
        <f t="shared" si="15"/>
        <v>0</v>
      </c>
      <c r="Q7" s="27">
        <f t="shared" si="8"/>
        <v>161</v>
      </c>
      <c r="R7" s="27"/>
      <c r="S7" s="33">
        <v>0.34693877551020402</v>
      </c>
      <c r="T7" s="26">
        <v>445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3.3581333333333324E-2</v>
      </c>
      <c r="AD7" s="37">
        <f t="shared" si="12"/>
        <v>-0.23171119999999992</v>
      </c>
      <c r="AE7" s="37">
        <v>-4.9000000000000004</v>
      </c>
      <c r="AF7" s="37">
        <v>-3.1805979545454548</v>
      </c>
      <c r="AG7" s="37">
        <v>0</v>
      </c>
    </row>
    <row r="8" spans="1:33" ht="15.75" customHeight="1" x14ac:dyDescent="0.2">
      <c r="A8" s="26" t="s">
        <v>43</v>
      </c>
      <c r="B8" s="1" t="s">
        <v>596</v>
      </c>
      <c r="C8" s="14">
        <f t="shared" si="4"/>
        <v>9.99</v>
      </c>
      <c r="D8" s="27">
        <v>6</v>
      </c>
      <c r="E8" s="27">
        <v>0</v>
      </c>
      <c r="F8" s="28">
        <v>59.940000000000005</v>
      </c>
      <c r="G8" s="28">
        <v>0</v>
      </c>
      <c r="H8" s="29">
        <f t="shared" si="1"/>
        <v>0</v>
      </c>
      <c r="I8" s="29">
        <f t="shared" si="2"/>
        <v>3.6552328328328346E-2</v>
      </c>
      <c r="J8" s="30">
        <f t="shared" si="5"/>
        <v>2.1909465600000013</v>
      </c>
      <c r="K8" s="30">
        <f t="shared" si="3"/>
        <v>0.36515776000000022</v>
      </c>
      <c r="L8" s="27">
        <v>106</v>
      </c>
      <c r="M8" s="31">
        <f t="shared" si="6"/>
        <v>5.6603773584905662E-2</v>
      </c>
      <c r="N8" s="27">
        <v>109</v>
      </c>
      <c r="O8" s="32">
        <f t="shared" ref="O8:P8" si="16">D8/7</f>
        <v>0.8571428571428571</v>
      </c>
      <c r="P8" s="32">
        <f t="shared" si="16"/>
        <v>0</v>
      </c>
      <c r="Q8" s="27">
        <f t="shared" si="8"/>
        <v>127</v>
      </c>
      <c r="R8" s="27"/>
      <c r="S8" s="33">
        <v>0.43386243386243301</v>
      </c>
      <c r="T8" s="26">
        <v>445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3.3581333333333324E-2</v>
      </c>
      <c r="AD8" s="37">
        <f t="shared" si="12"/>
        <v>-0.27805343999999993</v>
      </c>
      <c r="AE8" s="37">
        <v>-4.9000000000000004</v>
      </c>
      <c r="AF8" s="37">
        <v>-3.18</v>
      </c>
      <c r="AG8" s="37">
        <v>0</v>
      </c>
    </row>
    <row r="9" spans="1:33" ht="15.75" customHeight="1" x14ac:dyDescent="0.2">
      <c r="A9" s="26" t="s">
        <v>45</v>
      </c>
      <c r="B9" s="1" t="s">
        <v>596</v>
      </c>
      <c r="C9" s="14">
        <f t="shared" si="4"/>
        <v>9.99</v>
      </c>
      <c r="D9" s="27">
        <v>2</v>
      </c>
      <c r="E9" s="27">
        <v>0</v>
      </c>
      <c r="F9" s="28">
        <v>19.98</v>
      </c>
      <c r="G9" s="28">
        <v>0</v>
      </c>
      <c r="H9" s="29">
        <f t="shared" si="1"/>
        <v>0</v>
      </c>
      <c r="I9" s="29">
        <f t="shared" si="2"/>
        <v>2.929550332150347E-2</v>
      </c>
      <c r="J9" s="30">
        <f t="shared" si="5"/>
        <v>0.58532415636363933</v>
      </c>
      <c r="K9" s="30">
        <f t="shared" si="3"/>
        <v>0.29266207818181966</v>
      </c>
      <c r="L9" s="27">
        <v>95</v>
      </c>
      <c r="M9" s="31">
        <f t="shared" si="6"/>
        <v>2.1052631578947368E-2</v>
      </c>
      <c r="N9" s="27">
        <v>107</v>
      </c>
      <c r="O9" s="32">
        <f t="shared" ref="O9:P9" si="17">D9/7</f>
        <v>0.2857142857142857</v>
      </c>
      <c r="P9" s="32">
        <f t="shared" si="17"/>
        <v>0</v>
      </c>
      <c r="Q9" s="27">
        <f t="shared" si="8"/>
        <v>374</v>
      </c>
      <c r="R9" s="27"/>
      <c r="S9" s="33">
        <v>0.462365591397849</v>
      </c>
      <c r="T9" s="26">
        <v>445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3.3581333333333324E-2</v>
      </c>
      <c r="AD9" s="37">
        <f t="shared" si="12"/>
        <v>-9.2684479999999972E-2</v>
      </c>
      <c r="AE9" s="37">
        <v>-4.9000000000000004</v>
      </c>
      <c r="AF9" s="37">
        <v>-3.2524956818181798</v>
      </c>
      <c r="AG9" s="37">
        <v>0</v>
      </c>
    </row>
    <row r="10" spans="1:33" ht="15.75" customHeight="1" x14ac:dyDescent="0.2">
      <c r="A10" s="26" t="s">
        <v>48</v>
      </c>
      <c r="B10" s="1" t="s">
        <v>596</v>
      </c>
      <c r="C10" s="14">
        <f t="shared" si="4"/>
        <v>9.99</v>
      </c>
      <c r="D10" s="27">
        <v>1</v>
      </c>
      <c r="E10" s="27">
        <v>0</v>
      </c>
      <c r="F10" s="28">
        <v>9.99</v>
      </c>
      <c r="G10" s="28">
        <v>0</v>
      </c>
      <c r="H10" s="29">
        <f t="shared" si="1"/>
        <v>0</v>
      </c>
      <c r="I10" s="29">
        <f t="shared" si="2"/>
        <v>2.929550332150347E-2</v>
      </c>
      <c r="J10" s="30">
        <f t="shared" si="5"/>
        <v>0.29266207818181966</v>
      </c>
      <c r="K10" s="30">
        <f t="shared" si="3"/>
        <v>0.29266207818181966</v>
      </c>
      <c r="L10" s="27">
        <v>84</v>
      </c>
      <c r="M10" s="31">
        <f t="shared" si="6"/>
        <v>1.1904761904761904E-2</v>
      </c>
      <c r="N10" s="27">
        <v>105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735</v>
      </c>
      <c r="R10" s="27"/>
      <c r="S10" s="33">
        <v>0.34442270058708402</v>
      </c>
      <c r="T10" s="26">
        <v>445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3.3581333333333324E-2</v>
      </c>
      <c r="AD10" s="37">
        <f t="shared" si="12"/>
        <v>-4.6342239999999986E-2</v>
      </c>
      <c r="AE10" s="37">
        <v>-4.9000000000000004</v>
      </c>
      <c r="AF10" s="37">
        <v>-3.2524956818181798</v>
      </c>
      <c r="AG10" s="37">
        <v>0</v>
      </c>
    </row>
    <row r="11" spans="1:33" ht="15.75" customHeight="1" x14ac:dyDescent="0.2">
      <c r="A11" s="26" t="s">
        <v>50</v>
      </c>
      <c r="B11" s="1" t="s">
        <v>598</v>
      </c>
      <c r="C11" s="14">
        <f t="shared" si="4"/>
        <v>9.99</v>
      </c>
      <c r="D11" s="27">
        <v>2</v>
      </c>
      <c r="E11" s="27">
        <v>0</v>
      </c>
      <c r="F11" s="28">
        <v>19.98</v>
      </c>
      <c r="G11" s="28">
        <v>0</v>
      </c>
      <c r="H11" s="29">
        <f t="shared" si="1"/>
        <v>0</v>
      </c>
      <c r="I11" s="29">
        <f t="shared" si="2"/>
        <v>2.929550332150347E-2</v>
      </c>
      <c r="J11" s="30">
        <f t="shared" si="5"/>
        <v>0.58532415636363933</v>
      </c>
      <c r="K11" s="30">
        <f t="shared" si="3"/>
        <v>0.29266207818181966</v>
      </c>
      <c r="L11" s="27">
        <v>57</v>
      </c>
      <c r="M11" s="31">
        <f t="shared" si="6"/>
        <v>3.5087719298245612E-2</v>
      </c>
      <c r="N11" s="27">
        <v>103</v>
      </c>
      <c r="O11" s="32">
        <f t="shared" ref="O11:P11" si="19">D11/7</f>
        <v>0.2857142857142857</v>
      </c>
      <c r="P11" s="32">
        <f t="shared" si="19"/>
        <v>0</v>
      </c>
      <c r="Q11" s="27">
        <f t="shared" si="8"/>
        <v>360</v>
      </c>
      <c r="R11" s="27"/>
      <c r="S11" s="33">
        <v>0.37022132796780599</v>
      </c>
      <c r="T11" s="26">
        <v>445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3.3581333333333324E-2</v>
      </c>
      <c r="AD11" s="37">
        <f t="shared" si="12"/>
        <v>-9.2684479999999972E-2</v>
      </c>
      <c r="AE11" s="37">
        <v>-4.9000000000000004</v>
      </c>
      <c r="AF11" s="37">
        <v>-3.2524956818181798</v>
      </c>
      <c r="AG11" s="37">
        <v>0</v>
      </c>
    </row>
    <row r="12" spans="1:33" ht="15.75" customHeight="1" x14ac:dyDescent="0.2">
      <c r="A12" s="26" t="s">
        <v>52</v>
      </c>
      <c r="B12" s="1" t="s">
        <v>596</v>
      </c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103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>
        <v>0.34567901234567899</v>
      </c>
      <c r="T12" s="26">
        <v>445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3.3581333333333324E-2</v>
      </c>
      <c r="AD12" s="37">
        <f t="shared" si="12"/>
        <v>0</v>
      </c>
      <c r="AE12" s="37">
        <v>-4.9000000000000004</v>
      </c>
      <c r="AF12" s="37">
        <v>-3.2524956818181798</v>
      </c>
      <c r="AG12" s="37">
        <v>0</v>
      </c>
    </row>
    <row r="13" spans="1:33" ht="15.75" customHeight="1" x14ac:dyDescent="0.2">
      <c r="A13" s="26" t="s">
        <v>54</v>
      </c>
      <c r="B13" s="26" t="s">
        <v>599</v>
      </c>
      <c r="C13" s="14">
        <f t="shared" si="4"/>
        <v>4.9950000000000001</v>
      </c>
      <c r="D13" s="27">
        <v>2</v>
      </c>
      <c r="E13" s="27">
        <v>0</v>
      </c>
      <c r="F13" s="30">
        <v>9.99</v>
      </c>
      <c r="G13" s="28">
        <v>0</v>
      </c>
      <c r="H13" s="29">
        <f t="shared" si="1"/>
        <v>0</v>
      </c>
      <c r="I13" s="29">
        <f t="shared" si="2"/>
        <v>-0.79898475093275079</v>
      </c>
      <c r="J13" s="30">
        <f t="shared" si="5"/>
        <v>-7.9818576618181805</v>
      </c>
      <c r="K13" s="30">
        <f t="shared" si="3"/>
        <v>-3.9909288309090902</v>
      </c>
      <c r="L13" s="27">
        <v>47</v>
      </c>
      <c r="M13" s="31">
        <f t="shared" si="6"/>
        <v>4.2553191489361701E-2</v>
      </c>
      <c r="N13" s="27">
        <v>101</v>
      </c>
      <c r="O13" s="32">
        <f t="shared" ref="O13:P13" si="21">D13/7</f>
        <v>0.2857142857142857</v>
      </c>
      <c r="P13" s="32">
        <f t="shared" si="21"/>
        <v>0</v>
      </c>
      <c r="Q13" s="27">
        <f t="shared" si="8"/>
        <v>353</v>
      </c>
      <c r="R13" s="27"/>
      <c r="S13" s="33">
        <v>0.35</v>
      </c>
      <c r="T13" s="26">
        <v>445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3.3581333333333324E-2</v>
      </c>
      <c r="AD13" s="37">
        <f t="shared" si="12"/>
        <v>-9.2684479999999972E-2</v>
      </c>
      <c r="AE13" s="37">
        <v>-4.9000000000000004</v>
      </c>
      <c r="AF13" s="37">
        <v>-3.29033659090909</v>
      </c>
      <c r="AG13" s="37">
        <v>0</v>
      </c>
    </row>
    <row r="14" spans="1:33" ht="15.75" customHeight="1" x14ac:dyDescent="0.2">
      <c r="A14" s="26" t="s">
        <v>56</v>
      </c>
      <c r="B14" s="26" t="s">
        <v>600</v>
      </c>
      <c r="C14" s="14">
        <f t="shared" si="4"/>
        <v>9.99</v>
      </c>
      <c r="D14" s="27">
        <v>5</v>
      </c>
      <c r="E14" s="27">
        <v>0</v>
      </c>
      <c r="F14" s="30">
        <v>49.95</v>
      </c>
      <c r="G14" s="28">
        <v>-30.07</v>
      </c>
      <c r="H14" s="29">
        <f t="shared" si="1"/>
        <v>0.60200200200200193</v>
      </c>
      <c r="I14" s="29">
        <f t="shared" si="2"/>
        <v>-0.63655443752843732</v>
      </c>
      <c r="J14" s="30">
        <f t="shared" si="5"/>
        <v>-31.795894154545447</v>
      </c>
      <c r="K14" s="30">
        <f t="shared" si="3"/>
        <v>-6.3591788309090891</v>
      </c>
      <c r="L14" s="27">
        <v>76</v>
      </c>
      <c r="M14" s="31">
        <f t="shared" si="6"/>
        <v>6.5789473684210523E-2</v>
      </c>
      <c r="N14" s="27">
        <v>97</v>
      </c>
      <c r="O14" s="32">
        <f t="shared" ref="O14:P14" si="22">D14/7</f>
        <v>0.7142857142857143</v>
      </c>
      <c r="P14" s="32">
        <f t="shared" si="22"/>
        <v>0</v>
      </c>
      <c r="Q14" s="27">
        <f t="shared" si="8"/>
        <v>135</v>
      </c>
      <c r="R14" s="27"/>
      <c r="S14" s="33">
        <v>0.33115468409586002</v>
      </c>
      <c r="T14" s="26">
        <v>445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3.3581333333333324E-2</v>
      </c>
      <c r="AD14" s="37">
        <f t="shared" si="12"/>
        <v>-0.23171119999999992</v>
      </c>
      <c r="AE14" s="37">
        <v>-4.9000000000000004</v>
      </c>
      <c r="AF14" s="37">
        <v>-3.29033659090909</v>
      </c>
      <c r="AG14" s="37">
        <v>-3</v>
      </c>
    </row>
    <row r="15" spans="1:33" ht="15.75" customHeight="1" x14ac:dyDescent="0.2">
      <c r="A15" s="26" t="s">
        <v>58</v>
      </c>
      <c r="B15" s="26" t="s">
        <v>601</v>
      </c>
      <c r="C15" s="14">
        <f t="shared" si="4"/>
        <v>9.49</v>
      </c>
      <c r="D15" s="27">
        <v>4</v>
      </c>
      <c r="E15" s="27">
        <v>0</v>
      </c>
      <c r="F15" s="30">
        <v>37.96</v>
      </c>
      <c r="G15" s="28">
        <v>-30.459999999999994</v>
      </c>
      <c r="H15" s="29">
        <f t="shared" si="1"/>
        <v>0.80242360379346667</v>
      </c>
      <c r="I15" s="29">
        <f t="shared" si="2"/>
        <v>-0.82035604119168493</v>
      </c>
      <c r="J15" s="30">
        <f t="shared" si="5"/>
        <v>-31.140715323636361</v>
      </c>
      <c r="K15" s="30">
        <f t="shared" si="3"/>
        <v>-7.7851788309090901</v>
      </c>
      <c r="L15" s="27">
        <v>71</v>
      </c>
      <c r="M15" s="31">
        <f t="shared" si="6"/>
        <v>5.6338028169014086E-2</v>
      </c>
      <c r="N15" s="27">
        <v>93</v>
      </c>
      <c r="O15" s="32">
        <f t="shared" ref="O15:P15" si="23">D15/7</f>
        <v>0.5714285714285714</v>
      </c>
      <c r="P15" s="32">
        <f t="shared" si="23"/>
        <v>0</v>
      </c>
      <c r="Q15" s="27">
        <f t="shared" si="8"/>
        <v>162</v>
      </c>
      <c r="R15" s="27"/>
      <c r="S15" s="33">
        <v>0.28828828828828801</v>
      </c>
      <c r="T15" s="26">
        <v>410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30.459999999999994</v>
      </c>
      <c r="Z15" s="26">
        <v>1</v>
      </c>
      <c r="AA15" s="26" t="s">
        <v>37</v>
      </c>
      <c r="AB15" s="38">
        <f t="shared" si="11"/>
        <v>-0.69</v>
      </c>
      <c r="AC15" s="39">
        <v>3.3581333333333324E-2</v>
      </c>
      <c r="AD15" s="37">
        <f t="shared" si="12"/>
        <v>-0.18536895999999994</v>
      </c>
      <c r="AE15" s="37">
        <v>-4.9000000000000004</v>
      </c>
      <c r="AF15" s="37">
        <v>-3.29033659090909</v>
      </c>
      <c r="AG15" s="37">
        <v>0</v>
      </c>
    </row>
    <row r="16" spans="1:33" ht="15.75" customHeight="1" x14ac:dyDescent="0.2">
      <c r="A16" s="26" t="s">
        <v>60</v>
      </c>
      <c r="B16" s="26" t="s">
        <v>602</v>
      </c>
      <c r="C16" s="14">
        <f t="shared" si="4"/>
        <v>8.99</v>
      </c>
      <c r="D16" s="27">
        <v>7</v>
      </c>
      <c r="E16" s="27">
        <v>1</v>
      </c>
      <c r="F16" s="30">
        <v>62.930000000000007</v>
      </c>
      <c r="G16" s="28">
        <v>-74.56</v>
      </c>
      <c r="H16" s="29">
        <f t="shared" si="1"/>
        <v>1.184808517400286</v>
      </c>
      <c r="I16" s="29">
        <f t="shared" si="2"/>
        <v>-1.3463570922670207</v>
      </c>
      <c r="J16" s="30">
        <f t="shared" si="5"/>
        <v>-84.726251816363629</v>
      </c>
      <c r="K16" s="30">
        <f t="shared" si="3"/>
        <v>-12.103750259480519</v>
      </c>
      <c r="L16" s="27">
        <v>96</v>
      </c>
      <c r="M16" s="31">
        <f t="shared" si="6"/>
        <v>7.2916666666666671E-2</v>
      </c>
      <c r="N16" s="27">
        <v>84</v>
      </c>
      <c r="O16" s="32">
        <f t="shared" ref="O16:P16" si="24">D16/7</f>
        <v>1</v>
      </c>
      <c r="P16" s="32">
        <f t="shared" si="24"/>
        <v>0.14285714285714285</v>
      </c>
      <c r="Q16" s="27">
        <f t="shared" si="8"/>
        <v>73</v>
      </c>
      <c r="R16" s="27"/>
      <c r="S16" s="33">
        <v>0.35348837209302297</v>
      </c>
      <c r="T16" s="26">
        <v>410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37.28</v>
      </c>
      <c r="Z16" s="26">
        <v>2</v>
      </c>
      <c r="AA16" s="26" t="s">
        <v>37</v>
      </c>
      <c r="AB16" s="38">
        <f t="shared" si="11"/>
        <v>-0.69</v>
      </c>
      <c r="AC16" s="39">
        <v>3.3581333333333324E-2</v>
      </c>
      <c r="AD16" s="37">
        <f t="shared" si="12"/>
        <v>-0.32439567999999991</v>
      </c>
      <c r="AE16" s="37">
        <v>-4.9000000000000004</v>
      </c>
      <c r="AF16" s="37">
        <v>-3.29033659090909</v>
      </c>
      <c r="AG16" s="37">
        <v>-6</v>
      </c>
    </row>
    <row r="17" spans="1:33" ht="15.75" customHeight="1" x14ac:dyDescent="0.2">
      <c r="A17" s="26" t="s">
        <v>61</v>
      </c>
      <c r="B17" s="26" t="s">
        <v>603</v>
      </c>
      <c r="C17" s="14">
        <f t="shared" si="4"/>
        <v>8.99</v>
      </c>
      <c r="D17" s="27">
        <v>5</v>
      </c>
      <c r="E17" s="27">
        <v>2</v>
      </c>
      <c r="F17" s="30">
        <v>44.95</v>
      </c>
      <c r="G17" s="28">
        <v>-50.239999999999995</v>
      </c>
      <c r="H17" s="29">
        <f t="shared" si="1"/>
        <v>1.1176863181312569</v>
      </c>
      <c r="I17" s="29">
        <f t="shared" si="2"/>
        <v>-1.2061378009909998</v>
      </c>
      <c r="J17" s="30">
        <f t="shared" si="5"/>
        <v>-54.215894154545445</v>
      </c>
      <c r="K17" s="30">
        <f t="shared" si="3"/>
        <v>-10.843178830909089</v>
      </c>
      <c r="L17" s="27">
        <v>71</v>
      </c>
      <c r="M17" s="31">
        <f t="shared" si="6"/>
        <v>7.0422535211267609E-2</v>
      </c>
      <c r="N17" s="27">
        <v>80</v>
      </c>
      <c r="O17" s="32">
        <f t="shared" ref="O17:P17" si="25">D17/7</f>
        <v>0.7142857142857143</v>
      </c>
      <c r="P17" s="32">
        <f t="shared" si="25"/>
        <v>0.2857142857142857</v>
      </c>
      <c r="Q17" s="27">
        <f t="shared" si="8"/>
        <v>80</v>
      </c>
      <c r="R17" s="27"/>
      <c r="S17" s="33">
        <v>0.39613526570048302</v>
      </c>
      <c r="T17" s="26">
        <v>410</v>
      </c>
      <c r="U17" s="34" t="s">
        <v>34</v>
      </c>
      <c r="V17" s="35" t="s">
        <v>34</v>
      </c>
      <c r="W17" s="26">
        <v>3</v>
      </c>
      <c r="X17" s="36">
        <f t="shared" si="9"/>
        <v>0.6</v>
      </c>
      <c r="Y17" s="37">
        <f t="shared" si="10"/>
        <v>7.1771428571428562</v>
      </c>
      <c r="Z17" s="26">
        <v>4</v>
      </c>
      <c r="AA17" s="26" t="s">
        <v>37</v>
      </c>
      <c r="AB17" s="38">
        <f t="shared" si="11"/>
        <v>-0.69</v>
      </c>
      <c r="AC17" s="39">
        <v>3.3581333333333324E-2</v>
      </c>
      <c r="AD17" s="37">
        <f t="shared" si="12"/>
        <v>-0.23171119999999992</v>
      </c>
      <c r="AE17" s="37">
        <v>-4.9000000000000004</v>
      </c>
      <c r="AF17" s="37">
        <v>-3.29033659090909</v>
      </c>
      <c r="AG17" s="37">
        <v>-1</v>
      </c>
    </row>
    <row r="18" spans="1:33" ht="15.75" customHeight="1" x14ac:dyDescent="0.2">
      <c r="A18" s="26" t="s">
        <v>62</v>
      </c>
      <c r="B18" s="26" t="s">
        <v>105</v>
      </c>
      <c r="C18" s="14">
        <f t="shared" si="4"/>
        <v>8.9899999999999984</v>
      </c>
      <c r="D18" s="27">
        <v>10</v>
      </c>
      <c r="E18" s="27">
        <v>1</v>
      </c>
      <c r="F18" s="30">
        <v>89.899999999999991</v>
      </c>
      <c r="G18" s="28">
        <v>-44.54</v>
      </c>
      <c r="H18" s="29">
        <f t="shared" si="1"/>
        <v>0.49543937708565078</v>
      </c>
      <c r="I18" s="29">
        <f t="shared" si="2"/>
        <v>-0.56164391889978771</v>
      </c>
      <c r="J18" s="30">
        <f t="shared" si="5"/>
        <v>-50.491788309090907</v>
      </c>
      <c r="K18" s="30">
        <f t="shared" si="3"/>
        <v>-5.0491788309090904</v>
      </c>
      <c r="L18" s="27">
        <v>84</v>
      </c>
      <c r="M18" s="31">
        <f t="shared" si="6"/>
        <v>0.11904761904761904</v>
      </c>
      <c r="N18" s="27">
        <v>66</v>
      </c>
      <c r="O18" s="32">
        <f t="shared" ref="O18:P18" si="26">D18/7</f>
        <v>1.4285714285714286</v>
      </c>
      <c r="P18" s="32">
        <f t="shared" si="26"/>
        <v>0.14285714285714285</v>
      </c>
      <c r="Q18" s="27">
        <f t="shared" si="8"/>
        <v>42</v>
      </c>
      <c r="R18" s="27"/>
      <c r="S18" s="33">
        <v>0.50890585241730202</v>
      </c>
      <c r="T18" s="26">
        <v>410</v>
      </c>
      <c r="U18" s="34" t="s">
        <v>34</v>
      </c>
      <c r="V18" s="35" t="s">
        <v>34</v>
      </c>
      <c r="W18" s="26">
        <v>2</v>
      </c>
      <c r="X18" s="36">
        <f t="shared" si="9"/>
        <v>0.2</v>
      </c>
      <c r="Y18" s="37">
        <f t="shared" si="10"/>
        <v>6.362857142857143</v>
      </c>
      <c r="Z18" s="26">
        <v>5</v>
      </c>
      <c r="AA18" s="26" t="s">
        <v>37</v>
      </c>
      <c r="AB18" s="38">
        <f t="shared" si="11"/>
        <v>-0.69</v>
      </c>
      <c r="AC18" s="39">
        <v>3.3581333333333324E-2</v>
      </c>
      <c r="AD18" s="37">
        <f t="shared" si="12"/>
        <v>-0.46342239999999985</v>
      </c>
      <c r="AE18" s="37">
        <v>-4.9000000000000004</v>
      </c>
      <c r="AF18" s="37">
        <v>-3.29033659090909</v>
      </c>
      <c r="AG18" s="37">
        <v>0</v>
      </c>
    </row>
    <row r="19" spans="1:33" ht="15.75" customHeight="1" x14ac:dyDescent="0.2">
      <c r="A19" s="26" t="s">
        <v>64</v>
      </c>
      <c r="B19" s="26" t="s">
        <v>188</v>
      </c>
      <c r="C19" s="14">
        <f t="shared" si="4"/>
        <v>8.99</v>
      </c>
      <c r="D19" s="27">
        <v>2</v>
      </c>
      <c r="E19" s="27">
        <v>0</v>
      </c>
      <c r="F19" s="30">
        <v>17.98</v>
      </c>
      <c r="G19" s="28">
        <v>-29.27</v>
      </c>
      <c r="H19" s="29">
        <f t="shared" si="1"/>
        <v>1.6279199110122358</v>
      </c>
      <c r="I19" s="29">
        <f t="shared" si="2"/>
        <v>-1.6941244528263728</v>
      </c>
      <c r="J19" s="30">
        <f t="shared" si="5"/>
        <v>-30.460357661818183</v>
      </c>
      <c r="K19" s="30">
        <f t="shared" si="3"/>
        <v>-15.230178830909091</v>
      </c>
      <c r="L19" s="27">
        <v>77</v>
      </c>
      <c r="M19" s="31">
        <f t="shared" si="6"/>
        <v>2.5974025974025976E-2</v>
      </c>
      <c r="N19" s="27">
        <v>66</v>
      </c>
      <c r="O19" s="32">
        <f t="shared" ref="O19:P19" si="27">D19/7</f>
        <v>0.2857142857142857</v>
      </c>
      <c r="P19" s="32">
        <f t="shared" si="27"/>
        <v>0</v>
      </c>
      <c r="Q19" s="27">
        <f t="shared" si="8"/>
        <v>231</v>
      </c>
      <c r="R19" s="27"/>
      <c r="S19" s="33">
        <v>0.53746770025839796</v>
      </c>
      <c r="T19" s="26">
        <v>410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4.878333333333333</v>
      </c>
      <c r="Z19" s="26">
        <v>6</v>
      </c>
      <c r="AA19" s="26" t="s">
        <v>37</v>
      </c>
      <c r="AB19" s="38">
        <f t="shared" si="11"/>
        <v>-0.69</v>
      </c>
      <c r="AC19" s="39">
        <v>3.3581333333333324E-2</v>
      </c>
      <c r="AD19" s="37">
        <f t="shared" si="12"/>
        <v>-9.2684479999999972E-2</v>
      </c>
      <c r="AE19" s="37">
        <v>-4.9000000000000004</v>
      </c>
      <c r="AF19" s="37">
        <v>-3.2903365909090909</v>
      </c>
      <c r="AG19" s="37">
        <v>0</v>
      </c>
    </row>
    <row r="20" spans="1:33" ht="15.75" customHeight="1" x14ac:dyDescent="0.2">
      <c r="A20" s="26" t="s">
        <v>65</v>
      </c>
      <c r="B20" s="26" t="s">
        <v>468</v>
      </c>
      <c r="C20" s="14">
        <f t="shared" si="4"/>
        <v>8.99</v>
      </c>
      <c r="D20" s="27">
        <v>5</v>
      </c>
      <c r="E20" s="27">
        <v>0</v>
      </c>
      <c r="F20" s="30">
        <v>44.95</v>
      </c>
      <c r="G20" s="28">
        <v>0</v>
      </c>
      <c r="H20" s="29">
        <f t="shared" si="1"/>
        <v>0</v>
      </c>
      <c r="I20" s="29">
        <f t="shared" si="2"/>
        <v>-6.6204541814136833E-2</v>
      </c>
      <c r="J20" s="30">
        <f t="shared" si="5"/>
        <v>-2.9758941545454509</v>
      </c>
      <c r="K20" s="30">
        <f t="shared" si="3"/>
        <v>-0.59517883090909018</v>
      </c>
      <c r="L20" s="27">
        <v>55</v>
      </c>
      <c r="M20" s="31">
        <f t="shared" si="6"/>
        <v>9.0909090909090912E-2</v>
      </c>
      <c r="N20" s="27">
        <v>61</v>
      </c>
      <c r="O20" s="32">
        <f t="shared" ref="O20:P20" si="28">D20/7</f>
        <v>0.7142857142857143</v>
      </c>
      <c r="P20" s="32">
        <f t="shared" si="28"/>
        <v>0</v>
      </c>
      <c r="Q20" s="27">
        <f t="shared" si="8"/>
        <v>85</v>
      </c>
      <c r="R20" s="27"/>
      <c r="S20" s="33">
        <v>0.58064516129032195</v>
      </c>
      <c r="T20" s="26">
        <v>530</v>
      </c>
      <c r="U20" s="34">
        <v>120</v>
      </c>
      <c r="V20" s="35" t="s">
        <v>493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3.3581333333333324E-2</v>
      </c>
      <c r="AD20" s="37">
        <f t="shared" si="12"/>
        <v>-0.23171119999999992</v>
      </c>
      <c r="AE20" s="37">
        <v>-4.9000000000000004</v>
      </c>
      <c r="AF20" s="37">
        <v>-3.2903365909090909</v>
      </c>
      <c r="AG20" s="37">
        <v>0</v>
      </c>
    </row>
    <row r="21" spans="1:33" ht="15.75" customHeight="1" x14ac:dyDescent="0.2">
      <c r="A21" s="26" t="s">
        <v>66</v>
      </c>
      <c r="B21" s="26" t="s">
        <v>468</v>
      </c>
      <c r="C21" s="14">
        <f t="shared" si="4"/>
        <v>8.99</v>
      </c>
      <c r="D21" s="27">
        <v>4</v>
      </c>
      <c r="E21" s="27">
        <v>0</v>
      </c>
      <c r="F21" s="30">
        <v>35.96</v>
      </c>
      <c r="G21" s="28">
        <v>0</v>
      </c>
      <c r="H21" s="29">
        <f t="shared" si="1"/>
        <v>0</v>
      </c>
      <c r="I21" s="29">
        <f t="shared" si="2"/>
        <v>-6.6204541814137041E-2</v>
      </c>
      <c r="J21" s="30">
        <f t="shared" si="5"/>
        <v>-2.3807153236363678</v>
      </c>
      <c r="K21" s="30">
        <f t="shared" si="3"/>
        <v>-0.59517883090909196</v>
      </c>
      <c r="L21" s="27">
        <v>27</v>
      </c>
      <c r="M21" s="31">
        <f t="shared" si="6"/>
        <v>0.14814814814814814</v>
      </c>
      <c r="N21" s="27">
        <v>55</v>
      </c>
      <c r="O21" s="32">
        <f t="shared" ref="O21:P21" si="29">D21/7</f>
        <v>0.5714285714285714</v>
      </c>
      <c r="P21" s="32">
        <f t="shared" si="29"/>
        <v>0</v>
      </c>
      <c r="Q21" s="27">
        <f t="shared" si="8"/>
        <v>96</v>
      </c>
      <c r="R21" s="27"/>
      <c r="S21" s="33">
        <v>0.60744985673352403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3.3581333333333324E-2</v>
      </c>
      <c r="AD21" s="37">
        <f t="shared" si="12"/>
        <v>-0.18536895999999994</v>
      </c>
      <c r="AE21" s="37">
        <v>-4.9000000000000004</v>
      </c>
      <c r="AF21" s="37">
        <v>-3.2903365909090909</v>
      </c>
      <c r="AG21" s="37">
        <v>0</v>
      </c>
    </row>
    <row r="22" spans="1:33" ht="15.75" customHeight="1" x14ac:dyDescent="0.2">
      <c r="A22" s="26" t="s">
        <v>67</v>
      </c>
      <c r="B22" s="26" t="s">
        <v>577</v>
      </c>
      <c r="C22" s="14">
        <f t="shared" si="4"/>
        <v>8.99</v>
      </c>
      <c r="D22" s="27">
        <v>3</v>
      </c>
      <c r="E22" s="27">
        <v>0</v>
      </c>
      <c r="F22" s="28">
        <v>26.97</v>
      </c>
      <c r="G22" s="28">
        <v>0</v>
      </c>
      <c r="H22" s="29">
        <f t="shared" si="1"/>
        <v>0</v>
      </c>
      <c r="I22" s="29">
        <f t="shared" si="2"/>
        <v>-6.6204541814137041E-2</v>
      </c>
      <c r="J22" s="30">
        <f t="shared" si="5"/>
        <v>-1.7855364927272759</v>
      </c>
      <c r="K22" s="30">
        <f t="shared" si="3"/>
        <v>-0.59517883090909196</v>
      </c>
      <c r="L22" s="27">
        <v>55</v>
      </c>
      <c r="M22" s="31">
        <f t="shared" si="6"/>
        <v>5.4545454545454543E-2</v>
      </c>
      <c r="N22" s="27">
        <v>53</v>
      </c>
      <c r="O22" s="32">
        <f t="shared" ref="O22:P22" si="30">D22/7</f>
        <v>0.42857142857142855</v>
      </c>
      <c r="P22" s="32">
        <f t="shared" si="30"/>
        <v>0</v>
      </c>
      <c r="Q22" s="27">
        <f t="shared" si="8"/>
        <v>123</v>
      </c>
      <c r="R22" s="27"/>
      <c r="S22" s="33">
        <v>0.62089552238805901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3.3581333333333324E-2</v>
      </c>
      <c r="AD22" s="37">
        <f t="shared" si="12"/>
        <v>-0.13902671999999996</v>
      </c>
      <c r="AE22" s="37">
        <v>-4.9000000000000004</v>
      </c>
      <c r="AF22" s="37">
        <v>-3.2903365909090909</v>
      </c>
      <c r="AG22" s="37">
        <v>0</v>
      </c>
    </row>
    <row r="23" spans="1:33" ht="15.75" customHeight="1" x14ac:dyDescent="0.2">
      <c r="A23" s="26" t="s">
        <v>68</v>
      </c>
      <c r="B23" s="26" t="s">
        <v>604</v>
      </c>
      <c r="C23" s="14">
        <f t="shared" si="4"/>
        <v>8.99</v>
      </c>
      <c r="D23" s="27">
        <v>9</v>
      </c>
      <c r="E23" s="27">
        <v>0</v>
      </c>
      <c r="F23" s="30">
        <v>80.91</v>
      </c>
      <c r="G23" s="28">
        <v>0</v>
      </c>
      <c r="H23" s="29">
        <f t="shared" si="1"/>
        <v>0</v>
      </c>
      <c r="I23" s="29">
        <f t="shared" si="2"/>
        <v>-9.0923365198143855E-2</v>
      </c>
      <c r="J23" s="30">
        <f t="shared" si="5"/>
        <v>-7.3566094781818192</v>
      </c>
      <c r="K23" s="30">
        <f t="shared" si="3"/>
        <v>-0.81740105313131328</v>
      </c>
      <c r="L23" s="27">
        <v>66</v>
      </c>
      <c r="M23" s="31">
        <f t="shared" si="6"/>
        <v>0.13636363636363635</v>
      </c>
      <c r="N23" s="27">
        <v>45</v>
      </c>
      <c r="O23" s="32">
        <f t="shared" ref="O23:P23" si="31">D23/7</f>
        <v>1.2857142857142858</v>
      </c>
      <c r="P23" s="32">
        <f t="shared" si="31"/>
        <v>0</v>
      </c>
      <c r="Q23" s="27">
        <f t="shared" si="8"/>
        <v>35</v>
      </c>
      <c r="R23" s="27"/>
      <c r="S23" s="33">
        <v>0.64831804281345495</v>
      </c>
      <c r="T23" s="26">
        <v>530</v>
      </c>
      <c r="U23" s="34" t="s">
        <v>34</v>
      </c>
      <c r="V23" s="35" t="s">
        <v>495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3.3581333333333324E-2</v>
      </c>
      <c r="AD23" s="37">
        <f t="shared" si="12"/>
        <v>-0.41708015999999987</v>
      </c>
      <c r="AE23" s="37">
        <v>-4.9000000000000004</v>
      </c>
      <c r="AF23" s="37">
        <v>-3.2903365909090909</v>
      </c>
      <c r="AG23" s="37">
        <v>-2</v>
      </c>
    </row>
    <row r="24" spans="1:33" ht="15.75" customHeight="1" x14ac:dyDescent="0.2">
      <c r="A24" s="26" t="s">
        <v>71</v>
      </c>
      <c r="B24" s="26" t="s">
        <v>605</v>
      </c>
      <c r="C24" s="14">
        <f t="shared" si="4"/>
        <v>7.9900000000000011</v>
      </c>
      <c r="D24" s="27">
        <v>7</v>
      </c>
      <c r="E24" s="27">
        <v>0</v>
      </c>
      <c r="F24" s="30">
        <v>55.930000000000007</v>
      </c>
      <c r="G24" s="30">
        <v>-15.25</v>
      </c>
      <c r="H24" s="29">
        <f t="shared" si="1"/>
        <v>0.27266225639191843</v>
      </c>
      <c r="I24" s="29">
        <f t="shared" si="2"/>
        <v>-0.50717417872990578</v>
      </c>
      <c r="J24" s="30">
        <f t="shared" si="5"/>
        <v>-28.366251816363636</v>
      </c>
      <c r="K24" s="30">
        <f t="shared" si="3"/>
        <v>-4.0523216880519479</v>
      </c>
      <c r="L24" s="27">
        <v>79</v>
      </c>
      <c r="M24" s="31">
        <f t="shared" si="6"/>
        <v>8.8607594936708861E-2</v>
      </c>
      <c r="N24" s="27">
        <v>37</v>
      </c>
      <c r="O24" s="32">
        <f t="shared" ref="O24:P24" si="32">D24/7</f>
        <v>1</v>
      </c>
      <c r="P24" s="32">
        <f t="shared" si="32"/>
        <v>0</v>
      </c>
      <c r="Q24" s="27">
        <f t="shared" si="8"/>
        <v>37</v>
      </c>
      <c r="R24" s="27"/>
      <c r="S24" s="33">
        <v>0.85808580858085803</v>
      </c>
      <c r="T24" s="26">
        <v>530</v>
      </c>
      <c r="U24" s="34" t="s">
        <v>34</v>
      </c>
      <c r="V24" s="35" t="s">
        <v>495</v>
      </c>
      <c r="W24" s="26">
        <v>0</v>
      </c>
      <c r="X24" s="36">
        <f t="shared" si="9"/>
        <v>0</v>
      </c>
      <c r="Y24" s="37">
        <f t="shared" si="10"/>
        <v>15.25</v>
      </c>
      <c r="Z24" s="26">
        <v>1</v>
      </c>
      <c r="AA24" s="26" t="s">
        <v>37</v>
      </c>
      <c r="AB24" s="38">
        <f t="shared" si="11"/>
        <v>-0.69</v>
      </c>
      <c r="AC24" s="39">
        <v>3.3581333333333324E-2</v>
      </c>
      <c r="AD24" s="37">
        <f t="shared" si="12"/>
        <v>-0.32439567999999991</v>
      </c>
      <c r="AE24" s="37">
        <v>-4.9000000000000004</v>
      </c>
      <c r="AF24" s="37">
        <v>-3.2903365909090909</v>
      </c>
      <c r="AG24" s="37">
        <v>-3</v>
      </c>
    </row>
    <row r="25" spans="1:33" ht="15.75" customHeight="1" x14ac:dyDescent="0.2">
      <c r="A25" s="40" t="s">
        <v>73</v>
      </c>
      <c r="B25" s="26" t="s">
        <v>605</v>
      </c>
      <c r="C25" s="14">
        <f t="shared" si="4"/>
        <v>7.99</v>
      </c>
      <c r="D25" s="15">
        <v>5</v>
      </c>
      <c r="E25" s="15">
        <v>0</v>
      </c>
      <c r="F25" s="16">
        <v>39.950000000000003</v>
      </c>
      <c r="G25" s="16">
        <v>-4.09</v>
      </c>
      <c r="H25" s="29">
        <f t="shared" si="1"/>
        <v>0.10237797246558197</v>
      </c>
      <c r="I25" s="29">
        <f t="shared" si="2"/>
        <v>-0.33327186983729651</v>
      </c>
      <c r="J25" s="30">
        <f t="shared" si="5"/>
        <v>-13.314211199999995</v>
      </c>
      <c r="K25" s="30">
        <f t="shared" si="3"/>
        <v>-2.6628422399999989</v>
      </c>
      <c r="L25" s="15">
        <v>85</v>
      </c>
      <c r="M25" s="31">
        <f t="shared" si="6"/>
        <v>5.8823529411764705E-2</v>
      </c>
      <c r="N25" s="15">
        <v>33</v>
      </c>
      <c r="O25" s="32">
        <f t="shared" ref="O25:P25" si="33">D25/7</f>
        <v>0.7142857142857143</v>
      </c>
      <c r="P25" s="32">
        <f t="shared" si="33"/>
        <v>0</v>
      </c>
      <c r="Q25" s="27">
        <f t="shared" si="8"/>
        <v>46</v>
      </c>
      <c r="R25" s="27"/>
      <c r="S25" s="41">
        <v>0.98939929328621912</v>
      </c>
      <c r="T25" s="26">
        <v>530</v>
      </c>
      <c r="U25" s="34">
        <v>120</v>
      </c>
      <c r="V25" s="35" t="s">
        <v>498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3.3581333333333324E-2</v>
      </c>
      <c r="AD25" s="37">
        <f t="shared" si="12"/>
        <v>-0.23171119999999992</v>
      </c>
      <c r="AE25" s="42">
        <v>-4.9000000000000004</v>
      </c>
      <c r="AF25" s="42">
        <v>-3.29</v>
      </c>
      <c r="AG25" s="42">
        <v>-2</v>
      </c>
    </row>
    <row r="26" spans="1:33" ht="15.75" customHeight="1" x14ac:dyDescent="0.2">
      <c r="A26" s="40" t="s">
        <v>75</v>
      </c>
      <c r="B26" s="26" t="s">
        <v>605</v>
      </c>
      <c r="C26" s="14">
        <f t="shared" si="4"/>
        <v>7.99</v>
      </c>
      <c r="D26" s="15">
        <v>4</v>
      </c>
      <c r="E26" s="15">
        <v>0</v>
      </c>
      <c r="F26" s="16">
        <v>31.96</v>
      </c>
      <c r="G26" s="16">
        <v>0</v>
      </c>
      <c r="H26" s="29">
        <f t="shared" si="1"/>
        <v>0</v>
      </c>
      <c r="I26" s="29">
        <f t="shared" si="2"/>
        <v>-0.18713126794857196</v>
      </c>
      <c r="J26" s="30">
        <f t="shared" si="5"/>
        <v>-5.9807153236363604</v>
      </c>
      <c r="K26" s="30">
        <f t="shared" si="3"/>
        <v>-1.4951788309090901</v>
      </c>
      <c r="L26" s="15">
        <v>72</v>
      </c>
      <c r="M26" s="31">
        <f t="shared" si="6"/>
        <v>5.5555555555555552E-2</v>
      </c>
      <c r="N26" s="15">
        <v>28</v>
      </c>
      <c r="O26" s="32">
        <f t="shared" ref="O26:P26" si="34">D26/7</f>
        <v>0.5714285714285714</v>
      </c>
      <c r="P26" s="32">
        <f t="shared" si="34"/>
        <v>0</v>
      </c>
      <c r="Q26" s="27">
        <f t="shared" si="8"/>
        <v>49</v>
      </c>
      <c r="R26" s="27"/>
      <c r="S26" s="41">
        <v>1.0977443609022559</v>
      </c>
      <c r="T26" s="26">
        <v>530</v>
      </c>
      <c r="U26" s="34">
        <v>120</v>
      </c>
      <c r="V26" s="35" t="s">
        <v>498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3.3581333333333324E-2</v>
      </c>
      <c r="AD26" s="37">
        <f t="shared" si="12"/>
        <v>-0.18536895999999994</v>
      </c>
      <c r="AE26" s="42">
        <v>-4.95</v>
      </c>
      <c r="AF26" s="42">
        <v>-3.29033659090909</v>
      </c>
      <c r="AG26" s="42">
        <v>0</v>
      </c>
    </row>
    <row r="27" spans="1:33" ht="15.75" customHeight="1" x14ac:dyDescent="0.2">
      <c r="A27" s="40" t="s">
        <v>77</v>
      </c>
      <c r="B27" s="26" t="s">
        <v>605</v>
      </c>
      <c r="C27" s="14">
        <f t="shared" si="4"/>
        <v>7.9899999999999993</v>
      </c>
      <c r="D27" s="15">
        <v>9</v>
      </c>
      <c r="E27" s="15">
        <v>0</v>
      </c>
      <c r="F27" s="16">
        <v>71.91</v>
      </c>
      <c r="G27" s="16">
        <v>0</v>
      </c>
      <c r="H27" s="29">
        <f t="shared" si="1"/>
        <v>0</v>
      </c>
      <c r="I27" s="29">
        <f t="shared" si="2"/>
        <v>-0.27056889831986958</v>
      </c>
      <c r="J27" s="30">
        <f t="shared" si="5"/>
        <v>-19.456609478181822</v>
      </c>
      <c r="K27" s="30">
        <f t="shared" si="3"/>
        <v>-2.1618454975757579</v>
      </c>
      <c r="L27" s="15">
        <v>88</v>
      </c>
      <c r="M27" s="31">
        <f t="shared" si="6"/>
        <v>0.10227272727272728</v>
      </c>
      <c r="N27" s="15">
        <v>19</v>
      </c>
      <c r="O27" s="32">
        <f t="shared" ref="O27:P27" si="35">D27/7</f>
        <v>1.2857142857142858</v>
      </c>
      <c r="P27" s="32">
        <f t="shared" si="35"/>
        <v>0</v>
      </c>
      <c r="Q27" s="27">
        <f t="shared" si="8"/>
        <v>14</v>
      </c>
      <c r="R27" s="27"/>
      <c r="S27" s="41">
        <v>1.3004115226337449</v>
      </c>
      <c r="T27" s="26">
        <v>530</v>
      </c>
      <c r="U27" s="34">
        <v>120</v>
      </c>
      <c r="V27" s="35" t="s">
        <v>500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3.3581333333333324E-2</v>
      </c>
      <c r="AD27" s="37">
        <f t="shared" si="12"/>
        <v>-0.41708015999999987</v>
      </c>
      <c r="AE27" s="42">
        <v>-4.95</v>
      </c>
      <c r="AF27" s="42">
        <v>-3.29033659090909</v>
      </c>
      <c r="AG27" s="42">
        <v>-6</v>
      </c>
    </row>
    <row r="28" spans="1:33" ht="15.75" customHeight="1" x14ac:dyDescent="0.2">
      <c r="A28" s="40" t="s">
        <v>79</v>
      </c>
      <c r="B28" s="26" t="s">
        <v>605</v>
      </c>
      <c r="C28" s="14">
        <f t="shared" si="4"/>
        <v>7.99</v>
      </c>
      <c r="D28" s="15">
        <v>8</v>
      </c>
      <c r="E28" s="15">
        <v>0</v>
      </c>
      <c r="F28" s="16">
        <v>63.92</v>
      </c>
      <c r="G28" s="16">
        <v>-2.5900000000000012</v>
      </c>
      <c r="H28" s="29">
        <f t="shared" si="1"/>
        <v>4.0519399249061346E-2</v>
      </c>
      <c r="I28" s="29">
        <f t="shared" si="2"/>
        <v>-0.22765066719763336</v>
      </c>
      <c r="J28" s="30">
        <f t="shared" si="5"/>
        <v>-14.551430647272724</v>
      </c>
      <c r="K28" s="30">
        <f t="shared" si="3"/>
        <v>-1.8189288309090905</v>
      </c>
      <c r="L28" s="15">
        <v>79</v>
      </c>
      <c r="M28" s="31">
        <f t="shared" si="6"/>
        <v>0.10126582278481013</v>
      </c>
      <c r="N28" s="15">
        <v>132</v>
      </c>
      <c r="O28" s="32">
        <f t="shared" ref="O28:P28" si="36">D28/7</f>
        <v>1.1428571428571428</v>
      </c>
      <c r="P28" s="32">
        <f t="shared" si="36"/>
        <v>0</v>
      </c>
      <c r="Q28" s="27">
        <f t="shared" si="8"/>
        <v>115</v>
      </c>
      <c r="R28" s="27"/>
      <c r="S28" s="41">
        <v>0.98224852071005919</v>
      </c>
      <c r="T28" s="40" t="s">
        <v>34</v>
      </c>
      <c r="U28" s="22" t="s">
        <v>34</v>
      </c>
      <c r="V28" s="1" t="s">
        <v>606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3.3581333333333324E-2</v>
      </c>
      <c r="AD28" s="37">
        <f t="shared" si="12"/>
        <v>-0.37073791999999989</v>
      </c>
      <c r="AE28" s="42">
        <v>-4.95</v>
      </c>
      <c r="AF28" s="42">
        <v>-3.29033659090909</v>
      </c>
      <c r="AG28" s="42">
        <v>0</v>
      </c>
    </row>
    <row r="29" spans="1:33" ht="15.75" customHeight="1" x14ac:dyDescent="0.2">
      <c r="A29" s="26" t="s">
        <v>82</v>
      </c>
      <c r="B29" s="26" t="s">
        <v>607</v>
      </c>
      <c r="C29" s="14">
        <f t="shared" si="4"/>
        <v>7.9899999999999993</v>
      </c>
      <c r="D29" s="27">
        <v>3</v>
      </c>
      <c r="E29" s="27">
        <v>0</v>
      </c>
      <c r="F29" s="30">
        <v>23.97</v>
      </c>
      <c r="G29" s="30">
        <v>-2.64</v>
      </c>
      <c r="H29" s="29">
        <f t="shared" si="1"/>
        <v>0.11013767209011265</v>
      </c>
      <c r="I29" s="29">
        <f t="shared" si="2"/>
        <v>-0.29726894003868481</v>
      </c>
      <c r="J29" s="30">
        <f t="shared" si="5"/>
        <v>-7.1255364927272744</v>
      </c>
      <c r="K29" s="30">
        <f t="shared" si="3"/>
        <v>-2.3751788309090913</v>
      </c>
      <c r="L29" s="27">
        <v>89</v>
      </c>
      <c r="M29" s="31">
        <f t="shared" si="6"/>
        <v>3.3707865168539325E-2</v>
      </c>
      <c r="N29" s="15">
        <v>131</v>
      </c>
      <c r="O29" s="32">
        <f t="shared" ref="O29:P29" si="37">D29/7</f>
        <v>0.42857142857142855</v>
      </c>
      <c r="P29" s="32">
        <f t="shared" si="37"/>
        <v>0</v>
      </c>
      <c r="Q29" s="27">
        <f t="shared" si="8"/>
        <v>305</v>
      </c>
      <c r="R29" s="27"/>
      <c r="S29" s="41">
        <v>0.95899053627760256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3.3581333333333324E-2</v>
      </c>
      <c r="AD29" s="37">
        <f t="shared" si="12"/>
        <v>-0.13902671999999996</v>
      </c>
      <c r="AE29" s="37">
        <v>-4.95</v>
      </c>
      <c r="AF29" s="42">
        <v>-3.29033659090909</v>
      </c>
      <c r="AG29" s="37">
        <v>0</v>
      </c>
    </row>
    <row r="30" spans="1:33" ht="15.75" customHeight="1" x14ac:dyDescent="0.2">
      <c r="A30" s="40" t="s">
        <v>84</v>
      </c>
      <c r="B30" s="40" t="s">
        <v>608</v>
      </c>
      <c r="C30" s="14">
        <f t="shared" si="4"/>
        <v>7.9899999999999993</v>
      </c>
      <c r="D30" s="15">
        <v>14</v>
      </c>
      <c r="E30" s="15">
        <v>0</v>
      </c>
      <c r="F30" s="16">
        <v>111.85999999999999</v>
      </c>
      <c r="G30" s="16">
        <v>-0.62999999999999989</v>
      </c>
      <c r="H30" s="29">
        <f t="shared" si="1"/>
        <v>5.6320400500625778E-3</v>
      </c>
      <c r="I30" s="29">
        <f t="shared" si="2"/>
        <v>-0.21275175311773656</v>
      </c>
      <c r="J30" s="30">
        <f t="shared" si="5"/>
        <v>-23.798411103750009</v>
      </c>
      <c r="K30" s="30">
        <f t="shared" si="3"/>
        <v>-1.699886507410715</v>
      </c>
      <c r="L30" s="15">
        <v>68</v>
      </c>
      <c r="M30" s="31">
        <f t="shared" si="6"/>
        <v>0.20588235294117646</v>
      </c>
      <c r="N30" s="15">
        <v>112</v>
      </c>
      <c r="O30" s="32">
        <f t="shared" ref="O30:P30" si="38">D30/7</f>
        <v>2</v>
      </c>
      <c r="P30" s="32">
        <f t="shared" si="38"/>
        <v>0</v>
      </c>
      <c r="Q30" s="27">
        <f t="shared" si="8"/>
        <v>56</v>
      </c>
      <c r="R30" s="27"/>
      <c r="S30" s="41">
        <v>0.97049180327868856</v>
      </c>
      <c r="T30" s="26">
        <v>150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3.3581333333333324E-2</v>
      </c>
      <c r="AD30" s="37">
        <f t="shared" si="12"/>
        <v>-0.64879135999999982</v>
      </c>
      <c r="AE30" s="42">
        <v>-4.95</v>
      </c>
      <c r="AF30" s="42">
        <v>-3.2357585531250002</v>
      </c>
      <c r="AG30" s="42">
        <v>-3</v>
      </c>
    </row>
    <row r="31" spans="1:33" ht="15.75" customHeight="1" x14ac:dyDescent="0.2">
      <c r="A31" s="40" t="s">
        <v>87</v>
      </c>
      <c r="B31" s="40" t="s">
        <v>608</v>
      </c>
      <c r="C31" s="14">
        <f t="shared" si="4"/>
        <v>7.99</v>
      </c>
      <c r="D31" s="15">
        <v>5</v>
      </c>
      <c r="E31" s="15">
        <v>0</v>
      </c>
      <c r="F31" s="16">
        <v>39.950000000000003</v>
      </c>
      <c r="G31" s="43">
        <v>-4.1400000000000006</v>
      </c>
      <c r="H31" s="29">
        <f t="shared" si="1"/>
        <v>0.10362953692115144</v>
      </c>
      <c r="I31" s="29">
        <f t="shared" si="2"/>
        <v>-0.38405516810075085</v>
      </c>
      <c r="J31" s="30">
        <f t="shared" si="5"/>
        <v>-15.343003965624998</v>
      </c>
      <c r="K31" s="30">
        <f t="shared" si="3"/>
        <v>-3.0686007931249994</v>
      </c>
      <c r="L31" s="15">
        <v>110</v>
      </c>
      <c r="M31" s="31">
        <f t="shared" si="6"/>
        <v>4.5454545454545456E-2</v>
      </c>
      <c r="N31" s="15">
        <v>105</v>
      </c>
      <c r="O31" s="32">
        <f t="shared" ref="O31:P31" si="39">D31/7</f>
        <v>0.7142857142857143</v>
      </c>
      <c r="P31" s="32">
        <f t="shared" si="39"/>
        <v>0</v>
      </c>
      <c r="Q31" s="27">
        <f t="shared" si="8"/>
        <v>147</v>
      </c>
      <c r="R31" s="27"/>
      <c r="S31" s="41">
        <v>1.1729323308270601</v>
      </c>
      <c r="T31" s="40">
        <v>150</v>
      </c>
      <c r="U31" s="22" t="s">
        <v>34</v>
      </c>
      <c r="V31" s="1" t="s">
        <v>543</v>
      </c>
      <c r="W31" s="40">
        <v>0</v>
      </c>
      <c r="X31" s="36">
        <f t="shared" si="9"/>
        <v>0</v>
      </c>
      <c r="Y31" s="37">
        <f t="shared" si="10"/>
        <v>2.0700000000000003</v>
      </c>
      <c r="Z31" s="40">
        <v>2</v>
      </c>
      <c r="AA31" s="40" t="s">
        <v>37</v>
      </c>
      <c r="AB31" s="38">
        <f t="shared" si="11"/>
        <v>-0.69</v>
      </c>
      <c r="AC31" s="44">
        <v>3.3581333333333324E-2</v>
      </c>
      <c r="AD31" s="37">
        <f t="shared" si="12"/>
        <v>-0.23171119999999992</v>
      </c>
      <c r="AE31" s="45">
        <v>-4.95</v>
      </c>
      <c r="AF31" s="45">
        <v>-3.2357585531250002</v>
      </c>
      <c r="AG31" s="42">
        <v>-4</v>
      </c>
    </row>
    <row r="32" spans="1:33" ht="15.75" customHeight="1" x14ac:dyDescent="0.2">
      <c r="A32" s="40" t="s">
        <v>90</v>
      </c>
      <c r="B32" s="40" t="s">
        <v>608</v>
      </c>
      <c r="C32" s="14">
        <f t="shared" si="4"/>
        <v>7.9899999999999993</v>
      </c>
      <c r="D32" s="15">
        <v>9</v>
      </c>
      <c r="E32" s="15">
        <v>0</v>
      </c>
      <c r="F32" s="16">
        <v>71.91</v>
      </c>
      <c r="G32" s="16">
        <v>-0.65999999999999992</v>
      </c>
      <c r="H32" s="29">
        <f t="shared" si="1"/>
        <v>9.1781393408427187E-3</v>
      </c>
      <c r="I32" s="29">
        <f t="shared" si="2"/>
        <v>-0.24510370098908371</v>
      </c>
      <c r="J32" s="30">
        <f t="shared" si="5"/>
        <v>-17.625407138125009</v>
      </c>
      <c r="K32" s="30">
        <f t="shared" si="3"/>
        <v>-1.9583785709027788</v>
      </c>
      <c r="L32" s="15">
        <v>97</v>
      </c>
      <c r="M32" s="31">
        <f t="shared" si="6"/>
        <v>9.2783505154639179E-2</v>
      </c>
      <c r="N32" s="15">
        <v>104</v>
      </c>
      <c r="O32" s="32">
        <f t="shared" ref="O32:P32" si="40">D32/7</f>
        <v>1.2857142857142858</v>
      </c>
      <c r="P32" s="32">
        <f t="shared" si="40"/>
        <v>0</v>
      </c>
      <c r="Q32" s="27">
        <f t="shared" si="8"/>
        <v>80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0.95726495726495731</v>
      </c>
      <c r="T32" s="40">
        <f ca="1">IFERROR(__xludf.DUMMYFUNCTION("IFERROR(VLOOKUP($B$2,IMPORTRANGE(""https://docs.google.com/spreadsheets/d/1KiWZV1ko8G7lnRucBRBd29jj3Be6ltMfljMDqzOkQmI/edit#gid=1381463014"",""Lookup!A:D""),4,FALSE),"""")"),150)</f>
        <v>150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150 At Factory 50-75 days from Earliest Arrival")</f>
        <v>No Transit, But 150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3.3581333333333324E-2</v>
      </c>
      <c r="AD32" s="37">
        <f t="shared" si="12"/>
        <v>-0.41708015999999987</v>
      </c>
      <c r="AE32" s="42">
        <v>-4.95</v>
      </c>
      <c r="AF32" s="42">
        <v>-3.2357585531250002</v>
      </c>
      <c r="AG32" s="42">
        <v>-4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1:33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1:33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10.5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 Clear Textured - 17 x 36 Inch Plastic Computer Pad for Desk")</f>
        <v>Office Desk Mat Clear Textured - 17 x 36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Info!B1:BJ5000""),2,FALSE),"""")"),"B06XDSX9WX")</f>
        <v>B06XDSX9WX</v>
      </c>
      <c r="B2" s="3" t="s">
        <v>609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9.8606474844705883</v>
      </c>
      <c r="D3" s="5">
        <f>SUM(D4:D99767)</f>
        <v>210</v>
      </c>
      <c r="E3" s="5"/>
      <c r="F3" s="6">
        <f t="shared" ref="F3:G3" si="0">SUM(F4:F99767)</f>
        <v>3893.1499999999996</v>
      </c>
      <c r="G3" s="6">
        <f t="shared" si="0"/>
        <v>-13.44</v>
      </c>
      <c r="H3" s="7">
        <f t="shared" ref="H3:H32" si="1">G3/F3*-1</f>
        <v>3.4522173561255028E-3</v>
      </c>
      <c r="I3" s="8">
        <f t="shared" ref="I3:I32" si="2">J3/F3</f>
        <v>0.36070309825959135</v>
      </c>
      <c r="J3" s="6">
        <f>SUM(J4:J99767)</f>
        <v>1404.2712669893278</v>
      </c>
      <c r="K3" s="6">
        <f t="shared" ref="K3:K32" si="3">J3/D3</f>
        <v>6.6870060332825139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Sheet!a1:g5000""),2,FALSE),"""")"),"5.0 - March
5.0 - April
5.0 - May
5.0 - June
5.0 - July
5.0 - Aug
5.0 - Sept
5.0 - Oct
5.0 - Nov
5.0 - Dec
5.0 - Jan
5.0 - Feb")</f>
        <v>5.0 - March
5.0 - April
5.0 - May
5.0 - June
5.0 - July
5.0 - Aug
5.0 - Sept
5.0 - Oct
5.0 - Nov
5.0 - Dec
5.0 - Jan
5.0 -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QTY-179")</f>
        <v>Del QTY-179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</v>
      </c>
      <c r="X3" s="7">
        <f>W3/D3</f>
        <v>4.7619047619047623E-3</v>
      </c>
      <c r="Y3" s="6"/>
      <c r="Z3" s="5"/>
      <c r="AA3" s="5"/>
      <c r="AB3" s="5"/>
      <c r="AC3" s="5"/>
      <c r="AD3" s="6">
        <f>SUM(AD4:AD99767)</f>
        <v>-34.464896666666675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Info!B2:BZ3000""),37,FALSE)),"""")*-1"),-3.4315503618)</f>
        <v>-3.4315503617999998</v>
      </c>
      <c r="AG3" s="6">
        <f>SUM(AG4:AG99767)</f>
        <v>0</v>
      </c>
    </row>
    <row r="4" spans="1:33" x14ac:dyDescent="0.2">
      <c r="A4" s="1" t="s">
        <v>32</v>
      </c>
      <c r="B4" s="2" t="s">
        <v>610</v>
      </c>
      <c r="C4" s="14">
        <f t="shared" ref="C4:C32" si="4">IFERROR(F4/D4," - ")</f>
        <v>18.149999999999999</v>
      </c>
      <c r="D4" s="15">
        <v>1</v>
      </c>
      <c r="E4" s="15">
        <v>0</v>
      </c>
      <c r="F4" s="16">
        <v>18.149999999999999</v>
      </c>
      <c r="G4" s="16">
        <v>0</v>
      </c>
      <c r="H4" s="17">
        <f t="shared" si="1"/>
        <v>0</v>
      </c>
      <c r="I4" s="17">
        <f t="shared" si="2"/>
        <v>0.15929468107649916</v>
      </c>
      <c r="J4" s="16">
        <f t="shared" ref="J4:J32" si="5">F4*0.85+G4+AF4*D4+D4*AE4+AG4+AD4</f>
        <v>2.8911984615384596</v>
      </c>
      <c r="K4" s="16">
        <f t="shared" si="3"/>
        <v>2.8911984615384596</v>
      </c>
      <c r="L4" s="15">
        <v>142</v>
      </c>
      <c r="M4" s="18">
        <f t="shared" ref="M4:M32" si="6">IFERROR(D4/L4,"-")</f>
        <v>7.0422535211267607E-3</v>
      </c>
      <c r="N4" s="15">
        <v>1</v>
      </c>
      <c r="O4" s="19">
        <f t="shared" ref="O4:P4" si="7">D4/7</f>
        <v>0.14285714285714285</v>
      </c>
      <c r="P4" s="19">
        <f t="shared" si="7"/>
        <v>0</v>
      </c>
      <c r="Q4" s="15">
        <f t="shared" ref="Q4:Q32" si="8">ROUNDDOWN(N4/(O4+P4),0)</f>
        <v>7</v>
      </c>
      <c r="R4" s="15"/>
      <c r="S4" s="20">
        <v>0.71871127633209397</v>
      </c>
      <c r="T4" s="2">
        <v>671</v>
      </c>
      <c r="U4" s="2">
        <v>225</v>
      </c>
      <c r="V4" s="21" t="s">
        <v>611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0.14887152777777779</v>
      </c>
      <c r="AD4" s="24">
        <f t="shared" ref="AD4:AD32" si="12">IFERROR(AB4*AC4*D4*2,0)</f>
        <v>-0.14291666666666666</v>
      </c>
      <c r="AE4" s="24">
        <v>-9.02</v>
      </c>
      <c r="AF4" s="24">
        <v>-3.3733848717948716</v>
      </c>
      <c r="AG4" s="24">
        <v>0</v>
      </c>
    </row>
    <row r="5" spans="1:33" ht="15.75" customHeight="1" x14ac:dyDescent="0.2">
      <c r="A5" s="26" t="s">
        <v>35</v>
      </c>
      <c r="B5" s="2" t="s">
        <v>610</v>
      </c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>
        <v>0.63547334058759497</v>
      </c>
      <c r="T5" s="26">
        <v>671</v>
      </c>
      <c r="U5" s="34">
        <v>225</v>
      </c>
      <c r="V5" s="35" t="s">
        <v>612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-3.3733848717948716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671</v>
      </c>
      <c r="U6" s="34">
        <v>225</v>
      </c>
      <c r="V6" s="49" t="s">
        <v>613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-3.3733848717948716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671</v>
      </c>
      <c r="U7" s="34">
        <v>225</v>
      </c>
      <c r="V7" s="49" t="s">
        <v>614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-3.3733848717948716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>
        <v>0.582694414019715</v>
      </c>
      <c r="T8" s="26">
        <v>446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-3.37</v>
      </c>
      <c r="AG8" s="37">
        <v>0</v>
      </c>
    </row>
    <row r="9" spans="1:33" ht="15.75" customHeight="1" x14ac:dyDescent="0.2">
      <c r="A9" s="26" t="s">
        <v>45</v>
      </c>
      <c r="B9" s="26" t="s">
        <v>615</v>
      </c>
      <c r="C9" s="14">
        <f t="shared" si="4"/>
        <v>18.149999999999988</v>
      </c>
      <c r="D9" s="27">
        <v>48</v>
      </c>
      <c r="E9" s="27">
        <v>0</v>
      </c>
      <c r="F9" s="28">
        <v>871.19999999999936</v>
      </c>
      <c r="G9" s="28">
        <v>0</v>
      </c>
      <c r="H9" s="29">
        <f t="shared" si="1"/>
        <v>0</v>
      </c>
      <c r="I9" s="29">
        <f t="shared" si="2"/>
        <v>0.34895233453415275</v>
      </c>
      <c r="J9" s="30">
        <f t="shared" si="5"/>
        <v>304.00727384615368</v>
      </c>
      <c r="K9" s="30">
        <f t="shared" si="3"/>
        <v>6.3334848717948686</v>
      </c>
      <c r="L9" s="27">
        <v>203</v>
      </c>
      <c r="M9" s="31">
        <f t="shared" si="6"/>
        <v>0.23645320197044334</v>
      </c>
      <c r="N9" s="27">
        <v>187</v>
      </c>
      <c r="O9" s="32">
        <f t="shared" ref="O9:P9" si="17">D9/7</f>
        <v>6.8571428571428568</v>
      </c>
      <c r="P9" s="32">
        <f t="shared" si="17"/>
        <v>0</v>
      </c>
      <c r="Q9" s="27">
        <f t="shared" si="8"/>
        <v>27</v>
      </c>
      <c r="R9" s="27"/>
      <c r="S9" s="33">
        <v>0.48366013071895397</v>
      </c>
      <c r="T9" s="26">
        <v>446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0.11900000000000001</v>
      </c>
      <c r="AD9" s="37">
        <f t="shared" si="12"/>
        <v>-7.8825599999999998</v>
      </c>
      <c r="AE9" s="37">
        <v>-5.42</v>
      </c>
      <c r="AF9" s="37">
        <v>-3.5097951282051199</v>
      </c>
      <c r="AG9" s="37">
        <v>0</v>
      </c>
    </row>
    <row r="10" spans="1:33" ht="15.75" customHeight="1" x14ac:dyDescent="0.2">
      <c r="A10" s="26" t="s">
        <v>48</v>
      </c>
      <c r="B10" s="26" t="s">
        <v>616</v>
      </c>
      <c r="C10" s="14">
        <f t="shared" si="4"/>
        <v>18.05866666666666</v>
      </c>
      <c r="D10" s="27">
        <v>30</v>
      </c>
      <c r="E10" s="27">
        <v>0</v>
      </c>
      <c r="F10" s="28">
        <v>541.75999999999976</v>
      </c>
      <c r="G10" s="28">
        <v>0</v>
      </c>
      <c r="H10" s="29">
        <f t="shared" si="1"/>
        <v>0</v>
      </c>
      <c r="I10" s="29">
        <f t="shared" si="2"/>
        <v>0.34641824083329575</v>
      </c>
      <c r="J10" s="30">
        <f t="shared" si="5"/>
        <v>187.67554615384623</v>
      </c>
      <c r="K10" s="30">
        <f t="shared" si="3"/>
        <v>6.255851538461541</v>
      </c>
      <c r="L10" s="27">
        <v>266</v>
      </c>
      <c r="M10" s="31">
        <f t="shared" si="6"/>
        <v>0.11278195488721804</v>
      </c>
      <c r="N10" s="27">
        <v>149</v>
      </c>
      <c r="O10" s="32">
        <f t="shared" ref="O10:P10" si="18">D10/7</f>
        <v>4.2857142857142856</v>
      </c>
      <c r="P10" s="32">
        <f t="shared" si="18"/>
        <v>0</v>
      </c>
      <c r="Q10" s="27">
        <f t="shared" si="8"/>
        <v>34</v>
      </c>
      <c r="R10" s="27"/>
      <c r="S10" s="33">
        <v>0.55160450997398003</v>
      </c>
      <c r="T10" s="26">
        <v>446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0.11900000000000001</v>
      </c>
      <c r="AD10" s="37">
        <f t="shared" si="12"/>
        <v>-4.9266000000000005</v>
      </c>
      <c r="AE10" s="37">
        <v>-5.42</v>
      </c>
      <c r="AF10" s="37">
        <v>-3.5097951282051199</v>
      </c>
      <c r="AG10" s="37">
        <v>0</v>
      </c>
    </row>
    <row r="11" spans="1:33" ht="15.75" customHeight="1" x14ac:dyDescent="0.2">
      <c r="A11" s="26" t="s">
        <v>50</v>
      </c>
      <c r="B11" s="26" t="s">
        <v>616</v>
      </c>
      <c r="C11" s="14">
        <f t="shared" si="4"/>
        <v>20.99</v>
      </c>
      <c r="D11" s="27">
        <v>1</v>
      </c>
      <c r="E11" s="27">
        <v>0</v>
      </c>
      <c r="F11" s="28">
        <v>20.99</v>
      </c>
      <c r="G11" s="28">
        <v>0</v>
      </c>
      <c r="H11" s="29">
        <f t="shared" si="1"/>
        <v>0</v>
      </c>
      <c r="I11" s="29">
        <f t="shared" si="2"/>
        <v>0.41674534882300529</v>
      </c>
      <c r="J11" s="30">
        <f t="shared" si="5"/>
        <v>8.7474848717948799</v>
      </c>
      <c r="K11" s="30">
        <f t="shared" si="3"/>
        <v>8.7474848717948799</v>
      </c>
      <c r="L11" s="27">
        <v>0</v>
      </c>
      <c r="M11" s="31" t="str">
        <f t="shared" si="6"/>
        <v>-</v>
      </c>
      <c r="N11" s="27">
        <v>147</v>
      </c>
      <c r="O11" s="32">
        <f t="shared" ref="O11:P11" si="19">D11/7</f>
        <v>0.14285714285714285</v>
      </c>
      <c r="P11" s="32">
        <f t="shared" si="19"/>
        <v>0</v>
      </c>
      <c r="Q11" s="27">
        <f t="shared" si="8"/>
        <v>1029</v>
      </c>
      <c r="R11" s="27"/>
      <c r="S11" s="33" t="e">
        <v>#N/A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0.11900000000000001</v>
      </c>
      <c r="AD11" s="37">
        <f t="shared" si="12"/>
        <v>-0.16422</v>
      </c>
      <c r="AE11" s="37">
        <v>-5.42</v>
      </c>
      <c r="AF11" s="37">
        <v>-3.5097951282051199</v>
      </c>
      <c r="AG11" s="37">
        <v>0</v>
      </c>
    </row>
    <row r="12" spans="1:33" ht="15.75" customHeight="1" x14ac:dyDescent="0.2">
      <c r="A12" s="26" t="s">
        <v>52</v>
      </c>
      <c r="B12" s="26" t="s">
        <v>616</v>
      </c>
      <c r="C12" s="14">
        <f t="shared" si="4"/>
        <v>20.99</v>
      </c>
      <c r="D12" s="27">
        <v>1</v>
      </c>
      <c r="E12" s="27">
        <v>0</v>
      </c>
      <c r="F12" s="28">
        <v>20.99</v>
      </c>
      <c r="G12" s="28">
        <v>0</v>
      </c>
      <c r="H12" s="29">
        <f t="shared" si="1"/>
        <v>0</v>
      </c>
      <c r="I12" s="29">
        <f t="shared" si="2"/>
        <v>0.41674534882300529</v>
      </c>
      <c r="J12" s="30">
        <f t="shared" si="5"/>
        <v>8.7474848717948799</v>
      </c>
      <c r="K12" s="30">
        <f t="shared" si="3"/>
        <v>8.7474848717948799</v>
      </c>
      <c r="L12" s="27">
        <v>186</v>
      </c>
      <c r="M12" s="31">
        <f t="shared" si="6"/>
        <v>5.3763440860215058E-3</v>
      </c>
      <c r="N12" s="27">
        <v>0</v>
      </c>
      <c r="O12" s="32">
        <f t="shared" ref="O12:P12" si="20">D12/7</f>
        <v>0.14285714285714285</v>
      </c>
      <c r="P12" s="32">
        <f t="shared" si="20"/>
        <v>0</v>
      </c>
      <c r="Q12" s="27">
        <f t="shared" si="8"/>
        <v>0</v>
      </c>
      <c r="R12" s="27"/>
      <c r="S12" s="33">
        <v>0.52133794694348301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0.11900000000000001</v>
      </c>
      <c r="AD12" s="37">
        <f t="shared" si="12"/>
        <v>-0.16422</v>
      </c>
      <c r="AE12" s="37">
        <v>-5.42</v>
      </c>
      <c r="AF12" s="37">
        <v>-3.5097951282051199</v>
      </c>
      <c r="AG12" s="37">
        <v>0</v>
      </c>
    </row>
    <row r="13" spans="1:33" ht="15.75" customHeight="1" x14ac:dyDescent="0.2">
      <c r="A13" s="26" t="s">
        <v>54</v>
      </c>
      <c r="B13" s="26" t="s">
        <v>616</v>
      </c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1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>
        <v>0.49065420560747602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0.11900000000000001</v>
      </c>
      <c r="AD13" s="37">
        <f t="shared" si="12"/>
        <v>0</v>
      </c>
      <c r="AE13" s="37">
        <v>-5.42</v>
      </c>
      <c r="AF13" s="37">
        <v>-3.5815899999999998</v>
      </c>
      <c r="AG13" s="37">
        <v>0</v>
      </c>
    </row>
    <row r="14" spans="1:33" ht="15.75" customHeight="1" x14ac:dyDescent="0.2">
      <c r="A14" s="26" t="s">
        <v>56</v>
      </c>
      <c r="B14" s="26" t="s">
        <v>617</v>
      </c>
      <c r="C14" s="14">
        <f t="shared" si="4"/>
        <v>20.99</v>
      </c>
      <c r="D14" s="27">
        <v>2</v>
      </c>
      <c r="E14" s="27">
        <v>92</v>
      </c>
      <c r="F14" s="30">
        <v>41.98</v>
      </c>
      <c r="G14" s="28">
        <v>0</v>
      </c>
      <c r="H14" s="29">
        <f t="shared" si="1"/>
        <v>0</v>
      </c>
      <c r="I14" s="29">
        <f t="shared" si="2"/>
        <v>0.41332491662696524</v>
      </c>
      <c r="J14" s="30">
        <f t="shared" si="5"/>
        <v>17.351379999999999</v>
      </c>
      <c r="K14" s="30">
        <f t="shared" si="3"/>
        <v>8.6756899999999995</v>
      </c>
      <c r="L14" s="27">
        <v>174</v>
      </c>
      <c r="M14" s="31">
        <f t="shared" si="6"/>
        <v>1.1494252873563218E-2</v>
      </c>
      <c r="N14" s="27">
        <v>0</v>
      </c>
      <c r="O14" s="32">
        <f t="shared" ref="O14:P14" si="22">D14/7</f>
        <v>0.2857142857142857</v>
      </c>
      <c r="P14" s="32">
        <f t="shared" si="22"/>
        <v>13.142857142857142</v>
      </c>
      <c r="Q14" s="27">
        <f t="shared" si="8"/>
        <v>0</v>
      </c>
      <c r="R14" s="27"/>
      <c r="S14" s="33">
        <v>0.36363636363636298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0.11900000000000001</v>
      </c>
      <c r="AD14" s="37">
        <f t="shared" si="12"/>
        <v>-0.32844000000000001</v>
      </c>
      <c r="AE14" s="37">
        <v>-5.42</v>
      </c>
      <c r="AF14" s="37">
        <v>-3.5815899999999998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>
        <v>0.39033457249070602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-3.5815899999999998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-3.5815899999999998</v>
      </c>
      <c r="AG16" s="37">
        <v>0</v>
      </c>
    </row>
    <row r="17" spans="1:33" ht="15.75" customHeight="1" x14ac:dyDescent="0.2">
      <c r="A17" s="26" t="s">
        <v>61</v>
      </c>
      <c r="B17" s="26" t="s">
        <v>46</v>
      </c>
      <c r="C17" s="14">
        <f t="shared" si="4"/>
        <v>20.99</v>
      </c>
      <c r="D17" s="27">
        <v>2</v>
      </c>
      <c r="E17" s="27">
        <v>1</v>
      </c>
      <c r="F17" s="30">
        <v>41.98</v>
      </c>
      <c r="G17" s="28">
        <v>0</v>
      </c>
      <c r="H17" s="29">
        <f t="shared" si="1"/>
        <v>0</v>
      </c>
      <c r="I17" s="29">
        <f t="shared" si="2"/>
        <v>0.41332491662696524</v>
      </c>
      <c r="J17" s="30">
        <f t="shared" si="5"/>
        <v>17.351379999999999</v>
      </c>
      <c r="K17" s="30">
        <f t="shared" si="3"/>
        <v>8.6756899999999995</v>
      </c>
      <c r="L17" s="27">
        <v>127</v>
      </c>
      <c r="M17" s="31">
        <f t="shared" si="6"/>
        <v>1.5748031496062992E-2</v>
      </c>
      <c r="N17" s="27">
        <v>13</v>
      </c>
      <c r="O17" s="32">
        <f t="shared" ref="O17:P17" si="25">D17/7</f>
        <v>0.2857142857142857</v>
      </c>
      <c r="P17" s="32">
        <f t="shared" si="25"/>
        <v>0.14285714285714285</v>
      </c>
      <c r="Q17" s="27">
        <f t="shared" si="8"/>
        <v>30</v>
      </c>
      <c r="R17" s="27"/>
      <c r="S17" s="33">
        <v>0.40117994100294901</v>
      </c>
      <c r="T17" s="26">
        <v>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0.11900000000000001</v>
      </c>
      <c r="AD17" s="37">
        <f t="shared" si="12"/>
        <v>-0.32844000000000001</v>
      </c>
      <c r="AE17" s="37">
        <v>-5.42</v>
      </c>
      <c r="AF17" s="37">
        <v>-3.5815899999999998</v>
      </c>
      <c r="AG17" s="37">
        <v>0</v>
      </c>
    </row>
    <row r="18" spans="1:33" ht="15.75" customHeight="1" x14ac:dyDescent="0.2">
      <c r="A18" s="26" t="s">
        <v>62</v>
      </c>
      <c r="B18" s="26" t="s">
        <v>46</v>
      </c>
      <c r="C18" s="14">
        <f t="shared" si="4"/>
        <v>20.990000000000006</v>
      </c>
      <c r="D18" s="27">
        <v>22</v>
      </c>
      <c r="E18" s="27">
        <v>0</v>
      </c>
      <c r="F18" s="30">
        <v>461.78000000000009</v>
      </c>
      <c r="G18" s="28">
        <v>0</v>
      </c>
      <c r="H18" s="29">
        <f t="shared" si="1"/>
        <v>0</v>
      </c>
      <c r="I18" s="29">
        <f t="shared" si="2"/>
        <v>0.4133249166269653</v>
      </c>
      <c r="J18" s="30">
        <f t="shared" si="5"/>
        <v>190.86518000000007</v>
      </c>
      <c r="K18" s="30">
        <f t="shared" si="3"/>
        <v>8.675690000000003</v>
      </c>
      <c r="L18" s="27">
        <v>176</v>
      </c>
      <c r="M18" s="31">
        <f t="shared" si="6"/>
        <v>0.125</v>
      </c>
      <c r="N18" s="27">
        <v>7</v>
      </c>
      <c r="O18" s="32">
        <f t="shared" ref="O18:P18" si="26">D18/7</f>
        <v>3.1428571428571428</v>
      </c>
      <c r="P18" s="32">
        <f t="shared" si="26"/>
        <v>0</v>
      </c>
      <c r="Q18" s="27">
        <f t="shared" si="8"/>
        <v>2</v>
      </c>
      <c r="R18" s="27"/>
      <c r="S18" s="33">
        <v>0.51804670912951101</v>
      </c>
      <c r="T18" s="26">
        <v>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0.11900000000000001</v>
      </c>
      <c r="AD18" s="37">
        <f t="shared" si="12"/>
        <v>-3.6128400000000003</v>
      </c>
      <c r="AE18" s="37">
        <v>-5.42</v>
      </c>
      <c r="AF18" s="37">
        <v>-3.5815899999999998</v>
      </c>
      <c r="AG18" s="37">
        <v>0</v>
      </c>
    </row>
    <row r="19" spans="1:33" ht="15.75" customHeight="1" x14ac:dyDescent="0.2">
      <c r="A19" s="26" t="s">
        <v>64</v>
      </c>
      <c r="B19" s="26" t="s">
        <v>76</v>
      </c>
      <c r="C19" s="14">
        <f t="shared" si="4"/>
        <v>13.993333333333332</v>
      </c>
      <c r="D19" s="27">
        <v>6</v>
      </c>
      <c r="E19" s="27">
        <v>0</v>
      </c>
      <c r="F19" s="30">
        <v>83.96</v>
      </c>
      <c r="G19" s="28">
        <v>0</v>
      </c>
      <c r="H19" s="29">
        <f t="shared" si="1"/>
        <v>0</v>
      </c>
      <c r="I19" s="29">
        <f t="shared" si="2"/>
        <v>0.19498737494044791</v>
      </c>
      <c r="J19" s="30">
        <f t="shared" si="5"/>
        <v>16.371140000000004</v>
      </c>
      <c r="K19" s="30">
        <f t="shared" si="3"/>
        <v>2.7285233333333339</v>
      </c>
      <c r="L19" s="27">
        <v>182</v>
      </c>
      <c r="M19" s="31">
        <f t="shared" si="6"/>
        <v>3.2967032967032968E-2</v>
      </c>
      <c r="N19" s="27">
        <v>3</v>
      </c>
      <c r="O19" s="32">
        <f t="shared" ref="O19:P19" si="27">D19/7</f>
        <v>0.8571428571428571</v>
      </c>
      <c r="P19" s="32">
        <f t="shared" si="27"/>
        <v>0</v>
      </c>
      <c r="Q19" s="27">
        <f t="shared" si="8"/>
        <v>3</v>
      </c>
      <c r="R19" s="27"/>
      <c r="S19" s="33">
        <v>0.57674418604651101</v>
      </c>
      <c r="T19" s="26">
        <v>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0.11900000000000001</v>
      </c>
      <c r="AD19" s="37">
        <f t="shared" si="12"/>
        <v>-0.98531999999999997</v>
      </c>
      <c r="AE19" s="37">
        <v>-5.42</v>
      </c>
      <c r="AF19" s="37">
        <v>-3.5815899999999998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e">
        <v>#N/A</v>
      </c>
      <c r="AB20" s="38" t="e">
        <f t="shared" si="11"/>
        <v>#N/A</v>
      </c>
      <c r="AC20" s="39" t="e">
        <v>#N/A</v>
      </c>
      <c r="AD20" s="37">
        <f t="shared" si="12"/>
        <v>0</v>
      </c>
      <c r="AE20" s="37">
        <v>0</v>
      </c>
      <c r="AF20" s="37">
        <v>-3.5815899999999998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e">
        <v>#N/A</v>
      </c>
      <c r="AB21" s="38" t="e">
        <f t="shared" si="11"/>
        <v>#N/A</v>
      </c>
      <c r="AC21" s="39" t="e">
        <v>#N/A</v>
      </c>
      <c r="AD21" s="37">
        <f t="shared" si="12"/>
        <v>0</v>
      </c>
      <c r="AE21" s="37">
        <v>0</v>
      </c>
      <c r="AF21" s="37">
        <v>-3.5815899999999998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e">
        <v>#N/A</v>
      </c>
      <c r="AB22" s="38" t="e">
        <f t="shared" si="11"/>
        <v>#N/A</v>
      </c>
      <c r="AC22" s="39" t="e">
        <v>#N/A</v>
      </c>
      <c r="AD22" s="37">
        <f t="shared" si="12"/>
        <v>0</v>
      </c>
      <c r="AE22" s="37">
        <v>0</v>
      </c>
      <c r="AF22" s="37">
        <v>-3.5815899999999998</v>
      </c>
      <c r="AG22" s="37">
        <v>0</v>
      </c>
    </row>
    <row r="23" spans="1:33" ht="15.75" customHeight="1" x14ac:dyDescent="0.2">
      <c r="A23" s="26" t="s">
        <v>68</v>
      </c>
      <c r="B23" s="26" t="s">
        <v>618</v>
      </c>
      <c r="C23" s="14">
        <f t="shared" si="4"/>
        <v>20.99</v>
      </c>
      <c r="D23" s="27">
        <v>3</v>
      </c>
      <c r="E23" s="27">
        <v>0</v>
      </c>
      <c r="F23" s="30">
        <v>62.97</v>
      </c>
      <c r="G23" s="28">
        <v>0</v>
      </c>
      <c r="H23" s="29">
        <f t="shared" si="1"/>
        <v>0</v>
      </c>
      <c r="I23" s="29">
        <f t="shared" si="2"/>
        <v>0.41332491662696524</v>
      </c>
      <c r="J23" s="30">
        <f t="shared" si="5"/>
        <v>26.027070000000002</v>
      </c>
      <c r="K23" s="30">
        <f t="shared" si="3"/>
        <v>8.6756900000000012</v>
      </c>
      <c r="L23" s="27">
        <v>9</v>
      </c>
      <c r="M23" s="31">
        <f t="shared" si="6"/>
        <v>0.33333333333333331</v>
      </c>
      <c r="N23" s="27">
        <v>144</v>
      </c>
      <c r="O23" s="32">
        <f t="shared" ref="O23:P23" si="31">D23/7</f>
        <v>0.42857142857142855</v>
      </c>
      <c r="P23" s="32">
        <f t="shared" si="31"/>
        <v>0</v>
      </c>
      <c r="Q23" s="27">
        <f t="shared" si="8"/>
        <v>336</v>
      </c>
      <c r="R23" s="27"/>
      <c r="S23" s="33" t="e">
        <v>#N/A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0.11900000000000001</v>
      </c>
      <c r="AD23" s="37">
        <f t="shared" si="12"/>
        <v>-0.49265999999999999</v>
      </c>
      <c r="AE23" s="37">
        <v>-5.42</v>
      </c>
      <c r="AF23" s="37">
        <v>-3.5815899999999998</v>
      </c>
      <c r="AG23" s="37">
        <v>0</v>
      </c>
    </row>
    <row r="24" spans="1:33" ht="15.75" customHeight="1" x14ac:dyDescent="0.2">
      <c r="A24" s="26" t="s">
        <v>71</v>
      </c>
      <c r="B24" s="26" t="s">
        <v>619</v>
      </c>
      <c r="C24" s="14">
        <f t="shared" si="4"/>
        <v>18.458750000000002</v>
      </c>
      <c r="D24" s="27">
        <v>32</v>
      </c>
      <c r="E24" s="27">
        <v>0</v>
      </c>
      <c r="F24" s="30">
        <v>590.68000000000006</v>
      </c>
      <c r="G24" s="30">
        <v>-2.4500000000000002</v>
      </c>
      <c r="H24" s="29">
        <f t="shared" si="1"/>
        <v>4.147761901537211E-3</v>
      </c>
      <c r="I24" s="29">
        <f t="shared" si="2"/>
        <v>0.34929586239588273</v>
      </c>
      <c r="J24" s="30">
        <f t="shared" si="5"/>
        <v>206.32208000000003</v>
      </c>
      <c r="K24" s="30">
        <f t="shared" si="3"/>
        <v>6.4475650000000009</v>
      </c>
      <c r="L24" s="27">
        <v>52</v>
      </c>
      <c r="M24" s="31">
        <f t="shared" si="6"/>
        <v>0.61538461538461542</v>
      </c>
      <c r="N24" s="27">
        <v>117</v>
      </c>
      <c r="O24" s="32">
        <f t="shared" ref="O24:P24" si="32">D24/7</f>
        <v>4.5714285714285712</v>
      </c>
      <c r="P24" s="32">
        <f t="shared" si="32"/>
        <v>0</v>
      </c>
      <c r="Q24" s="27">
        <f t="shared" si="8"/>
        <v>25</v>
      </c>
      <c r="R24" s="27"/>
      <c r="S24" s="33">
        <v>0.28816466552315601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0.11900000000000001</v>
      </c>
      <c r="AD24" s="37">
        <f t="shared" si="12"/>
        <v>-5.2550400000000002</v>
      </c>
      <c r="AE24" s="37">
        <v>-5.42</v>
      </c>
      <c r="AF24" s="37">
        <v>-3.5815899999999998</v>
      </c>
      <c r="AG24" s="37">
        <v>0</v>
      </c>
    </row>
    <row r="25" spans="1:33" ht="15.75" customHeight="1" x14ac:dyDescent="0.2">
      <c r="A25" s="40" t="s">
        <v>73</v>
      </c>
      <c r="B25" s="40" t="s">
        <v>620</v>
      </c>
      <c r="C25" s="14">
        <f t="shared" si="4"/>
        <v>20.99</v>
      </c>
      <c r="D25" s="15">
        <v>6</v>
      </c>
      <c r="E25" s="15">
        <v>1</v>
      </c>
      <c r="F25" s="16">
        <v>125.94</v>
      </c>
      <c r="G25" s="16">
        <v>-0.27</v>
      </c>
      <c r="H25" s="29">
        <f t="shared" si="1"/>
        <v>2.1438780371605529E-3</v>
      </c>
      <c r="I25" s="29">
        <f t="shared" si="2"/>
        <v>0.41125678894711765</v>
      </c>
      <c r="J25" s="30">
        <f t="shared" si="5"/>
        <v>51.793679999999995</v>
      </c>
      <c r="K25" s="30">
        <f t="shared" si="3"/>
        <v>8.6322799999999997</v>
      </c>
      <c r="L25" s="15">
        <v>50</v>
      </c>
      <c r="M25" s="31">
        <f t="shared" si="6"/>
        <v>0.12</v>
      </c>
      <c r="N25" s="15">
        <v>100</v>
      </c>
      <c r="O25" s="32">
        <f t="shared" ref="O25:P25" si="33">D25/7</f>
        <v>0.8571428571428571</v>
      </c>
      <c r="P25" s="32">
        <f t="shared" si="33"/>
        <v>0.14285714285714285</v>
      </c>
      <c r="Q25" s="27">
        <f t="shared" si="8"/>
        <v>100</v>
      </c>
      <c r="R25" s="27"/>
      <c r="S25" s="41">
        <v>0.64175824175824181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0.11900000000000001</v>
      </c>
      <c r="AD25" s="37">
        <f t="shared" si="12"/>
        <v>-0.98531999999999997</v>
      </c>
      <c r="AE25" s="42">
        <v>-5.42</v>
      </c>
      <c r="AF25" s="42">
        <v>-3.58</v>
      </c>
      <c r="AG25" s="42">
        <v>0</v>
      </c>
    </row>
    <row r="26" spans="1:33" ht="15.75" customHeight="1" x14ac:dyDescent="0.2">
      <c r="A26" s="40" t="s">
        <v>75</v>
      </c>
      <c r="B26" s="40" t="s">
        <v>53</v>
      </c>
      <c r="C26" s="14">
        <f t="shared" si="4"/>
        <v>20.72625</v>
      </c>
      <c r="D26" s="15">
        <v>8</v>
      </c>
      <c r="E26" s="15">
        <v>6</v>
      </c>
      <c r="F26" s="16">
        <v>165.81</v>
      </c>
      <c r="G26" s="16">
        <v>-2.46</v>
      </c>
      <c r="H26" s="29">
        <f t="shared" si="1"/>
        <v>1.4836258368011579E-2</v>
      </c>
      <c r="I26" s="29">
        <f t="shared" si="2"/>
        <v>0.41560834690308174</v>
      </c>
      <c r="J26" s="30">
        <f t="shared" si="5"/>
        <v>68.912019999999984</v>
      </c>
      <c r="K26" s="30">
        <f t="shared" si="3"/>
        <v>8.614002499999998</v>
      </c>
      <c r="L26" s="15">
        <v>31</v>
      </c>
      <c r="M26" s="31">
        <f t="shared" si="6"/>
        <v>0.25806451612903225</v>
      </c>
      <c r="N26" s="15">
        <v>89</v>
      </c>
      <c r="O26" s="32">
        <f t="shared" ref="O26:P26" si="34">D26/7</f>
        <v>1.1428571428571428</v>
      </c>
      <c r="P26" s="32">
        <f t="shared" si="34"/>
        <v>0.8571428571428571</v>
      </c>
      <c r="Q26" s="27">
        <f t="shared" si="8"/>
        <v>44</v>
      </c>
      <c r="R26" s="27"/>
      <c r="S26" s="41">
        <v>0.65684210526315789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0.11900000000000001</v>
      </c>
      <c r="AD26" s="37">
        <f t="shared" si="12"/>
        <v>-1.31376</v>
      </c>
      <c r="AE26" s="42">
        <v>-4.95</v>
      </c>
      <c r="AF26" s="42">
        <v>-3.5815899999999998</v>
      </c>
      <c r="AG26" s="42">
        <v>0</v>
      </c>
    </row>
    <row r="27" spans="1:33" ht="15.75" customHeight="1" x14ac:dyDescent="0.2">
      <c r="A27" s="40" t="s">
        <v>77</v>
      </c>
      <c r="B27" s="40" t="s">
        <v>621</v>
      </c>
      <c r="C27" s="14">
        <f t="shared" si="4"/>
        <v>17.989999999999998</v>
      </c>
      <c r="D27" s="15">
        <v>6</v>
      </c>
      <c r="E27" s="15">
        <v>2</v>
      </c>
      <c r="F27" s="16">
        <v>107.94</v>
      </c>
      <c r="G27" s="16">
        <v>-1.54</v>
      </c>
      <c r="H27" s="29">
        <f t="shared" si="1"/>
        <v>1.4267185473411156E-2</v>
      </c>
      <c r="I27" s="29">
        <f t="shared" si="2"/>
        <v>0.35236372058551041</v>
      </c>
      <c r="J27" s="30">
        <f t="shared" si="5"/>
        <v>38.034139999999994</v>
      </c>
      <c r="K27" s="30">
        <f t="shared" si="3"/>
        <v>6.3390233333333326</v>
      </c>
      <c r="L27" s="15">
        <v>40</v>
      </c>
      <c r="M27" s="31">
        <f t="shared" si="6"/>
        <v>0.15</v>
      </c>
      <c r="N27" s="15">
        <v>83</v>
      </c>
      <c r="O27" s="32">
        <f t="shared" ref="O27:P27" si="35">D27/7</f>
        <v>0.8571428571428571</v>
      </c>
      <c r="P27" s="32">
        <f t="shared" si="35"/>
        <v>0.2857142857142857</v>
      </c>
      <c r="Q27" s="27">
        <f t="shared" si="8"/>
        <v>72</v>
      </c>
      <c r="R27" s="27"/>
      <c r="S27" s="41">
        <v>0.78555304740406318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0.11900000000000001</v>
      </c>
      <c r="AD27" s="37">
        <f t="shared" si="12"/>
        <v>-0.98531999999999997</v>
      </c>
      <c r="AE27" s="42">
        <v>-4.95</v>
      </c>
      <c r="AF27" s="42">
        <v>-3.5815899999999998</v>
      </c>
      <c r="AG27" s="42">
        <v>0</v>
      </c>
    </row>
    <row r="28" spans="1:33" ht="15.75" customHeight="1" x14ac:dyDescent="0.2">
      <c r="A28" s="40" t="s">
        <v>79</v>
      </c>
      <c r="B28" s="40" t="s">
        <v>622</v>
      </c>
      <c r="C28" s="14">
        <f t="shared" si="4"/>
        <v>17.989999999999998</v>
      </c>
      <c r="D28" s="15">
        <v>2</v>
      </c>
      <c r="E28" s="15">
        <v>2</v>
      </c>
      <c r="F28" s="16">
        <v>35.979999999999997</v>
      </c>
      <c r="G28" s="16">
        <v>-0.57000000000000006</v>
      </c>
      <c r="H28" s="29">
        <f t="shared" si="1"/>
        <v>1.5842134519177323E-2</v>
      </c>
      <c r="I28" s="29">
        <f t="shared" si="2"/>
        <v>0.35078877153974414</v>
      </c>
      <c r="J28" s="30">
        <f t="shared" si="5"/>
        <v>12.621379999999993</v>
      </c>
      <c r="K28" s="30">
        <f t="shared" si="3"/>
        <v>6.3106899999999966</v>
      </c>
      <c r="L28" s="15">
        <v>26</v>
      </c>
      <c r="M28" s="31">
        <f t="shared" si="6"/>
        <v>7.6923076923076927E-2</v>
      </c>
      <c r="N28" s="15">
        <v>74</v>
      </c>
      <c r="O28" s="32">
        <f t="shared" ref="O28:P28" si="36">D28/7</f>
        <v>0.2857142857142857</v>
      </c>
      <c r="P28" s="32">
        <f t="shared" si="36"/>
        <v>0.2857142857142857</v>
      </c>
      <c r="Q28" s="27">
        <f t="shared" si="8"/>
        <v>129</v>
      </c>
      <c r="R28" s="27"/>
      <c r="S28" s="41">
        <v>0.90780141843971629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0.11900000000000001</v>
      </c>
      <c r="AD28" s="37">
        <f t="shared" si="12"/>
        <v>-0.32844000000000001</v>
      </c>
      <c r="AE28" s="42">
        <v>-4.95</v>
      </c>
      <c r="AF28" s="42">
        <v>-3.5815899999999998</v>
      </c>
      <c r="AG28" s="42">
        <v>0</v>
      </c>
    </row>
    <row r="29" spans="1:33" ht="15.75" customHeight="1" x14ac:dyDescent="0.2">
      <c r="A29" s="26" t="s">
        <v>82</v>
      </c>
      <c r="B29" s="26" t="s">
        <v>623</v>
      </c>
      <c r="C29" s="14">
        <f t="shared" si="4"/>
        <v>17.989999999999998</v>
      </c>
      <c r="D29" s="27">
        <v>9</v>
      </c>
      <c r="E29" s="27">
        <v>1</v>
      </c>
      <c r="F29" s="30">
        <v>161.91</v>
      </c>
      <c r="G29" s="30">
        <v>-1.4</v>
      </c>
      <c r="H29" s="29">
        <f t="shared" si="1"/>
        <v>8.6467790747946378E-3</v>
      </c>
      <c r="I29" s="29">
        <f t="shared" si="2"/>
        <v>0.35798412698412702</v>
      </c>
      <c r="J29" s="30">
        <f t="shared" si="5"/>
        <v>57.961210000000001</v>
      </c>
      <c r="K29" s="30">
        <f t="shared" si="3"/>
        <v>6.4401344444444444</v>
      </c>
      <c r="L29" s="27">
        <v>67</v>
      </c>
      <c r="M29" s="31">
        <f t="shared" si="6"/>
        <v>0.13432835820895522</v>
      </c>
      <c r="N29" s="15">
        <v>65</v>
      </c>
      <c r="O29" s="32">
        <f t="shared" ref="O29:P29" si="37">D29/7</f>
        <v>1.2857142857142858</v>
      </c>
      <c r="P29" s="32">
        <f t="shared" si="37"/>
        <v>0.14285714285714285</v>
      </c>
      <c r="Q29" s="27">
        <f t="shared" si="8"/>
        <v>45</v>
      </c>
      <c r="R29" s="27"/>
      <c r="S29" s="41">
        <v>1.468531468531469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0.11900000000000001</v>
      </c>
      <c r="AD29" s="37">
        <f t="shared" si="12"/>
        <v>-1.4779800000000001</v>
      </c>
      <c r="AE29" s="37">
        <v>-4.95</v>
      </c>
      <c r="AF29" s="42">
        <v>-3.5815899999999998</v>
      </c>
      <c r="AG29" s="37">
        <v>0</v>
      </c>
    </row>
    <row r="30" spans="1:33" ht="15.75" customHeight="1" x14ac:dyDescent="0.2">
      <c r="A30" s="40" t="s">
        <v>84</v>
      </c>
      <c r="B30" s="40" t="s">
        <v>624</v>
      </c>
      <c r="C30" s="14">
        <f t="shared" si="4"/>
        <v>17.989999999999998</v>
      </c>
      <c r="D30" s="15">
        <v>8</v>
      </c>
      <c r="E30" s="15">
        <v>0</v>
      </c>
      <c r="F30" s="16">
        <v>143.91999999999999</v>
      </c>
      <c r="G30" s="16">
        <v>-1.35</v>
      </c>
      <c r="H30" s="29">
        <f t="shared" si="1"/>
        <v>9.3802112284602571E-3</v>
      </c>
      <c r="I30" s="29">
        <f t="shared" si="2"/>
        <v>0.3655908637131739</v>
      </c>
      <c r="J30" s="30">
        <f t="shared" si="5"/>
        <v>52.615837105599987</v>
      </c>
      <c r="K30" s="30">
        <f t="shared" si="3"/>
        <v>6.5769796381999983</v>
      </c>
      <c r="L30" s="15">
        <v>71</v>
      </c>
      <c r="M30" s="31">
        <f t="shared" si="6"/>
        <v>0.11267605633802817</v>
      </c>
      <c r="N30" s="15">
        <v>61</v>
      </c>
      <c r="O30" s="32">
        <f t="shared" ref="O30:P30" si="38">D30/7</f>
        <v>1.1428571428571428</v>
      </c>
      <c r="P30" s="32">
        <f t="shared" si="38"/>
        <v>0</v>
      </c>
      <c r="Q30" s="27">
        <f t="shared" si="8"/>
        <v>53</v>
      </c>
      <c r="R30" s="27"/>
      <c r="S30" s="41">
        <v>1.460750853242321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0.11900000000000001</v>
      </c>
      <c r="AD30" s="37">
        <f t="shared" si="12"/>
        <v>-1.31376</v>
      </c>
      <c r="AE30" s="42">
        <v>-4.95</v>
      </c>
      <c r="AF30" s="42">
        <v>-3.4315503617999998</v>
      </c>
      <c r="AG30" s="42">
        <v>0</v>
      </c>
    </row>
    <row r="31" spans="1:33" ht="15.75" customHeight="1" x14ac:dyDescent="0.2">
      <c r="A31" s="40" t="s">
        <v>87</v>
      </c>
      <c r="B31" s="40" t="s">
        <v>53</v>
      </c>
      <c r="C31" s="14">
        <f t="shared" si="4"/>
        <v>17.393636363636364</v>
      </c>
      <c r="D31" s="15">
        <v>11</v>
      </c>
      <c r="E31" s="15">
        <v>0</v>
      </c>
      <c r="F31" s="16">
        <v>191.33</v>
      </c>
      <c r="G31" s="43">
        <v>-1.49</v>
      </c>
      <c r="H31" s="29">
        <f t="shared" si="1"/>
        <v>7.7875921183295869E-3</v>
      </c>
      <c r="I31" s="29">
        <f t="shared" si="2"/>
        <v>0.35089649307583753</v>
      </c>
      <c r="J31" s="30">
        <f t="shared" si="5"/>
        <v>67.137026020199997</v>
      </c>
      <c r="K31" s="30">
        <f t="shared" si="3"/>
        <v>6.1033660018363634</v>
      </c>
      <c r="L31" s="15">
        <v>94</v>
      </c>
      <c r="M31" s="31">
        <f t="shared" si="6"/>
        <v>0.11702127659574468</v>
      </c>
      <c r="N31" s="15">
        <v>48</v>
      </c>
      <c r="O31" s="32">
        <f t="shared" ref="O31:P31" si="39">D31/7</f>
        <v>1.5714285714285714</v>
      </c>
      <c r="P31" s="32">
        <f t="shared" si="39"/>
        <v>0</v>
      </c>
      <c r="Q31" s="27">
        <f t="shared" si="8"/>
        <v>30</v>
      </c>
      <c r="R31" s="27"/>
      <c r="S31" s="41">
        <v>1.5627240143369101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0.11900000000000001</v>
      </c>
      <c r="AD31" s="37">
        <f t="shared" si="12"/>
        <v>-1.8064200000000001</v>
      </c>
      <c r="AE31" s="45">
        <v>-4.95</v>
      </c>
      <c r="AF31" s="45">
        <v>-3.4315503617999998</v>
      </c>
      <c r="AG31" s="42">
        <v>0</v>
      </c>
    </row>
    <row r="32" spans="1:33" ht="15.75" customHeight="1" x14ac:dyDescent="0.2">
      <c r="A32" s="40" t="s">
        <v>90</v>
      </c>
      <c r="B32" s="50" t="s">
        <v>625</v>
      </c>
      <c r="C32" s="14">
        <f t="shared" si="4"/>
        <v>16.989999999999998</v>
      </c>
      <c r="D32" s="15">
        <v>12</v>
      </c>
      <c r="E32" s="15">
        <v>0</v>
      </c>
      <c r="F32" s="16">
        <v>203.88</v>
      </c>
      <c r="G32" s="16">
        <v>-1.91</v>
      </c>
      <c r="H32" s="29">
        <f t="shared" si="1"/>
        <v>9.368255836766726E-3</v>
      </c>
      <c r="I32" s="29">
        <f t="shared" si="2"/>
        <v>0.33764349449872477</v>
      </c>
      <c r="J32" s="30">
        <f t="shared" si="5"/>
        <v>68.838755658400004</v>
      </c>
      <c r="K32" s="30">
        <f t="shared" si="3"/>
        <v>5.7365629715333339</v>
      </c>
      <c r="L32" s="15">
        <v>130</v>
      </c>
      <c r="M32" s="31">
        <f t="shared" si="6"/>
        <v>9.2307692307692313E-2</v>
      </c>
      <c r="N32" s="15">
        <v>35</v>
      </c>
      <c r="O32" s="32">
        <f t="shared" ref="O32:P32" si="40">D32/7</f>
        <v>1.7142857142857142</v>
      </c>
      <c r="P32" s="32">
        <f t="shared" si="40"/>
        <v>0</v>
      </c>
      <c r="Q32" s="27">
        <f t="shared" si="8"/>
        <v>20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1.563380281690141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1</v>
      </c>
      <c r="X32" s="36">
        <f t="shared" si="9"/>
        <v>8.3333333333333329E-2</v>
      </c>
      <c r="Y32" s="37">
        <f t="shared" si="10"/>
        <v>1.91</v>
      </c>
      <c r="Z32" s="40">
        <v>0</v>
      </c>
      <c r="AA32" s="40" t="s">
        <v>37</v>
      </c>
      <c r="AB32" s="38">
        <f t="shared" si="11"/>
        <v>-0.69</v>
      </c>
      <c r="AC32" s="44">
        <v>0.11900000000000001</v>
      </c>
      <c r="AD32" s="37">
        <f t="shared" si="12"/>
        <v>-1.9706399999999999</v>
      </c>
      <c r="AE32" s="42">
        <v>-4.95</v>
      </c>
      <c r="AF32" s="42">
        <v>-3.4315503617999998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1:33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1:33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1:33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3" customWidth="1"/>
    <col min="22" max="22" width="2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Blush &amp; Mauve - Large 47 x 23 Inch Leather Style Computer Pad for Desk")</f>
        <v>Office Desk Mat, Double Sided Blush &amp; Mauve - Large 47 x 23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Info!B1:BJ5000""),2,FALSE),"""")"),"B085LLHNCY")</f>
        <v>B085LLHNCY</v>
      </c>
      <c r="B2" s="3" t="s">
        <v>626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16.638452977941178</v>
      </c>
      <c r="D3" s="5">
        <f>SUM(D4:D99767)</f>
        <v>149</v>
      </c>
      <c r="E3" s="5"/>
      <c r="F3" s="6">
        <f t="shared" ref="F3:G3" si="0">SUM(F4:F99767)</f>
        <v>2997.3399999999988</v>
      </c>
      <c r="G3" s="6">
        <f t="shared" si="0"/>
        <v>-577.8900000000001</v>
      </c>
      <c r="H3" s="7">
        <f t="shared" ref="H3:H32" si="1">G3/F3*-1</f>
        <v>0.19280095017582266</v>
      </c>
      <c r="I3" s="8">
        <f t="shared" ref="I3:I32" si="2">J3/F3</f>
        <v>-1.6090586026931218E-2</v>
      </c>
      <c r="J3" s="6">
        <f>SUM(J4:J99767)</f>
        <v>-48.228957121961997</v>
      </c>
      <c r="K3" s="6">
        <f t="shared" ref="K3:K32" si="3">J3/D3</f>
        <v>-0.32368427598632216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</v>
      </c>
      <c r="X3" s="7">
        <f>W3/D3</f>
        <v>5.3691275167785234E-2</v>
      </c>
      <c r="Y3" s="6"/>
      <c r="Z3" s="5"/>
      <c r="AA3" s="5"/>
      <c r="AB3" s="5"/>
      <c r="AC3" s="5"/>
      <c r="AD3" s="6">
        <f>SUM(AD4:AD99767)</f>
        <v>-18.246043221320974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Info!B2:BZ3000""),37,FALSE)),"""")*-1"),-4.72268503125)</f>
        <v>-4.7226850312500002</v>
      </c>
      <c r="AG3" s="6">
        <f>SUM(AG4:AG99767)</f>
        <v>0</v>
      </c>
    </row>
    <row r="4" spans="1:33" x14ac:dyDescent="0.2">
      <c r="A4" s="1" t="s">
        <v>32</v>
      </c>
      <c r="B4" s="2" t="s">
        <v>627</v>
      </c>
      <c r="C4" s="14">
        <f t="shared" ref="C4:C32" si="4">IFERROR(F4/D4," - ")</f>
        <v>19.990000000000002</v>
      </c>
      <c r="D4" s="15">
        <v>10</v>
      </c>
      <c r="E4" s="15">
        <v>0</v>
      </c>
      <c r="F4" s="16">
        <v>199.9</v>
      </c>
      <c r="G4" s="16">
        <v>-143.73999999999998</v>
      </c>
      <c r="H4" s="17">
        <f t="shared" si="1"/>
        <v>0.7190595297648823</v>
      </c>
      <c r="I4" s="17">
        <f t="shared" si="2"/>
        <v>-0.53873811585279807</v>
      </c>
      <c r="J4" s="16">
        <f t="shared" ref="J4:J32" si="5">F4*0.85+G4+AF4*D4+D4*AE4+AG4+AD4</f>
        <v>-107.69374935897434</v>
      </c>
      <c r="K4" s="16">
        <f t="shared" si="3"/>
        <v>-10.769374935897435</v>
      </c>
      <c r="L4" s="15">
        <v>133</v>
      </c>
      <c r="M4" s="18">
        <f t="shared" ref="M4:M32" si="6">IFERROR(D4/L4,"-")</f>
        <v>7.5187969924812026E-2</v>
      </c>
      <c r="N4" s="15">
        <v>124</v>
      </c>
      <c r="O4" s="19">
        <f t="shared" ref="O4:P4" si="7">D4/7</f>
        <v>1.4285714285714286</v>
      </c>
      <c r="P4" s="19">
        <f t="shared" si="7"/>
        <v>0</v>
      </c>
      <c r="Q4" s="15">
        <f t="shared" ref="Q4:Q32" si="8">ROUNDDOWN(N4/(O4+P4),0)</f>
        <v>86</v>
      </c>
      <c r="R4" s="15"/>
      <c r="S4" s="20">
        <v>0.84931506849314997</v>
      </c>
      <c r="T4" s="2">
        <v>204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0.2</v>
      </c>
      <c r="Y4" s="24">
        <f t="shared" ref="Y4:Y32" si="10">IFERROR(G4/(W4+Z4)*-1,0)</f>
        <v>8.4552941176470569</v>
      </c>
      <c r="Z4" s="22">
        <v>15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0.12755208333333334</v>
      </c>
      <c r="AD4" s="24">
        <f t="shared" ref="AD4:AD32" si="12">IFERROR(AB4*AC4*D4*2,0)</f>
        <v>-1.2244999999999999</v>
      </c>
      <c r="AE4" s="24">
        <v>-9.02</v>
      </c>
      <c r="AF4" s="24">
        <v>-4.2444249358974355</v>
      </c>
      <c r="AG4" s="24">
        <v>0</v>
      </c>
    </row>
    <row r="5" spans="1:33" ht="15.75" customHeight="1" x14ac:dyDescent="0.2">
      <c r="A5" s="26" t="s">
        <v>35</v>
      </c>
      <c r="B5" s="2" t="s">
        <v>627</v>
      </c>
      <c r="C5" s="14">
        <f t="shared" si="4"/>
        <v>19.989999999999998</v>
      </c>
      <c r="D5" s="27">
        <v>7</v>
      </c>
      <c r="E5" s="27">
        <v>0</v>
      </c>
      <c r="F5" s="28">
        <v>139.92999999999998</v>
      </c>
      <c r="G5" s="28">
        <v>-132.38999999999999</v>
      </c>
      <c r="H5" s="29">
        <f t="shared" si="1"/>
        <v>0.94611591510040738</v>
      </c>
      <c r="I5" s="29">
        <f t="shared" si="2"/>
        <v>-0.76580159917532376</v>
      </c>
      <c r="J5" s="30">
        <f t="shared" si="5"/>
        <v>-107.15861777260304</v>
      </c>
      <c r="K5" s="30">
        <f t="shared" si="3"/>
        <v>-15.30837396751472</v>
      </c>
      <c r="L5" s="27">
        <v>208</v>
      </c>
      <c r="M5" s="31">
        <f t="shared" si="6"/>
        <v>3.3653846153846152E-2</v>
      </c>
      <c r="N5" s="27">
        <v>118</v>
      </c>
      <c r="O5" s="32">
        <f t="shared" ref="O5:P5" si="13">D5/7</f>
        <v>1</v>
      </c>
      <c r="P5" s="32">
        <f t="shared" si="13"/>
        <v>0</v>
      </c>
      <c r="Q5" s="27">
        <f t="shared" si="8"/>
        <v>118</v>
      </c>
      <c r="R5" s="27"/>
      <c r="S5" s="33">
        <v>1.1162790697674401</v>
      </c>
      <c r="T5" s="26">
        <v>204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13.238999999999999</v>
      </c>
      <c r="Z5" s="26">
        <v>10</v>
      </c>
      <c r="AA5" s="26" t="s">
        <v>250</v>
      </c>
      <c r="AB5" s="38">
        <f t="shared" si="11"/>
        <v>-0.48</v>
      </c>
      <c r="AC5" s="39">
        <v>0.12769988412514485</v>
      </c>
      <c r="AD5" s="37">
        <f t="shared" si="12"/>
        <v>-0.85814322132097343</v>
      </c>
      <c r="AE5" s="37">
        <v>-9.02</v>
      </c>
      <c r="AF5" s="37">
        <v>-4.2444249358974355</v>
      </c>
      <c r="AG5" s="37">
        <v>0</v>
      </c>
    </row>
    <row r="6" spans="1:33" ht="15.75" customHeight="1" x14ac:dyDescent="0.2">
      <c r="A6" s="26" t="s">
        <v>38</v>
      </c>
      <c r="B6" s="2" t="s">
        <v>628</v>
      </c>
      <c r="C6" s="14">
        <f t="shared" si="4"/>
        <v>20.66866666666667</v>
      </c>
      <c r="D6" s="27">
        <v>15</v>
      </c>
      <c r="E6" s="27">
        <v>0</v>
      </c>
      <c r="F6" s="28">
        <v>310.03000000000003</v>
      </c>
      <c r="G6" s="28">
        <v>-168.23000000000002</v>
      </c>
      <c r="H6" s="29">
        <f t="shared" si="1"/>
        <v>0.54262490726703871</v>
      </c>
      <c r="I6" s="29">
        <f t="shared" si="2"/>
        <v>-0.34031424068142274</v>
      </c>
      <c r="J6" s="30">
        <f t="shared" si="5"/>
        <v>-105.5076240384615</v>
      </c>
      <c r="K6" s="30">
        <f t="shared" si="3"/>
        <v>-7.0338416025640997</v>
      </c>
      <c r="L6" s="27">
        <v>215</v>
      </c>
      <c r="M6" s="31">
        <f t="shared" si="6"/>
        <v>6.9767441860465115E-2</v>
      </c>
      <c r="N6" s="27">
        <v>105</v>
      </c>
      <c r="O6" s="32">
        <f t="shared" ref="O6:P6" si="14">D6/7</f>
        <v>2.1428571428571428</v>
      </c>
      <c r="P6" s="32">
        <f t="shared" si="14"/>
        <v>0</v>
      </c>
      <c r="Q6" s="27">
        <f t="shared" si="8"/>
        <v>49</v>
      </c>
      <c r="R6" s="27"/>
      <c r="S6" s="33">
        <v>1.2537313432835799</v>
      </c>
      <c r="T6" s="26">
        <v>204</v>
      </c>
      <c r="U6" s="34" t="s">
        <v>34</v>
      </c>
      <c r="V6" s="35"/>
      <c r="W6" s="26">
        <v>4</v>
      </c>
      <c r="X6" s="36">
        <f t="shared" si="9"/>
        <v>0.26666666666666666</v>
      </c>
      <c r="Y6" s="37">
        <f t="shared" si="10"/>
        <v>7.6468181818181824</v>
      </c>
      <c r="Z6" s="26">
        <v>18</v>
      </c>
      <c r="AA6" s="26" t="s">
        <v>250</v>
      </c>
      <c r="AB6" s="38">
        <f t="shared" si="11"/>
        <v>-0.48</v>
      </c>
      <c r="AC6" s="39">
        <v>0.12755208333333334</v>
      </c>
      <c r="AD6" s="37">
        <f t="shared" si="12"/>
        <v>-1.8367500000000001</v>
      </c>
      <c r="AE6" s="37">
        <v>-9.02</v>
      </c>
      <c r="AF6" s="37">
        <v>-4.2444249358974355</v>
      </c>
      <c r="AG6" s="37">
        <v>0</v>
      </c>
    </row>
    <row r="7" spans="1:33" ht="15.75" customHeight="1" x14ac:dyDescent="0.2">
      <c r="A7" s="26" t="s">
        <v>41</v>
      </c>
      <c r="B7" s="26" t="s">
        <v>188</v>
      </c>
      <c r="C7" s="14">
        <f t="shared" si="4"/>
        <v>20.538000000000004</v>
      </c>
      <c r="D7" s="27">
        <v>10</v>
      </c>
      <c r="E7" s="27">
        <v>0</v>
      </c>
      <c r="F7" s="28">
        <v>205.38000000000002</v>
      </c>
      <c r="G7" s="28">
        <v>-111.89</v>
      </c>
      <c r="H7" s="29">
        <f t="shared" si="1"/>
        <v>0.5447950141201674</v>
      </c>
      <c r="I7" s="29">
        <f t="shared" si="2"/>
        <v>-0.34660507040108252</v>
      </c>
      <c r="J7" s="30">
        <f t="shared" si="5"/>
        <v>-71.185749358974334</v>
      </c>
      <c r="K7" s="30">
        <f t="shared" si="3"/>
        <v>-7.1185749358974331</v>
      </c>
      <c r="L7" s="27">
        <v>170</v>
      </c>
      <c r="M7" s="31">
        <f t="shared" si="6"/>
        <v>5.8823529411764705E-2</v>
      </c>
      <c r="N7" s="27">
        <v>94</v>
      </c>
      <c r="O7" s="32">
        <f t="shared" ref="O7:P7" si="15">D7/7</f>
        <v>1.4285714285714286</v>
      </c>
      <c r="P7" s="32">
        <f t="shared" si="15"/>
        <v>0</v>
      </c>
      <c r="Q7" s="27">
        <f t="shared" si="8"/>
        <v>65</v>
      </c>
      <c r="R7" s="27"/>
      <c r="S7" s="33">
        <v>0.944578313253012</v>
      </c>
      <c r="T7" s="26">
        <v>204</v>
      </c>
      <c r="U7" s="34" t="s">
        <v>34</v>
      </c>
      <c r="V7" s="35"/>
      <c r="W7" s="26">
        <v>2</v>
      </c>
      <c r="X7" s="36">
        <f t="shared" si="9"/>
        <v>0.2</v>
      </c>
      <c r="Y7" s="37">
        <f t="shared" si="10"/>
        <v>7.9921428571428574</v>
      </c>
      <c r="Z7" s="26">
        <v>12</v>
      </c>
      <c r="AA7" s="26" t="s">
        <v>250</v>
      </c>
      <c r="AB7" s="38">
        <f t="shared" si="11"/>
        <v>-0.48</v>
      </c>
      <c r="AC7" s="39">
        <v>0.12755208333333334</v>
      </c>
      <c r="AD7" s="37">
        <f t="shared" si="12"/>
        <v>-1.2244999999999999</v>
      </c>
      <c r="AE7" s="37">
        <v>-9.02</v>
      </c>
      <c r="AF7" s="37">
        <v>-4.2444249358974355</v>
      </c>
      <c r="AG7" s="37">
        <v>0</v>
      </c>
    </row>
    <row r="8" spans="1:33" ht="15.75" customHeight="1" x14ac:dyDescent="0.2">
      <c r="A8" s="26" t="s">
        <v>43</v>
      </c>
      <c r="B8" s="26" t="s">
        <v>629</v>
      </c>
      <c r="C8" s="14">
        <f t="shared" si="4"/>
        <v>20.480000000000004</v>
      </c>
      <c r="D8" s="27">
        <v>15</v>
      </c>
      <c r="E8" s="27">
        <v>0</v>
      </c>
      <c r="F8" s="28">
        <v>307.20000000000005</v>
      </c>
      <c r="G8" s="28">
        <v>-9.98</v>
      </c>
      <c r="H8" s="29">
        <f t="shared" si="1"/>
        <v>3.2486979166666666E-2</v>
      </c>
      <c r="I8" s="29">
        <f t="shared" si="2"/>
        <v>0.16407307942708343</v>
      </c>
      <c r="J8" s="30">
        <f t="shared" si="5"/>
        <v>50.403250000000035</v>
      </c>
      <c r="K8" s="30">
        <f t="shared" si="3"/>
        <v>3.3602166666666688</v>
      </c>
      <c r="L8" s="27">
        <v>88</v>
      </c>
      <c r="M8" s="31">
        <f t="shared" si="6"/>
        <v>0.17045454545454544</v>
      </c>
      <c r="N8" s="27">
        <v>79</v>
      </c>
      <c r="O8" s="32">
        <f t="shared" ref="O8:P8" si="16">D8/7</f>
        <v>2.1428571428571428</v>
      </c>
      <c r="P8" s="32">
        <f t="shared" si="16"/>
        <v>0</v>
      </c>
      <c r="Q8" s="27">
        <f t="shared" si="8"/>
        <v>36</v>
      </c>
      <c r="R8" s="27"/>
      <c r="S8" s="33">
        <v>1.2117962466487899</v>
      </c>
      <c r="T8" s="26">
        <v>204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0.12755208333333334</v>
      </c>
      <c r="AD8" s="37">
        <f t="shared" si="12"/>
        <v>-1.8367500000000001</v>
      </c>
      <c r="AE8" s="37">
        <v>-9.02</v>
      </c>
      <c r="AF8" s="37">
        <v>-4.24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22.299999999999997</v>
      </c>
      <c r="D9" s="27">
        <v>6</v>
      </c>
      <c r="E9" s="27">
        <v>0</v>
      </c>
      <c r="F9" s="28">
        <v>133.79999999999998</v>
      </c>
      <c r="G9" s="28">
        <v>0</v>
      </c>
      <c r="H9" s="29">
        <f t="shared" si="1"/>
        <v>0</v>
      </c>
      <c r="I9" s="29">
        <f t="shared" si="2"/>
        <v>0.24450313613889851</v>
      </c>
      <c r="J9" s="30">
        <f t="shared" si="5"/>
        <v>32.714519615384617</v>
      </c>
      <c r="K9" s="30">
        <f t="shared" si="3"/>
        <v>5.4524199358974359</v>
      </c>
      <c r="L9" s="27">
        <v>91</v>
      </c>
      <c r="M9" s="31">
        <f t="shared" si="6"/>
        <v>6.5934065934065936E-2</v>
      </c>
      <c r="N9" s="27">
        <v>73</v>
      </c>
      <c r="O9" s="32">
        <f t="shared" ref="O9:P9" si="17">D9/7</f>
        <v>0.8571428571428571</v>
      </c>
      <c r="P9" s="32">
        <f t="shared" si="17"/>
        <v>0</v>
      </c>
      <c r="Q9" s="27">
        <f t="shared" si="8"/>
        <v>85</v>
      </c>
      <c r="R9" s="27"/>
      <c r="S9" s="33">
        <v>1.4328358208955201</v>
      </c>
      <c r="T9" s="26">
        <v>204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0.12755208333333334</v>
      </c>
      <c r="AD9" s="37">
        <f t="shared" si="12"/>
        <v>-0.73470000000000002</v>
      </c>
      <c r="AE9" s="37">
        <v>-9.02</v>
      </c>
      <c r="AF9" s="37">
        <v>-4.3601300641025604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23.59</v>
      </c>
      <c r="D10" s="27">
        <v>2</v>
      </c>
      <c r="E10" s="27">
        <v>0</v>
      </c>
      <c r="F10" s="28">
        <v>47.18</v>
      </c>
      <c r="G10" s="28">
        <v>0</v>
      </c>
      <c r="H10" s="29">
        <f t="shared" si="1"/>
        <v>0</v>
      </c>
      <c r="I10" s="29">
        <f t="shared" si="2"/>
        <v>0.27761424060608064</v>
      </c>
      <c r="J10" s="30">
        <f t="shared" si="5"/>
        <v>13.097839871794884</v>
      </c>
      <c r="K10" s="30">
        <f t="shared" si="3"/>
        <v>6.5489199358974419</v>
      </c>
      <c r="L10" s="27">
        <v>54</v>
      </c>
      <c r="M10" s="31">
        <f t="shared" si="6"/>
        <v>3.7037037037037035E-2</v>
      </c>
      <c r="N10" s="27">
        <v>71</v>
      </c>
      <c r="O10" s="32">
        <f t="shared" ref="O10:P10" si="18">D10/7</f>
        <v>0.2857142857142857</v>
      </c>
      <c r="P10" s="32">
        <f t="shared" si="18"/>
        <v>0</v>
      </c>
      <c r="Q10" s="27">
        <f t="shared" si="8"/>
        <v>248</v>
      </c>
      <c r="R10" s="27"/>
      <c r="S10" s="33">
        <v>1.4186046511627901</v>
      </c>
      <c r="T10" s="26">
        <v>204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0.12755208333333334</v>
      </c>
      <c r="AD10" s="37">
        <f t="shared" si="12"/>
        <v>-0.24490000000000001</v>
      </c>
      <c r="AE10" s="37">
        <v>-9.02</v>
      </c>
      <c r="AF10" s="37">
        <v>-4.3601300641025604</v>
      </c>
      <c r="AG10" s="37">
        <v>0</v>
      </c>
    </row>
    <row r="11" spans="1:33" ht="15.75" customHeight="1" x14ac:dyDescent="0.2">
      <c r="A11" s="26" t="s">
        <v>50</v>
      </c>
      <c r="B11" s="26" t="s">
        <v>630</v>
      </c>
      <c r="C11" s="14">
        <f t="shared" si="4"/>
        <v>23.015000000000001</v>
      </c>
      <c r="D11" s="27">
        <v>2</v>
      </c>
      <c r="E11" s="27">
        <v>0</v>
      </c>
      <c r="F11" s="28">
        <v>46.03</v>
      </c>
      <c r="G11" s="28">
        <v>0</v>
      </c>
      <c r="H11" s="29">
        <f t="shared" si="1"/>
        <v>0</v>
      </c>
      <c r="I11" s="29">
        <f t="shared" si="2"/>
        <v>0.26331392291537875</v>
      </c>
      <c r="J11" s="30">
        <f t="shared" si="5"/>
        <v>12.120339871794885</v>
      </c>
      <c r="K11" s="30">
        <f t="shared" si="3"/>
        <v>6.0601699358974424</v>
      </c>
      <c r="L11" s="27">
        <v>34</v>
      </c>
      <c r="M11" s="31">
        <f t="shared" si="6"/>
        <v>5.8823529411764705E-2</v>
      </c>
      <c r="N11" s="27">
        <v>68</v>
      </c>
      <c r="O11" s="32">
        <f t="shared" ref="O11:P11" si="19">D11/7</f>
        <v>0.2857142857142857</v>
      </c>
      <c r="P11" s="32">
        <f t="shared" si="19"/>
        <v>0</v>
      </c>
      <c r="Q11" s="27">
        <f t="shared" si="8"/>
        <v>238</v>
      </c>
      <c r="R11" s="27"/>
      <c r="S11" s="33">
        <v>1.00819672131147</v>
      </c>
      <c r="T11" s="26">
        <v>204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0.12755208333333334</v>
      </c>
      <c r="AD11" s="37">
        <f t="shared" si="12"/>
        <v>-0.24490000000000001</v>
      </c>
      <c r="AE11" s="37">
        <v>-9.02</v>
      </c>
      <c r="AF11" s="37">
        <v>-4.3601300641025604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21.704444444444444</v>
      </c>
      <c r="D12" s="27">
        <v>9</v>
      </c>
      <c r="E12" s="27">
        <v>0</v>
      </c>
      <c r="F12" s="28">
        <v>195.34</v>
      </c>
      <c r="G12" s="28">
        <v>0</v>
      </c>
      <c r="H12" s="29">
        <f t="shared" si="1"/>
        <v>0</v>
      </c>
      <c r="I12" s="29">
        <f t="shared" si="2"/>
        <v>0.22788870391664248</v>
      </c>
      <c r="J12" s="30">
        <f t="shared" si="5"/>
        <v>44.515779423076943</v>
      </c>
      <c r="K12" s="30">
        <f t="shared" si="3"/>
        <v>4.9461977136752155</v>
      </c>
      <c r="L12" s="27">
        <v>59</v>
      </c>
      <c r="M12" s="31">
        <f t="shared" si="6"/>
        <v>0.15254237288135594</v>
      </c>
      <c r="N12" s="27">
        <v>61</v>
      </c>
      <c r="O12" s="32">
        <f t="shared" ref="O12:P12" si="20">D12/7</f>
        <v>1.2857142857142858</v>
      </c>
      <c r="P12" s="32">
        <f t="shared" si="20"/>
        <v>0</v>
      </c>
      <c r="Q12" s="27">
        <f t="shared" si="8"/>
        <v>47</v>
      </c>
      <c r="R12" s="27"/>
      <c r="S12" s="33">
        <v>1.06726457399103</v>
      </c>
      <c r="T12" s="26">
        <v>204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0.12755208333333334</v>
      </c>
      <c r="AD12" s="37">
        <f t="shared" si="12"/>
        <v>-1.10205</v>
      </c>
      <c r="AE12" s="37">
        <v>-9.02</v>
      </c>
      <c r="AF12" s="37">
        <v>-4.3601300641025604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20.479999999999997</v>
      </c>
      <c r="D13" s="27">
        <v>5</v>
      </c>
      <c r="E13" s="27">
        <v>0</v>
      </c>
      <c r="F13" s="30">
        <v>102.39999999999999</v>
      </c>
      <c r="G13" s="28">
        <v>0</v>
      </c>
      <c r="H13" s="29">
        <f t="shared" si="1"/>
        <v>0</v>
      </c>
      <c r="I13" s="29">
        <f t="shared" si="2"/>
        <v>0.18772082519531252</v>
      </c>
      <c r="J13" s="30">
        <f t="shared" si="5"/>
        <v>19.2226125</v>
      </c>
      <c r="K13" s="30">
        <f t="shared" si="3"/>
        <v>3.8445225000000001</v>
      </c>
      <c r="L13" s="27">
        <v>37</v>
      </c>
      <c r="M13" s="31">
        <f t="shared" si="6"/>
        <v>0.13513513513513514</v>
      </c>
      <c r="N13" s="27">
        <v>55</v>
      </c>
      <c r="O13" s="32">
        <f t="shared" ref="O13:P13" si="21">D13/7</f>
        <v>0.7142857142857143</v>
      </c>
      <c r="P13" s="32">
        <f t="shared" si="21"/>
        <v>0</v>
      </c>
      <c r="Q13" s="27">
        <f t="shared" si="8"/>
        <v>77</v>
      </c>
      <c r="R13" s="27"/>
      <c r="S13" s="33">
        <v>1.0833333333333299</v>
      </c>
      <c r="T13" s="26">
        <v>204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0.12755208333333334</v>
      </c>
      <c r="AD13" s="37">
        <f t="shared" si="12"/>
        <v>-0.61224999999999996</v>
      </c>
      <c r="AE13" s="37">
        <v>-9.02</v>
      </c>
      <c r="AF13" s="37">
        <v>-4.4210275000000001</v>
      </c>
      <c r="AG13" s="37">
        <v>0</v>
      </c>
    </row>
    <row r="14" spans="1:33" ht="15.75" customHeight="1" x14ac:dyDescent="0.2">
      <c r="A14" s="26" t="s">
        <v>56</v>
      </c>
      <c r="B14" s="26" t="s">
        <v>631</v>
      </c>
      <c r="C14" s="14">
        <f t="shared" si="4"/>
        <v>21.226666666666663</v>
      </c>
      <c r="D14" s="27">
        <v>3</v>
      </c>
      <c r="E14" s="27">
        <v>0</v>
      </c>
      <c r="F14" s="30">
        <v>63.679999999999993</v>
      </c>
      <c r="G14" s="28">
        <v>0</v>
      </c>
      <c r="H14" s="29">
        <f t="shared" si="1"/>
        <v>0</v>
      </c>
      <c r="I14" s="29">
        <f t="shared" si="2"/>
        <v>0.21101707757537677</v>
      </c>
      <c r="J14" s="30">
        <f t="shared" si="5"/>
        <v>13.437567499999991</v>
      </c>
      <c r="K14" s="30">
        <f t="shared" si="3"/>
        <v>4.4791891666666634</v>
      </c>
      <c r="L14" s="27">
        <v>42</v>
      </c>
      <c r="M14" s="31">
        <f t="shared" si="6"/>
        <v>7.1428571428571425E-2</v>
      </c>
      <c r="N14" s="27">
        <v>52</v>
      </c>
      <c r="O14" s="32">
        <f t="shared" ref="O14:P14" si="22">D14/7</f>
        <v>0.42857142857142855</v>
      </c>
      <c r="P14" s="32">
        <f t="shared" si="22"/>
        <v>0</v>
      </c>
      <c r="Q14" s="27">
        <f t="shared" si="8"/>
        <v>121</v>
      </c>
      <c r="R14" s="27"/>
      <c r="S14" s="33">
        <v>1.16494845360824</v>
      </c>
      <c r="T14" s="26">
        <v>204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0.12755208333333334</v>
      </c>
      <c r="AD14" s="37">
        <f t="shared" si="12"/>
        <v>-0.36735000000000001</v>
      </c>
      <c r="AE14" s="37">
        <v>-9.02</v>
      </c>
      <c r="AF14" s="37">
        <v>-4.4210275000000001</v>
      </c>
      <c r="AG14" s="37">
        <v>0</v>
      </c>
    </row>
    <row r="15" spans="1:33" ht="15.75" customHeight="1" x14ac:dyDescent="0.2">
      <c r="A15" s="26" t="s">
        <v>58</v>
      </c>
      <c r="B15" s="26" t="s">
        <v>102</v>
      </c>
      <c r="C15" s="14">
        <f t="shared" si="4"/>
        <v>20.302</v>
      </c>
      <c r="D15" s="27">
        <v>10</v>
      </c>
      <c r="E15" s="27">
        <v>0</v>
      </c>
      <c r="F15" s="30">
        <v>203.01999999999998</v>
      </c>
      <c r="G15" s="28">
        <v>0</v>
      </c>
      <c r="H15" s="29">
        <f t="shared" si="1"/>
        <v>0</v>
      </c>
      <c r="I15" s="29">
        <f t="shared" si="2"/>
        <v>0.18191422027386464</v>
      </c>
      <c r="J15" s="30">
        <f t="shared" si="5"/>
        <v>36.932224999999995</v>
      </c>
      <c r="K15" s="30">
        <f t="shared" si="3"/>
        <v>3.6932224999999996</v>
      </c>
      <c r="L15" s="27">
        <v>59</v>
      </c>
      <c r="M15" s="31">
        <f t="shared" si="6"/>
        <v>0.16949152542372881</v>
      </c>
      <c r="N15" s="27">
        <v>42</v>
      </c>
      <c r="O15" s="32">
        <f t="shared" ref="O15:P15" si="23">D15/7</f>
        <v>1.4285714285714286</v>
      </c>
      <c r="P15" s="32">
        <f t="shared" si="23"/>
        <v>0</v>
      </c>
      <c r="Q15" s="27">
        <f t="shared" si="8"/>
        <v>29</v>
      </c>
      <c r="R15" s="27"/>
      <c r="S15" s="33">
        <v>1.15531335149863</v>
      </c>
      <c r="T15" s="26">
        <v>240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0.12755208333333334</v>
      </c>
      <c r="AD15" s="37">
        <f t="shared" si="12"/>
        <v>-1.2244999999999999</v>
      </c>
      <c r="AE15" s="37">
        <v>-9.02</v>
      </c>
      <c r="AF15" s="37">
        <v>-4.4210275000000001</v>
      </c>
      <c r="AG15" s="37">
        <v>0</v>
      </c>
    </row>
    <row r="16" spans="1:33" ht="15.75" customHeight="1" x14ac:dyDescent="0.2">
      <c r="A16" s="26" t="s">
        <v>60</v>
      </c>
      <c r="B16" s="26" t="s">
        <v>46</v>
      </c>
      <c r="C16" s="14">
        <f t="shared" si="4"/>
        <v>19.989999999999998</v>
      </c>
      <c r="D16" s="27">
        <v>4</v>
      </c>
      <c r="E16" s="27">
        <v>0</v>
      </c>
      <c r="F16" s="30">
        <v>79.959999999999994</v>
      </c>
      <c r="G16" s="28">
        <v>0</v>
      </c>
      <c r="H16" s="29">
        <f t="shared" si="1"/>
        <v>0</v>
      </c>
      <c r="I16" s="29">
        <f t="shared" si="2"/>
        <v>0.17148686843421701</v>
      </c>
      <c r="J16" s="30">
        <f t="shared" si="5"/>
        <v>13.712089999999991</v>
      </c>
      <c r="K16" s="30">
        <f t="shared" si="3"/>
        <v>3.4280224999999978</v>
      </c>
      <c r="L16" s="27">
        <v>48</v>
      </c>
      <c r="M16" s="31">
        <f t="shared" si="6"/>
        <v>8.3333333333333329E-2</v>
      </c>
      <c r="N16" s="27">
        <v>38</v>
      </c>
      <c r="O16" s="32">
        <f t="shared" ref="O16:P16" si="24">D16/7</f>
        <v>0.5714285714285714</v>
      </c>
      <c r="P16" s="32">
        <f t="shared" si="24"/>
        <v>0</v>
      </c>
      <c r="Q16" s="27">
        <f t="shared" si="8"/>
        <v>66</v>
      </c>
      <c r="R16" s="27"/>
      <c r="S16" s="33">
        <v>1.1940298507462599</v>
      </c>
      <c r="T16" s="26">
        <v>240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0.12755208333333334</v>
      </c>
      <c r="AD16" s="37">
        <f t="shared" si="12"/>
        <v>-0.48980000000000001</v>
      </c>
      <c r="AE16" s="37">
        <v>-9.02</v>
      </c>
      <c r="AF16" s="37">
        <v>-4.4210275000000001</v>
      </c>
      <c r="AG16" s="37">
        <v>0</v>
      </c>
    </row>
    <row r="17" spans="1:33" ht="15.75" customHeight="1" x14ac:dyDescent="0.2">
      <c r="A17" s="26" t="s">
        <v>61</v>
      </c>
      <c r="B17" s="26" t="s">
        <v>102</v>
      </c>
      <c r="C17" s="14">
        <f t="shared" si="4"/>
        <v>19.989999999999998</v>
      </c>
      <c r="D17" s="27">
        <v>6</v>
      </c>
      <c r="E17" s="27">
        <v>0</v>
      </c>
      <c r="F17" s="30">
        <v>119.93999999999998</v>
      </c>
      <c r="G17" s="28">
        <v>0</v>
      </c>
      <c r="H17" s="29">
        <f t="shared" si="1"/>
        <v>0</v>
      </c>
      <c r="I17" s="29">
        <f t="shared" si="2"/>
        <v>0.17148686843421709</v>
      </c>
      <c r="J17" s="30">
        <f t="shared" si="5"/>
        <v>20.568134999999995</v>
      </c>
      <c r="K17" s="30">
        <f t="shared" si="3"/>
        <v>3.4280224999999991</v>
      </c>
      <c r="L17" s="27">
        <v>47</v>
      </c>
      <c r="M17" s="31">
        <f t="shared" si="6"/>
        <v>0.1276595744680851</v>
      </c>
      <c r="N17" s="27">
        <v>32</v>
      </c>
      <c r="O17" s="32">
        <f t="shared" ref="O17:P17" si="25">D17/7</f>
        <v>0.8571428571428571</v>
      </c>
      <c r="P17" s="32">
        <f t="shared" si="25"/>
        <v>0</v>
      </c>
      <c r="Q17" s="27">
        <f t="shared" si="8"/>
        <v>37</v>
      </c>
      <c r="R17" s="27"/>
      <c r="S17" s="33">
        <v>1.26315789473684</v>
      </c>
      <c r="T17" s="26">
        <v>240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0.12755208333333334</v>
      </c>
      <c r="AD17" s="37">
        <f t="shared" si="12"/>
        <v>-0.73470000000000002</v>
      </c>
      <c r="AE17" s="37">
        <v>-9.02</v>
      </c>
      <c r="AF17" s="37">
        <v>-4.4210275000000001</v>
      </c>
      <c r="AG17" s="37">
        <v>0</v>
      </c>
    </row>
    <row r="18" spans="1:33" ht="15.75" customHeight="1" x14ac:dyDescent="0.2">
      <c r="A18" s="26" t="s">
        <v>62</v>
      </c>
      <c r="B18" s="26" t="s">
        <v>102</v>
      </c>
      <c r="C18" s="14">
        <f t="shared" si="4"/>
        <v>19.989999999999998</v>
      </c>
      <c r="D18" s="27">
        <v>4</v>
      </c>
      <c r="E18" s="27">
        <v>0</v>
      </c>
      <c r="F18" s="30">
        <v>79.959999999999994</v>
      </c>
      <c r="G18" s="28">
        <v>0</v>
      </c>
      <c r="H18" s="29">
        <f t="shared" si="1"/>
        <v>0</v>
      </c>
      <c r="I18" s="29">
        <f t="shared" si="2"/>
        <v>0.17148686843421701</v>
      </c>
      <c r="J18" s="30">
        <f t="shared" si="5"/>
        <v>13.712089999999991</v>
      </c>
      <c r="K18" s="30">
        <f t="shared" si="3"/>
        <v>3.4280224999999978</v>
      </c>
      <c r="L18" s="27">
        <v>26</v>
      </c>
      <c r="M18" s="31">
        <f t="shared" si="6"/>
        <v>0.15384615384615385</v>
      </c>
      <c r="N18" s="27">
        <v>28</v>
      </c>
      <c r="O18" s="32">
        <f t="shared" ref="O18:P18" si="26">D18/7</f>
        <v>0.5714285714285714</v>
      </c>
      <c r="P18" s="32">
        <f t="shared" si="26"/>
        <v>0</v>
      </c>
      <c r="Q18" s="27">
        <f t="shared" si="8"/>
        <v>49</v>
      </c>
      <c r="R18" s="27"/>
      <c r="S18" s="33">
        <v>1.3043478260869501</v>
      </c>
      <c r="T18" s="26">
        <v>240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0.12755208333333334</v>
      </c>
      <c r="AD18" s="37">
        <f t="shared" si="12"/>
        <v>-0.48980000000000001</v>
      </c>
      <c r="AE18" s="37">
        <v>-9.02</v>
      </c>
      <c r="AF18" s="37">
        <v>-4.4210275000000001</v>
      </c>
      <c r="AG18" s="37">
        <v>0</v>
      </c>
    </row>
    <row r="19" spans="1:33" ht="15.75" customHeight="1" x14ac:dyDescent="0.2">
      <c r="A19" s="26" t="s">
        <v>64</v>
      </c>
      <c r="B19" s="26" t="s">
        <v>632</v>
      </c>
      <c r="C19" s="14">
        <f t="shared" si="4"/>
        <v>19.989999999999998</v>
      </c>
      <c r="D19" s="27">
        <v>5</v>
      </c>
      <c r="E19" s="27">
        <v>0</v>
      </c>
      <c r="F19" s="30">
        <v>99.949999999999989</v>
      </c>
      <c r="G19" s="28">
        <v>0</v>
      </c>
      <c r="H19" s="29">
        <f t="shared" si="1"/>
        <v>0</v>
      </c>
      <c r="I19" s="29">
        <f t="shared" si="2"/>
        <v>0.17148686843421704</v>
      </c>
      <c r="J19" s="30">
        <f t="shared" si="5"/>
        <v>17.14011249999999</v>
      </c>
      <c r="K19" s="30">
        <f t="shared" si="3"/>
        <v>3.4280224999999982</v>
      </c>
      <c r="L19" s="27">
        <v>23</v>
      </c>
      <c r="M19" s="31">
        <f t="shared" si="6"/>
        <v>0.21739130434782608</v>
      </c>
      <c r="N19" s="27">
        <v>24</v>
      </c>
      <c r="O19" s="32">
        <f t="shared" ref="O19:P19" si="27">D19/7</f>
        <v>0.7142857142857143</v>
      </c>
      <c r="P19" s="32">
        <f t="shared" si="27"/>
        <v>0</v>
      </c>
      <c r="Q19" s="27">
        <f t="shared" si="8"/>
        <v>33</v>
      </c>
      <c r="R19" s="27"/>
      <c r="S19" s="33">
        <v>1.28735632183908</v>
      </c>
      <c r="T19" s="26">
        <v>240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0.12755208333333334</v>
      </c>
      <c r="AD19" s="37">
        <f t="shared" si="12"/>
        <v>-0.61224999999999996</v>
      </c>
      <c r="AE19" s="37">
        <v>-9.02</v>
      </c>
      <c r="AF19" s="37">
        <v>-4.4210275000000001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23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>
        <v>1.2467532467532401</v>
      </c>
      <c r="T20" s="26">
        <v>240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0.12755208333333334</v>
      </c>
      <c r="AD20" s="37">
        <f t="shared" si="12"/>
        <v>0</v>
      </c>
      <c r="AE20" s="37">
        <v>-9.02</v>
      </c>
      <c r="AF20" s="37">
        <v>-4.4210275000000001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19.989999999999998</v>
      </c>
      <c r="D21" s="27">
        <v>1</v>
      </c>
      <c r="E21" s="27">
        <v>0</v>
      </c>
      <c r="F21" s="30">
        <v>19.989999999999998</v>
      </c>
      <c r="G21" s="28">
        <v>0</v>
      </c>
      <c r="H21" s="29">
        <f t="shared" si="1"/>
        <v>0</v>
      </c>
      <c r="I21" s="29">
        <f t="shared" si="2"/>
        <v>0.17148686843421701</v>
      </c>
      <c r="J21" s="30">
        <f t="shared" si="5"/>
        <v>3.4280224999999978</v>
      </c>
      <c r="K21" s="30">
        <f t="shared" si="3"/>
        <v>3.4280224999999978</v>
      </c>
      <c r="L21" s="27">
        <v>12</v>
      </c>
      <c r="M21" s="31">
        <f t="shared" si="6"/>
        <v>8.3333333333333329E-2</v>
      </c>
      <c r="N21" s="27">
        <v>23</v>
      </c>
      <c r="O21" s="32">
        <f t="shared" ref="O21:P21" si="29">D21/7</f>
        <v>0.14285714285714285</v>
      </c>
      <c r="P21" s="32">
        <f t="shared" si="29"/>
        <v>0</v>
      </c>
      <c r="Q21" s="27">
        <f t="shared" si="8"/>
        <v>161</v>
      </c>
      <c r="R21" s="27"/>
      <c r="S21" s="33">
        <v>1.15686274509803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0.12755208333333334</v>
      </c>
      <c r="AD21" s="37">
        <f t="shared" si="12"/>
        <v>-0.12245</v>
      </c>
      <c r="AE21" s="37">
        <v>-9.02</v>
      </c>
      <c r="AF21" s="37">
        <v>-4.4210275000000001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19.989999999999998</v>
      </c>
      <c r="D22" s="27">
        <v>4</v>
      </c>
      <c r="E22" s="27">
        <v>0</v>
      </c>
      <c r="F22" s="28">
        <v>79.959999999999994</v>
      </c>
      <c r="G22" s="28">
        <v>0</v>
      </c>
      <c r="H22" s="29">
        <f t="shared" si="1"/>
        <v>0</v>
      </c>
      <c r="I22" s="29">
        <f t="shared" si="2"/>
        <v>0.17148686843421701</v>
      </c>
      <c r="J22" s="30">
        <f t="shared" si="5"/>
        <v>13.712089999999991</v>
      </c>
      <c r="K22" s="30">
        <f t="shared" si="3"/>
        <v>3.4280224999999978</v>
      </c>
      <c r="L22" s="27">
        <v>12</v>
      </c>
      <c r="M22" s="31">
        <f t="shared" si="6"/>
        <v>0.33333333333333331</v>
      </c>
      <c r="N22" s="27">
        <v>19</v>
      </c>
      <c r="O22" s="32">
        <f t="shared" ref="O22:P22" si="30">D22/7</f>
        <v>0.5714285714285714</v>
      </c>
      <c r="P22" s="32">
        <f t="shared" si="30"/>
        <v>0</v>
      </c>
      <c r="Q22" s="27">
        <f t="shared" si="8"/>
        <v>33</v>
      </c>
      <c r="R22" s="27"/>
      <c r="S22" s="33">
        <v>1.1956521739130399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0.12755208333333334</v>
      </c>
      <c r="AD22" s="37">
        <f t="shared" si="12"/>
        <v>-0.48980000000000001</v>
      </c>
      <c r="AE22" s="37">
        <v>-9.02</v>
      </c>
      <c r="AF22" s="37">
        <v>-4.4210275000000001</v>
      </c>
      <c r="AG22" s="37">
        <v>0</v>
      </c>
    </row>
    <row r="23" spans="1:33" ht="15.75" customHeight="1" x14ac:dyDescent="0.2">
      <c r="A23" s="26" t="s">
        <v>68</v>
      </c>
      <c r="B23" s="26" t="s">
        <v>633</v>
      </c>
      <c r="C23" s="14">
        <f t="shared" si="4"/>
        <v>19.989999999999998</v>
      </c>
      <c r="D23" s="27">
        <v>3</v>
      </c>
      <c r="E23" s="27">
        <v>0</v>
      </c>
      <c r="F23" s="30">
        <v>59.97</v>
      </c>
      <c r="G23" s="28">
        <v>0</v>
      </c>
      <c r="H23" s="29">
        <f t="shared" si="1"/>
        <v>0</v>
      </c>
      <c r="I23" s="29">
        <f t="shared" si="2"/>
        <v>0.17148686843421707</v>
      </c>
      <c r="J23" s="30">
        <f t="shared" si="5"/>
        <v>10.284067499999997</v>
      </c>
      <c r="K23" s="30">
        <f t="shared" si="3"/>
        <v>3.4280224999999991</v>
      </c>
      <c r="L23" s="27">
        <v>28</v>
      </c>
      <c r="M23" s="31">
        <f t="shared" si="6"/>
        <v>0.10714285714285714</v>
      </c>
      <c r="N23" s="27">
        <v>16</v>
      </c>
      <c r="O23" s="32">
        <f t="shared" ref="O23:P23" si="31">D23/7</f>
        <v>0.42857142857142855</v>
      </c>
      <c r="P23" s="32">
        <f t="shared" si="31"/>
        <v>0</v>
      </c>
      <c r="Q23" s="27">
        <f t="shared" si="8"/>
        <v>37</v>
      </c>
      <c r="R23" s="27"/>
      <c r="S23" s="33">
        <v>1.28735632183908</v>
      </c>
      <c r="T23" s="26">
        <v>336</v>
      </c>
      <c r="U23" s="34" t="s">
        <v>34</v>
      </c>
      <c r="V23" s="35" t="s">
        <v>634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0.12755208333333334</v>
      </c>
      <c r="AD23" s="37">
        <f t="shared" si="12"/>
        <v>-0.36735000000000001</v>
      </c>
      <c r="AE23" s="37">
        <v>-9.02</v>
      </c>
      <c r="AF23" s="37">
        <v>-4.4210275000000001</v>
      </c>
      <c r="AG23" s="37">
        <v>0</v>
      </c>
    </row>
    <row r="24" spans="1:33" ht="15.75" customHeight="1" x14ac:dyDescent="0.2">
      <c r="A24" s="26" t="s">
        <v>71</v>
      </c>
      <c r="B24" s="26" t="s">
        <v>635</v>
      </c>
      <c r="C24" s="14">
        <f t="shared" si="4"/>
        <v>17.989999999999998</v>
      </c>
      <c r="D24" s="27">
        <v>2</v>
      </c>
      <c r="E24" s="27">
        <v>0</v>
      </c>
      <c r="F24" s="30">
        <v>35.979999999999997</v>
      </c>
      <c r="G24" s="30">
        <v>-2.0699999999999998</v>
      </c>
      <c r="H24" s="29">
        <f t="shared" si="1"/>
        <v>5.7531962201222905E-2</v>
      </c>
      <c r="I24" s="29">
        <f t="shared" si="2"/>
        <v>3.8522651473040501E-2</v>
      </c>
      <c r="J24" s="30">
        <f t="shared" si="5"/>
        <v>1.3860449999999971</v>
      </c>
      <c r="K24" s="30">
        <f t="shared" si="3"/>
        <v>0.69302249999999854</v>
      </c>
      <c r="L24" s="27">
        <v>30</v>
      </c>
      <c r="M24" s="31">
        <f t="shared" si="6"/>
        <v>6.6666666666666666E-2</v>
      </c>
      <c r="N24" s="27">
        <v>15</v>
      </c>
      <c r="O24" s="32">
        <f t="shared" ref="O24:P24" si="32">D24/7</f>
        <v>0.2857142857142857</v>
      </c>
      <c r="P24" s="32">
        <f t="shared" si="32"/>
        <v>0</v>
      </c>
      <c r="Q24" s="27">
        <f t="shared" si="8"/>
        <v>52</v>
      </c>
      <c r="R24" s="27"/>
      <c r="S24" s="33">
        <v>1.3846153846153799</v>
      </c>
      <c r="T24" s="26">
        <v>336</v>
      </c>
      <c r="U24" s="34">
        <v>96</v>
      </c>
      <c r="V24" s="35" t="s">
        <v>636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0.12755208333333334</v>
      </c>
      <c r="AD24" s="37">
        <f t="shared" si="12"/>
        <v>-0.24490000000000001</v>
      </c>
      <c r="AE24" s="37">
        <v>-9.02</v>
      </c>
      <c r="AF24" s="37">
        <v>-4.4210275000000001</v>
      </c>
      <c r="AG24" s="37">
        <v>0</v>
      </c>
    </row>
    <row r="25" spans="1:33" ht="15.75" customHeight="1" x14ac:dyDescent="0.2">
      <c r="A25" s="40" t="s">
        <v>73</v>
      </c>
      <c r="B25" s="40" t="s">
        <v>76</v>
      </c>
      <c r="C25" s="14">
        <f t="shared" si="4"/>
        <v>17.989999999999998</v>
      </c>
      <c r="D25" s="15">
        <v>11</v>
      </c>
      <c r="E25" s="15">
        <v>0</v>
      </c>
      <c r="F25" s="16">
        <v>197.89</v>
      </c>
      <c r="G25" s="16">
        <v>-2.93</v>
      </c>
      <c r="H25" s="29">
        <f t="shared" si="1"/>
        <v>1.4806205467684068E-2</v>
      </c>
      <c r="I25" s="29">
        <f t="shared" si="2"/>
        <v>8.1305523270503652E-2</v>
      </c>
      <c r="J25" s="30">
        <f t="shared" si="5"/>
        <v>16.089549999999967</v>
      </c>
      <c r="K25" s="30">
        <f t="shared" si="3"/>
        <v>1.4626863636363607</v>
      </c>
      <c r="L25" s="15">
        <v>39</v>
      </c>
      <c r="M25" s="31">
        <f t="shared" si="6"/>
        <v>0.28205128205128205</v>
      </c>
      <c r="N25" s="15">
        <v>2</v>
      </c>
      <c r="O25" s="32">
        <f t="shared" ref="O25:P25" si="33">D25/7</f>
        <v>1.5714285714285714</v>
      </c>
      <c r="P25" s="32">
        <f t="shared" si="33"/>
        <v>0</v>
      </c>
      <c r="Q25" s="27">
        <f t="shared" si="8"/>
        <v>1</v>
      </c>
      <c r="R25" s="27"/>
      <c r="S25" s="41">
        <v>1.5942028985507251</v>
      </c>
      <c r="T25" s="26">
        <v>336</v>
      </c>
      <c r="U25" s="34">
        <v>96</v>
      </c>
      <c r="V25" s="35" t="s">
        <v>637</v>
      </c>
      <c r="W25" s="40">
        <v>0</v>
      </c>
      <c r="X25" s="36">
        <f t="shared" si="9"/>
        <v>0</v>
      </c>
      <c r="Y25" s="37">
        <f t="shared" si="10"/>
        <v>2.93</v>
      </c>
      <c r="Z25" s="40">
        <v>1</v>
      </c>
      <c r="AA25" s="26" t="s">
        <v>250</v>
      </c>
      <c r="AB25" s="38">
        <f t="shared" si="11"/>
        <v>-0.48</v>
      </c>
      <c r="AC25" s="39">
        <v>0.12755208333333334</v>
      </c>
      <c r="AD25" s="37">
        <f t="shared" si="12"/>
        <v>-1.3469500000000001</v>
      </c>
      <c r="AE25" s="42">
        <v>-9.02</v>
      </c>
      <c r="AF25" s="42">
        <v>-4.42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17.989999999999998</v>
      </c>
      <c r="D26" s="15">
        <v>3</v>
      </c>
      <c r="E26" s="15">
        <v>0</v>
      </c>
      <c r="F26" s="16">
        <v>53.97</v>
      </c>
      <c r="G26" s="16">
        <v>-1.24</v>
      </c>
      <c r="H26" s="29">
        <f t="shared" si="1"/>
        <v>2.29757272558829E-2</v>
      </c>
      <c r="I26" s="29">
        <f t="shared" si="2"/>
        <v>7.3078886418380534E-2</v>
      </c>
      <c r="J26" s="30">
        <f t="shared" si="5"/>
        <v>3.9440674999999974</v>
      </c>
      <c r="K26" s="30">
        <f t="shared" si="3"/>
        <v>1.3146891666666658</v>
      </c>
      <c r="L26" s="15">
        <v>6</v>
      </c>
      <c r="M26" s="31">
        <f t="shared" si="6"/>
        <v>0.5</v>
      </c>
      <c r="N26" s="15">
        <v>0</v>
      </c>
      <c r="O26" s="32">
        <f t="shared" ref="O26:P26" si="34">D26/7</f>
        <v>0.42857142857142855</v>
      </c>
      <c r="P26" s="32">
        <f t="shared" si="34"/>
        <v>0</v>
      </c>
      <c r="Q26" s="27">
        <f t="shared" si="8"/>
        <v>0</v>
      </c>
      <c r="R26" s="27"/>
      <c r="S26" s="41">
        <v>0</v>
      </c>
      <c r="T26" s="26">
        <v>336</v>
      </c>
      <c r="U26" s="34">
        <v>96</v>
      </c>
      <c r="V26" s="35" t="s">
        <v>638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0.12755208333333334</v>
      </c>
      <c r="AD26" s="37">
        <f t="shared" si="12"/>
        <v>-0.36735000000000001</v>
      </c>
      <c r="AE26" s="42">
        <v>-9.02</v>
      </c>
      <c r="AF26" s="42">
        <v>-4.4210275000000001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336</v>
      </c>
      <c r="U27" s="34">
        <v>96</v>
      </c>
      <c r="V27" s="35" t="s">
        <v>639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0.12755208333333334</v>
      </c>
      <c r="AD27" s="37">
        <f t="shared" si="12"/>
        <v>0</v>
      </c>
      <c r="AE27" s="42">
        <v>-9.02</v>
      </c>
      <c r="AF27" s="42">
        <v>-4.4210275000000001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96</v>
      </c>
      <c r="V28" s="1" t="s">
        <v>640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0.12755208333333334</v>
      </c>
      <c r="AD28" s="37">
        <f t="shared" si="12"/>
        <v>0</v>
      </c>
      <c r="AE28" s="42">
        <v>-9.02</v>
      </c>
      <c r="AF28" s="42">
        <v>-4.4210275000000001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0.12755208333333334</v>
      </c>
      <c r="AD29" s="37">
        <f t="shared" si="12"/>
        <v>0</v>
      </c>
      <c r="AE29" s="37">
        <v>-9.02</v>
      </c>
      <c r="AF29" s="42">
        <v>-4.4210275000000001</v>
      </c>
      <c r="AG29" s="37">
        <v>0</v>
      </c>
    </row>
    <row r="30" spans="1:33" ht="15.75" customHeight="1" x14ac:dyDescent="0.2">
      <c r="A30" s="40" t="s">
        <v>84</v>
      </c>
      <c r="B30" s="40" t="s">
        <v>641</v>
      </c>
      <c r="C30" s="14">
        <f t="shared" si="4"/>
        <v>17.989999999999998</v>
      </c>
      <c r="D30" s="15">
        <v>1</v>
      </c>
      <c r="E30" s="15">
        <v>0</v>
      </c>
      <c r="F30" s="16">
        <v>17.989999999999998</v>
      </c>
      <c r="G30" s="16">
        <v>0</v>
      </c>
      <c r="H30" s="29">
        <f t="shared" si="1"/>
        <v>0</v>
      </c>
      <c r="I30" s="29">
        <f t="shared" si="2"/>
        <v>5.7051971581433991E-2</v>
      </c>
      <c r="J30" s="30">
        <f t="shared" si="5"/>
        <v>1.0263649687499974</v>
      </c>
      <c r="K30" s="30">
        <f t="shared" si="3"/>
        <v>1.0263649687499974</v>
      </c>
      <c r="L30" s="15">
        <v>39</v>
      </c>
      <c r="M30" s="31">
        <f t="shared" si="6"/>
        <v>2.564102564102564E-2</v>
      </c>
      <c r="N30" s="15">
        <v>189</v>
      </c>
      <c r="O30" s="32">
        <f t="shared" ref="O30:P30" si="38">D30/7</f>
        <v>0.14285714285714285</v>
      </c>
      <c r="P30" s="32">
        <f t="shared" si="38"/>
        <v>0</v>
      </c>
      <c r="Q30" s="27">
        <f t="shared" si="8"/>
        <v>1323</v>
      </c>
      <c r="R30" s="27"/>
      <c r="S30" s="41">
        <v>0.55598455598455598</v>
      </c>
      <c r="T30" s="26">
        <v>330</v>
      </c>
      <c r="U30" s="34">
        <v>96</v>
      </c>
      <c r="V30" s="35" t="s">
        <v>642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0.12755208333333334</v>
      </c>
      <c r="AD30" s="37">
        <f t="shared" si="12"/>
        <v>-0.12245</v>
      </c>
      <c r="AE30" s="42">
        <v>-9.42</v>
      </c>
      <c r="AF30" s="42">
        <v>-4.7226850312500002</v>
      </c>
      <c r="AG30" s="42">
        <v>0</v>
      </c>
    </row>
    <row r="31" spans="1:33" ht="15.75" customHeight="1" x14ac:dyDescent="0.2">
      <c r="A31" s="40" t="s">
        <v>87</v>
      </c>
      <c r="B31" s="40" t="s">
        <v>53</v>
      </c>
      <c r="C31" s="14">
        <f t="shared" si="4"/>
        <v>17.989999999999998</v>
      </c>
      <c r="D31" s="15">
        <v>5</v>
      </c>
      <c r="E31" s="15">
        <v>0</v>
      </c>
      <c r="F31" s="16">
        <v>89.949999999999989</v>
      </c>
      <c r="G31" s="43">
        <v>-4.82</v>
      </c>
      <c r="H31" s="29">
        <f t="shared" si="1"/>
        <v>5.3585325180655931E-2</v>
      </c>
      <c r="I31" s="29">
        <f t="shared" si="2"/>
        <v>3.46664640077804E-3</v>
      </c>
      <c r="J31" s="30">
        <f t="shared" si="5"/>
        <v>0.31182484374998465</v>
      </c>
      <c r="K31" s="30">
        <f t="shared" si="3"/>
        <v>6.2364968749996932E-2</v>
      </c>
      <c r="L31" s="15">
        <v>48</v>
      </c>
      <c r="M31" s="31">
        <f t="shared" si="6"/>
        <v>0.10416666666666667</v>
      </c>
      <c r="N31" s="15">
        <v>186</v>
      </c>
      <c r="O31" s="32">
        <f t="shared" ref="O31:P31" si="39">D31/7</f>
        <v>0.7142857142857143</v>
      </c>
      <c r="P31" s="32">
        <f t="shared" si="39"/>
        <v>0</v>
      </c>
      <c r="Q31" s="27">
        <f t="shared" si="8"/>
        <v>260</v>
      </c>
      <c r="R31" s="27"/>
      <c r="S31" s="41">
        <v>0.51612903225806395</v>
      </c>
      <c r="T31" s="40">
        <v>234</v>
      </c>
      <c r="U31" s="22" t="s">
        <v>34</v>
      </c>
      <c r="V31" s="1" t="s">
        <v>643</v>
      </c>
      <c r="W31" s="40">
        <v>0</v>
      </c>
      <c r="X31" s="36">
        <f t="shared" si="9"/>
        <v>0</v>
      </c>
      <c r="Y31" s="37">
        <f t="shared" si="10"/>
        <v>4.82</v>
      </c>
      <c r="Z31" s="40">
        <v>1</v>
      </c>
      <c r="AA31" s="40" t="s">
        <v>250</v>
      </c>
      <c r="AB31" s="38">
        <f t="shared" si="11"/>
        <v>-0.48</v>
      </c>
      <c r="AC31" s="44">
        <v>0.12755208333333334</v>
      </c>
      <c r="AD31" s="37">
        <f t="shared" si="12"/>
        <v>-0.61224999999999996</v>
      </c>
      <c r="AE31" s="45">
        <v>-9.42</v>
      </c>
      <c r="AF31" s="45">
        <v>-4.7226850312500002</v>
      </c>
      <c r="AG31" s="42">
        <v>0</v>
      </c>
    </row>
    <row r="32" spans="1:33" ht="15.75" customHeight="1" x14ac:dyDescent="0.2">
      <c r="A32" s="40" t="s">
        <v>90</v>
      </c>
      <c r="B32" s="40" t="s">
        <v>53</v>
      </c>
      <c r="C32" s="14">
        <f t="shared" si="4"/>
        <v>17.989999999999998</v>
      </c>
      <c r="D32" s="15">
        <v>6</v>
      </c>
      <c r="E32" s="15">
        <v>0</v>
      </c>
      <c r="F32" s="16">
        <v>107.94</v>
      </c>
      <c r="G32" s="16">
        <v>-0.6</v>
      </c>
      <c r="H32" s="29">
        <f t="shared" si="1"/>
        <v>5.558643690939411E-3</v>
      </c>
      <c r="I32" s="29">
        <f t="shared" si="2"/>
        <v>5.1493327890494787E-2</v>
      </c>
      <c r="J32" s="30">
        <f t="shared" si="5"/>
        <v>5.5581898125000073</v>
      </c>
      <c r="K32" s="30">
        <f t="shared" si="3"/>
        <v>0.92636496875000118</v>
      </c>
      <c r="L32" s="15">
        <v>58</v>
      </c>
      <c r="M32" s="31">
        <f t="shared" si="6"/>
        <v>0.10344827586206896</v>
      </c>
      <c r="N32" s="15">
        <v>181</v>
      </c>
      <c r="O32" s="32">
        <f t="shared" ref="O32:P32" si="40">D32/7</f>
        <v>0.8571428571428571</v>
      </c>
      <c r="P32" s="32">
        <f t="shared" si="40"/>
        <v>0</v>
      </c>
      <c r="Q32" s="27">
        <f t="shared" si="8"/>
        <v>211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0.43514644351464438</v>
      </c>
      <c r="T32" s="40">
        <f ca="1">IFERROR(__xludf.DUMMYFUNCTION("IFERROR(VLOOKUP($B$2,IMPORTRANGE(""https://docs.google.com/spreadsheets/d/1KiWZV1ko8G7lnRucBRBd29jj3Be6ltMfljMDqzOkQmI/edit#gid=1381463014"",""Lookup!A:D""),4,FALSE),"""")"),234)</f>
        <v>234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234 At Factory 50-75 days from Earliest Arrival")</f>
        <v>No Transit, But 234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0.12755208333333334</v>
      </c>
      <c r="AD32" s="37">
        <f t="shared" si="12"/>
        <v>-0.73470000000000002</v>
      </c>
      <c r="AE32" s="42">
        <v>-9.42</v>
      </c>
      <c r="AF32" s="42">
        <v>-4.7226850312500002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1.6640625" customWidth="1"/>
    <col min="22" max="22" width="2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Eggshell &amp; Cork - 47 x 23 Inch Leather Style Computer Pad for Desk")</f>
        <v>Office Desk Mat, Double Sided Eggshell &amp; Cork - 47 x 23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Info!B1:BJ5000""),2,FALSE),"""")"),"B088TVVY6L")</f>
        <v>B088TVVY6L</v>
      </c>
      <c r="B2" s="3" t="s">
        <v>644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18.645802977941166</v>
      </c>
      <c r="D3" s="5">
        <f>SUM(D4:D99767)</f>
        <v>135</v>
      </c>
      <c r="E3" s="5"/>
      <c r="F3" s="6">
        <f t="shared" ref="F3:G3" si="0">SUM(F4:F99767)</f>
        <v>3378.75</v>
      </c>
      <c r="G3" s="6">
        <f t="shared" si="0"/>
        <v>-61.53</v>
      </c>
      <c r="H3" s="7">
        <f t="shared" ref="H3:H32" si="1">G3/F3*-1</f>
        <v>1.8210876803551608E-2</v>
      </c>
      <c r="I3" s="8">
        <f t="shared" ref="I3:I32" si="2">J3/F3</f>
        <v>0.22266399638681969</v>
      </c>
      <c r="J3" s="6">
        <f>SUM(J4:J99767)</f>
        <v>752.32597779196703</v>
      </c>
      <c r="K3" s="6">
        <f t="shared" ref="K3:K32" si="3">J3/D3</f>
        <v>5.5727850206812377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-18.222120929187586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Info!B2:BZ3000""),37,FALSE)),"""")*-1"),-6.42893253124999)</f>
        <v>-6.4289325312499903</v>
      </c>
      <c r="AG3" s="6">
        <f>SUM(AG4:AG99767)</f>
        <v>0</v>
      </c>
    </row>
    <row r="4" spans="1:33" x14ac:dyDescent="0.2">
      <c r="A4" s="1" t="s">
        <v>32</v>
      </c>
      <c r="B4" s="2" t="s">
        <v>188</v>
      </c>
      <c r="C4" s="14">
        <f t="shared" ref="C4:C32" si="4">IFERROR(F4/D4," - ")</f>
        <v>23.204545454545457</v>
      </c>
      <c r="D4" s="15">
        <v>11</v>
      </c>
      <c r="E4" s="15">
        <v>0</v>
      </c>
      <c r="F4" s="16">
        <v>255.25000000000003</v>
      </c>
      <c r="G4" s="16">
        <v>-36.97</v>
      </c>
      <c r="H4" s="17">
        <f t="shared" si="1"/>
        <v>0.14483839373163562</v>
      </c>
      <c r="I4" s="17">
        <f t="shared" si="2"/>
        <v>5.4183996972969418E-2</v>
      </c>
      <c r="J4" s="16">
        <f t="shared" ref="J4:J32" si="5">F4*0.85+G4+AF4*D4+D4*AE4+AG4+AD4</f>
        <v>13.830465227350446</v>
      </c>
      <c r="K4" s="16">
        <f t="shared" si="3"/>
        <v>1.2573150206682224</v>
      </c>
      <c r="L4" s="15">
        <v>124</v>
      </c>
      <c r="M4" s="18">
        <f t="shared" ref="M4:M32" si="6">IFERROR(D4/L4,"-")</f>
        <v>8.8709677419354843E-2</v>
      </c>
      <c r="N4" s="15">
        <v>135</v>
      </c>
      <c r="O4" s="19">
        <f t="shared" ref="O4:P4" si="7">D4/7</f>
        <v>1.5714285714285714</v>
      </c>
      <c r="P4" s="19">
        <f t="shared" si="7"/>
        <v>0</v>
      </c>
      <c r="Q4" s="15">
        <f t="shared" ref="Q4:Q32" si="8">ROUNDDOWN(N4/(O4+P4),0)</f>
        <v>85</v>
      </c>
      <c r="R4" s="15"/>
      <c r="S4" s="20">
        <v>0.86731391585760498</v>
      </c>
      <c r="T4" s="2">
        <v>242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18.484999999999999</v>
      </c>
      <c r="Z4" s="22">
        <v>2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0.14059071759259259</v>
      </c>
      <c r="AD4" s="24">
        <f t="shared" ref="AD4:AD32" si="12">IFERROR(AB4*AC4*D4*2,0)</f>
        <v>-1.4846379777777778</v>
      </c>
      <c r="AE4" s="24">
        <v>-9.02</v>
      </c>
      <c r="AF4" s="24">
        <v>-5.9506724358974354</v>
      </c>
      <c r="AG4" s="24">
        <v>0</v>
      </c>
    </row>
    <row r="5" spans="1:33" ht="15.75" customHeight="1" x14ac:dyDescent="0.2">
      <c r="A5" s="26" t="s">
        <v>35</v>
      </c>
      <c r="B5" s="26" t="s">
        <v>53</v>
      </c>
      <c r="C5" s="14">
        <f t="shared" si="4"/>
        <v>23.634000000000004</v>
      </c>
      <c r="D5" s="27">
        <v>10</v>
      </c>
      <c r="E5" s="27">
        <v>0</v>
      </c>
      <c r="F5" s="28">
        <v>236.34000000000003</v>
      </c>
      <c r="G5" s="28">
        <v>-10.49</v>
      </c>
      <c r="H5" s="29">
        <f t="shared" si="1"/>
        <v>4.4385207751544378E-2</v>
      </c>
      <c r="I5" s="29">
        <f t="shared" si="2"/>
        <v>0.16645951097126679</v>
      </c>
      <c r="J5" s="30">
        <f t="shared" si="5"/>
        <v>39.341040822949196</v>
      </c>
      <c r="K5" s="30">
        <f t="shared" si="3"/>
        <v>3.9341040822949198</v>
      </c>
      <c r="L5" s="27">
        <v>211</v>
      </c>
      <c r="M5" s="31">
        <f t="shared" si="6"/>
        <v>4.7393364928909949E-2</v>
      </c>
      <c r="N5" s="27">
        <v>124</v>
      </c>
      <c r="O5" s="32">
        <f t="shared" ref="O5:P5" si="13">D5/7</f>
        <v>1.4285714285714286</v>
      </c>
      <c r="P5" s="32">
        <f t="shared" si="13"/>
        <v>0</v>
      </c>
      <c r="Q5" s="27">
        <f t="shared" si="8"/>
        <v>86</v>
      </c>
      <c r="R5" s="27"/>
      <c r="S5" s="33">
        <v>1.1857142857142799</v>
      </c>
      <c r="T5" s="26">
        <v>242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5.2450000000000001</v>
      </c>
      <c r="Z5" s="26">
        <v>2</v>
      </c>
      <c r="AA5" s="26" t="s">
        <v>250</v>
      </c>
      <c r="AB5" s="38">
        <f t="shared" si="11"/>
        <v>-0.48</v>
      </c>
      <c r="AC5" s="39">
        <v>0.14075362688296639</v>
      </c>
      <c r="AD5" s="37">
        <f t="shared" si="12"/>
        <v>-1.3512348180764771</v>
      </c>
      <c r="AE5" s="37">
        <v>-9.02</v>
      </c>
      <c r="AF5" s="37">
        <v>-5.9506724358974354</v>
      </c>
      <c r="AG5" s="37">
        <v>0</v>
      </c>
    </row>
    <row r="6" spans="1:33" ht="15.75" customHeight="1" x14ac:dyDescent="0.2">
      <c r="A6" s="26" t="s">
        <v>38</v>
      </c>
      <c r="B6" s="26" t="s">
        <v>645</v>
      </c>
      <c r="C6" s="14">
        <f t="shared" si="4"/>
        <v>22.990000000000006</v>
      </c>
      <c r="D6" s="27">
        <v>15</v>
      </c>
      <c r="E6" s="27">
        <v>0</v>
      </c>
      <c r="F6" s="28">
        <v>344.85000000000008</v>
      </c>
      <c r="G6" s="28">
        <v>0</v>
      </c>
      <c r="H6" s="29">
        <f t="shared" si="1"/>
        <v>0</v>
      </c>
      <c r="I6" s="29">
        <f t="shared" si="2"/>
        <v>0.19294738909150411</v>
      </c>
      <c r="J6" s="30">
        <f t="shared" si="5"/>
        <v>66.537907128205205</v>
      </c>
      <c r="K6" s="30">
        <f t="shared" si="3"/>
        <v>4.4358604752136808</v>
      </c>
      <c r="L6" s="27">
        <v>167</v>
      </c>
      <c r="M6" s="31">
        <f t="shared" si="6"/>
        <v>8.9820359281437126E-2</v>
      </c>
      <c r="N6" s="27">
        <v>106</v>
      </c>
      <c r="O6" s="32">
        <f t="shared" ref="O6:P6" si="14">D6/7</f>
        <v>2.1428571428571428</v>
      </c>
      <c r="P6" s="32">
        <f t="shared" si="14"/>
        <v>0</v>
      </c>
      <c r="Q6" s="27">
        <f t="shared" si="8"/>
        <v>49</v>
      </c>
      <c r="R6" s="27"/>
      <c r="S6" s="33">
        <v>0.786885245901639</v>
      </c>
      <c r="T6" s="26">
        <v>242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0.14059071759259259</v>
      </c>
      <c r="AD6" s="37">
        <f t="shared" si="12"/>
        <v>-2.0245063333333335</v>
      </c>
      <c r="AE6" s="37">
        <v>-9.02</v>
      </c>
      <c r="AF6" s="37">
        <v>-5.9506724358974354</v>
      </c>
      <c r="AG6" s="37">
        <v>0</v>
      </c>
    </row>
    <row r="7" spans="1:33" ht="15.75" customHeight="1" x14ac:dyDescent="0.2">
      <c r="A7" s="26" t="s">
        <v>41</v>
      </c>
      <c r="B7" s="26" t="s">
        <v>53</v>
      </c>
      <c r="C7" s="14">
        <f t="shared" si="4"/>
        <v>24.561250000000001</v>
      </c>
      <c r="D7" s="27">
        <v>8</v>
      </c>
      <c r="E7" s="27">
        <v>0</v>
      </c>
      <c r="F7" s="28">
        <v>196.49</v>
      </c>
      <c r="G7" s="28">
        <v>0</v>
      </c>
      <c r="H7" s="29">
        <f t="shared" si="1"/>
        <v>0</v>
      </c>
      <c r="I7" s="29">
        <f t="shared" si="2"/>
        <v>0.23498083262104646</v>
      </c>
      <c r="J7" s="30">
        <f t="shared" si="5"/>
        <v>46.171383801709425</v>
      </c>
      <c r="K7" s="30">
        <f t="shared" si="3"/>
        <v>5.7714229752136781</v>
      </c>
      <c r="L7" s="27">
        <v>119</v>
      </c>
      <c r="M7" s="31">
        <f t="shared" si="6"/>
        <v>6.7226890756302518E-2</v>
      </c>
      <c r="N7" s="27">
        <v>93</v>
      </c>
      <c r="O7" s="32">
        <f t="shared" ref="O7:P7" si="15">D7/7</f>
        <v>1.1428571428571428</v>
      </c>
      <c r="P7" s="32">
        <f t="shared" si="15"/>
        <v>0</v>
      </c>
      <c r="Q7" s="27">
        <f t="shared" si="8"/>
        <v>81</v>
      </c>
      <c r="R7" s="27"/>
      <c r="S7" s="33">
        <v>0.94808126410835203</v>
      </c>
      <c r="T7" s="26">
        <v>242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0.14059071759259259</v>
      </c>
      <c r="AD7" s="37">
        <f t="shared" si="12"/>
        <v>-1.0797367111111111</v>
      </c>
      <c r="AE7" s="37">
        <v>-9.02</v>
      </c>
      <c r="AF7" s="37">
        <v>-5.9506724358974354</v>
      </c>
      <c r="AG7" s="37">
        <v>0</v>
      </c>
    </row>
    <row r="8" spans="1:33" ht="15.75" customHeight="1" x14ac:dyDescent="0.2">
      <c r="A8" s="26" t="s">
        <v>43</v>
      </c>
      <c r="B8" s="26" t="s">
        <v>53</v>
      </c>
      <c r="C8" s="14">
        <f t="shared" si="4"/>
        <v>25.461666666666673</v>
      </c>
      <c r="D8" s="27">
        <v>6</v>
      </c>
      <c r="E8" s="27">
        <v>0</v>
      </c>
      <c r="F8" s="28">
        <v>152.77000000000004</v>
      </c>
      <c r="G8" s="28">
        <v>0</v>
      </c>
      <c r="H8" s="29">
        <f t="shared" si="1"/>
        <v>0</v>
      </c>
      <c r="I8" s="29">
        <f t="shared" si="2"/>
        <v>0.25675654556959276</v>
      </c>
      <c r="J8" s="30">
        <f t="shared" si="5"/>
        <v>39.224697466666697</v>
      </c>
      <c r="K8" s="30">
        <f t="shared" si="3"/>
        <v>6.5374495777777826</v>
      </c>
      <c r="L8" s="27">
        <v>78</v>
      </c>
      <c r="M8" s="31">
        <f t="shared" si="6"/>
        <v>7.6923076923076927E-2</v>
      </c>
      <c r="N8" s="27">
        <v>84</v>
      </c>
      <c r="O8" s="32">
        <f t="shared" ref="O8:P8" si="16">D8/7</f>
        <v>0.8571428571428571</v>
      </c>
      <c r="P8" s="32">
        <f t="shared" si="16"/>
        <v>0</v>
      </c>
      <c r="Q8" s="27">
        <f t="shared" si="8"/>
        <v>98</v>
      </c>
      <c r="R8" s="27"/>
      <c r="S8" s="33">
        <v>1.14143920595533</v>
      </c>
      <c r="T8" s="26">
        <v>242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0.14059071759259259</v>
      </c>
      <c r="AD8" s="37">
        <f t="shared" si="12"/>
        <v>-0.80980253333333341</v>
      </c>
      <c r="AE8" s="37">
        <v>-9.02</v>
      </c>
      <c r="AF8" s="37">
        <v>-5.95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23.990000000000002</v>
      </c>
      <c r="D9" s="27">
        <v>8</v>
      </c>
      <c r="E9" s="27">
        <v>0</v>
      </c>
      <c r="F9" s="28">
        <v>191.92000000000002</v>
      </c>
      <c r="G9" s="28">
        <v>0</v>
      </c>
      <c r="H9" s="29">
        <f t="shared" si="1"/>
        <v>0</v>
      </c>
      <c r="I9" s="29">
        <f t="shared" si="2"/>
        <v>0.21551293651557119</v>
      </c>
      <c r="J9" s="30">
        <f t="shared" si="5"/>
        <v>41.361242776068423</v>
      </c>
      <c r="K9" s="30">
        <f t="shared" si="3"/>
        <v>5.1701553470085528</v>
      </c>
      <c r="L9" s="27">
        <v>91</v>
      </c>
      <c r="M9" s="31">
        <f t="shared" si="6"/>
        <v>8.7912087912087919E-2</v>
      </c>
      <c r="N9" s="27">
        <v>85</v>
      </c>
      <c r="O9" s="32">
        <f t="shared" ref="O9:P9" si="17">D9/7</f>
        <v>1.1428571428571428</v>
      </c>
      <c r="P9" s="32">
        <f t="shared" si="17"/>
        <v>0</v>
      </c>
      <c r="Q9" s="27">
        <f t="shared" si="8"/>
        <v>74</v>
      </c>
      <c r="R9" s="27"/>
      <c r="S9" s="33">
        <v>1.3189189189189101</v>
      </c>
      <c r="T9" s="26">
        <v>242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0.14059071759259259</v>
      </c>
      <c r="AD9" s="37">
        <f t="shared" si="12"/>
        <v>-1.0797367111111111</v>
      </c>
      <c r="AE9" s="37">
        <v>-9.02</v>
      </c>
      <c r="AF9" s="37">
        <v>-6.0663775641025603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24.254999999999999</v>
      </c>
      <c r="D10" s="27">
        <v>4</v>
      </c>
      <c r="E10" s="27">
        <v>0</v>
      </c>
      <c r="F10" s="28">
        <v>97.02</v>
      </c>
      <c r="G10" s="28">
        <v>0</v>
      </c>
      <c r="H10" s="29">
        <f t="shared" si="1"/>
        <v>0</v>
      </c>
      <c r="I10" s="29">
        <f t="shared" si="2"/>
        <v>0.22244507718031548</v>
      </c>
      <c r="J10" s="30">
        <f t="shared" si="5"/>
        <v>21.581621388034208</v>
      </c>
      <c r="K10" s="30">
        <f t="shared" si="3"/>
        <v>5.3954053470085519</v>
      </c>
      <c r="L10" s="27">
        <v>72</v>
      </c>
      <c r="M10" s="31">
        <f t="shared" si="6"/>
        <v>5.5555555555555552E-2</v>
      </c>
      <c r="N10" s="27">
        <v>78</v>
      </c>
      <c r="O10" s="32">
        <f t="shared" ref="O10:P10" si="18">D10/7</f>
        <v>0.5714285714285714</v>
      </c>
      <c r="P10" s="32">
        <f t="shared" si="18"/>
        <v>0</v>
      </c>
      <c r="Q10" s="27">
        <f t="shared" si="8"/>
        <v>136</v>
      </c>
      <c r="R10" s="27"/>
      <c r="S10" s="33">
        <v>0.87719298245613997</v>
      </c>
      <c r="T10" s="26">
        <v>242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0.14059071759259259</v>
      </c>
      <c r="AD10" s="37">
        <f t="shared" si="12"/>
        <v>-0.53986835555555557</v>
      </c>
      <c r="AE10" s="37">
        <v>-9.02</v>
      </c>
      <c r="AF10" s="37">
        <v>-6.0663775641025603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25.009999999999998</v>
      </c>
      <c r="D11" s="27">
        <v>4</v>
      </c>
      <c r="E11" s="27">
        <v>1</v>
      </c>
      <c r="F11" s="28">
        <v>100.03999999999999</v>
      </c>
      <c r="G11" s="28">
        <v>0</v>
      </c>
      <c r="H11" s="29">
        <f t="shared" si="1"/>
        <v>0</v>
      </c>
      <c r="I11" s="29">
        <f t="shared" si="2"/>
        <v>0.24138965801713516</v>
      </c>
      <c r="J11" s="30">
        <f t="shared" si="5"/>
        <v>24.148621388034201</v>
      </c>
      <c r="K11" s="30">
        <f t="shared" si="3"/>
        <v>6.0371553470085502</v>
      </c>
      <c r="L11" s="27">
        <v>53</v>
      </c>
      <c r="M11" s="31">
        <f t="shared" si="6"/>
        <v>7.5471698113207544E-2</v>
      </c>
      <c r="N11" s="27">
        <v>69</v>
      </c>
      <c r="O11" s="32">
        <f t="shared" ref="O11:P11" si="19">D11/7</f>
        <v>0.5714285714285714</v>
      </c>
      <c r="P11" s="32">
        <f t="shared" si="19"/>
        <v>0.14285714285714285</v>
      </c>
      <c r="Q11" s="27">
        <f t="shared" si="8"/>
        <v>96</v>
      </c>
      <c r="R11" s="27"/>
      <c r="S11" s="33">
        <v>0.93160813308687596</v>
      </c>
      <c r="T11" s="26">
        <v>242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0.14059071759259259</v>
      </c>
      <c r="AD11" s="37">
        <f t="shared" si="12"/>
        <v>-0.53986835555555557</v>
      </c>
      <c r="AE11" s="37">
        <v>-9.02</v>
      </c>
      <c r="AF11" s="37">
        <v>-6.0663775641025603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25.934285714285714</v>
      </c>
      <c r="D12" s="27">
        <v>7</v>
      </c>
      <c r="E12" s="27">
        <v>0</v>
      </c>
      <c r="F12" s="28">
        <v>181.54</v>
      </c>
      <c r="G12" s="28">
        <v>0</v>
      </c>
      <c r="H12" s="29">
        <f t="shared" si="1"/>
        <v>0</v>
      </c>
      <c r="I12" s="29">
        <f t="shared" si="2"/>
        <v>0.26308024363258703</v>
      </c>
      <c r="J12" s="30">
        <f t="shared" si="5"/>
        <v>47.759587429059849</v>
      </c>
      <c r="K12" s="30">
        <f t="shared" si="3"/>
        <v>6.8227982041514066</v>
      </c>
      <c r="L12" s="27">
        <v>53</v>
      </c>
      <c r="M12" s="31">
        <f t="shared" si="6"/>
        <v>0.13207547169811321</v>
      </c>
      <c r="N12" s="27">
        <v>63</v>
      </c>
      <c r="O12" s="32">
        <f t="shared" ref="O12:P12" si="20">D12/7</f>
        <v>1</v>
      </c>
      <c r="P12" s="32">
        <f t="shared" si="20"/>
        <v>0</v>
      </c>
      <c r="Q12" s="27">
        <f t="shared" si="8"/>
        <v>63</v>
      </c>
      <c r="R12" s="27"/>
      <c r="S12" s="33">
        <v>1.0517598343685299</v>
      </c>
      <c r="T12" s="26">
        <v>242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0.14059071759259259</v>
      </c>
      <c r="AD12" s="37">
        <f t="shared" si="12"/>
        <v>-0.94476962222222227</v>
      </c>
      <c r="AE12" s="37">
        <v>-9.02</v>
      </c>
      <c r="AF12" s="37">
        <v>-6.0663775641025603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26.191111111111116</v>
      </c>
      <c r="D13" s="27">
        <v>9</v>
      </c>
      <c r="E13" s="27">
        <v>0</v>
      </c>
      <c r="F13" s="30">
        <v>235.72000000000006</v>
      </c>
      <c r="G13" s="28">
        <v>0</v>
      </c>
      <c r="H13" s="29">
        <f t="shared" si="1"/>
        <v>0</v>
      </c>
      <c r="I13" s="29">
        <f t="shared" si="2"/>
        <v>0.26651035635499798</v>
      </c>
      <c r="J13" s="30">
        <f t="shared" si="5"/>
        <v>62.821821200000137</v>
      </c>
      <c r="K13" s="30">
        <f t="shared" si="3"/>
        <v>6.980202355555571</v>
      </c>
      <c r="L13" s="27">
        <v>43</v>
      </c>
      <c r="M13" s="31">
        <f t="shared" si="6"/>
        <v>0.20930232558139536</v>
      </c>
      <c r="N13" s="27">
        <v>53</v>
      </c>
      <c r="O13" s="32">
        <f t="shared" ref="O13:P13" si="21">D13/7</f>
        <v>1.2857142857142858</v>
      </c>
      <c r="P13" s="32">
        <f t="shared" si="21"/>
        <v>0</v>
      </c>
      <c r="Q13" s="27">
        <f t="shared" si="8"/>
        <v>41</v>
      </c>
      <c r="R13" s="27"/>
      <c r="S13" s="33">
        <v>1.0978723404255299</v>
      </c>
      <c r="T13" s="26">
        <v>242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0.14059071759259259</v>
      </c>
      <c r="AD13" s="37">
        <f t="shared" si="12"/>
        <v>-1.2147038000000001</v>
      </c>
      <c r="AE13" s="37">
        <v>-9.02</v>
      </c>
      <c r="AF13" s="37">
        <v>-6.1272749999999903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26.935000000000002</v>
      </c>
      <c r="D14" s="27">
        <v>4</v>
      </c>
      <c r="E14" s="27">
        <v>0</v>
      </c>
      <c r="F14" s="30">
        <v>107.74000000000001</v>
      </c>
      <c r="G14" s="28">
        <v>0</v>
      </c>
      <c r="H14" s="29">
        <f t="shared" si="1"/>
        <v>0</v>
      </c>
      <c r="I14" s="29">
        <f t="shared" si="2"/>
        <v>0.2826251312831306</v>
      </c>
      <c r="J14" s="30">
        <f t="shared" si="5"/>
        <v>30.450031644444493</v>
      </c>
      <c r="K14" s="30">
        <f t="shared" si="3"/>
        <v>7.6125079111111233</v>
      </c>
      <c r="L14" s="27">
        <v>71</v>
      </c>
      <c r="M14" s="31">
        <f t="shared" si="6"/>
        <v>5.6338028169014086E-2</v>
      </c>
      <c r="N14" s="27">
        <v>47</v>
      </c>
      <c r="O14" s="32">
        <f t="shared" ref="O14:P14" si="22">D14/7</f>
        <v>0.5714285714285714</v>
      </c>
      <c r="P14" s="32">
        <f t="shared" si="22"/>
        <v>0</v>
      </c>
      <c r="Q14" s="27">
        <f t="shared" si="8"/>
        <v>82</v>
      </c>
      <c r="R14" s="27"/>
      <c r="S14" s="33">
        <v>1.0635294117647001</v>
      </c>
      <c r="T14" s="26">
        <v>242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0.14059071759259259</v>
      </c>
      <c r="AD14" s="37">
        <f t="shared" si="12"/>
        <v>-0.53986835555555557</v>
      </c>
      <c r="AE14" s="37">
        <v>-9.02</v>
      </c>
      <c r="AF14" s="37">
        <v>-6.1272749999999903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27.411999999999999</v>
      </c>
      <c r="D15" s="27">
        <v>5</v>
      </c>
      <c r="E15" s="27">
        <v>0</v>
      </c>
      <c r="F15" s="30">
        <v>137.06</v>
      </c>
      <c r="G15" s="28">
        <v>0</v>
      </c>
      <c r="H15" s="29">
        <f t="shared" si="1"/>
        <v>0</v>
      </c>
      <c r="I15" s="29">
        <f t="shared" si="2"/>
        <v>0.29249809977787539</v>
      </c>
      <c r="J15" s="30">
        <f t="shared" si="5"/>
        <v>40.089789555555605</v>
      </c>
      <c r="K15" s="30">
        <f t="shared" si="3"/>
        <v>8.0179579111111217</v>
      </c>
      <c r="L15" s="27">
        <v>55</v>
      </c>
      <c r="M15" s="31">
        <f t="shared" si="6"/>
        <v>9.0909090909090912E-2</v>
      </c>
      <c r="N15" s="27">
        <v>40</v>
      </c>
      <c r="O15" s="32">
        <f t="shared" ref="O15:P15" si="23">D15/7</f>
        <v>0.7142857142857143</v>
      </c>
      <c r="P15" s="32">
        <f t="shared" si="23"/>
        <v>0</v>
      </c>
      <c r="Q15" s="27">
        <f t="shared" si="8"/>
        <v>56</v>
      </c>
      <c r="R15" s="27"/>
      <c r="S15" s="33">
        <v>1.05641025641025</v>
      </c>
      <c r="T15" s="26">
        <v>400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0.14059071759259259</v>
      </c>
      <c r="AD15" s="37">
        <f t="shared" si="12"/>
        <v>-0.67483544444444443</v>
      </c>
      <c r="AE15" s="37">
        <v>-9.02</v>
      </c>
      <c r="AF15" s="37">
        <v>-6.1272749999999903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26.62</v>
      </c>
      <c r="D16" s="27">
        <v>6</v>
      </c>
      <c r="E16" s="27">
        <v>1</v>
      </c>
      <c r="F16" s="30">
        <v>159.72</v>
      </c>
      <c r="G16" s="28">
        <v>0</v>
      </c>
      <c r="H16" s="29">
        <f t="shared" si="1"/>
        <v>0</v>
      </c>
      <c r="I16" s="29">
        <f t="shared" si="2"/>
        <v>0.27591126638283703</v>
      </c>
      <c r="J16" s="30">
        <f t="shared" si="5"/>
        <v>44.068547466666729</v>
      </c>
      <c r="K16" s="30">
        <f t="shared" si="3"/>
        <v>7.3447579111111212</v>
      </c>
      <c r="L16" s="27">
        <v>56</v>
      </c>
      <c r="M16" s="31">
        <f t="shared" si="6"/>
        <v>0.10714285714285714</v>
      </c>
      <c r="N16" s="27">
        <v>34</v>
      </c>
      <c r="O16" s="32">
        <f t="shared" ref="O16:P16" si="24">D16/7</f>
        <v>0.8571428571428571</v>
      </c>
      <c r="P16" s="32">
        <f t="shared" si="24"/>
        <v>0.14285714285714285</v>
      </c>
      <c r="Q16" s="27">
        <f t="shared" si="8"/>
        <v>34</v>
      </c>
      <c r="R16" s="27"/>
      <c r="S16" s="33">
        <v>1.1348314606741501</v>
      </c>
      <c r="T16" s="26">
        <v>400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0.14059071759259259</v>
      </c>
      <c r="AD16" s="37">
        <f t="shared" si="12"/>
        <v>-0.80980253333333341</v>
      </c>
      <c r="AE16" s="37">
        <v>-9.02</v>
      </c>
      <c r="AF16" s="37">
        <v>-6.1272749999999903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26.62</v>
      </c>
      <c r="D17" s="27">
        <v>1</v>
      </c>
      <c r="E17" s="27">
        <v>0</v>
      </c>
      <c r="F17" s="30">
        <v>26.62</v>
      </c>
      <c r="G17" s="28">
        <v>0</v>
      </c>
      <c r="H17" s="29">
        <f t="shared" si="1"/>
        <v>0</v>
      </c>
      <c r="I17" s="29">
        <f t="shared" si="2"/>
        <v>0.27591126638283697</v>
      </c>
      <c r="J17" s="30">
        <f t="shared" si="5"/>
        <v>7.3447579111111203</v>
      </c>
      <c r="K17" s="30">
        <f t="shared" si="3"/>
        <v>7.3447579111111203</v>
      </c>
      <c r="L17" s="27">
        <v>0</v>
      </c>
      <c r="M17" s="31" t="str">
        <f t="shared" si="6"/>
        <v>-</v>
      </c>
      <c r="N17" s="27">
        <v>34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238</v>
      </c>
      <c r="R17" s="27"/>
      <c r="S17" s="33">
        <v>1.1058823529411701</v>
      </c>
      <c r="T17" s="26">
        <v>400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0.14059071759259259</v>
      </c>
      <c r="AD17" s="37">
        <f t="shared" si="12"/>
        <v>-0.13496708888888889</v>
      </c>
      <c r="AE17" s="37">
        <v>-9.02</v>
      </c>
      <c r="AF17" s="37">
        <v>-6.1272749999999903</v>
      </c>
      <c r="AG17" s="37">
        <v>0</v>
      </c>
    </row>
    <row r="18" spans="1:33" ht="15.75" customHeight="1" x14ac:dyDescent="0.2">
      <c r="A18" s="26" t="s">
        <v>62</v>
      </c>
      <c r="B18" s="26" t="s">
        <v>646</v>
      </c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33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1.0631229235880399</v>
      </c>
      <c r="T18" s="26">
        <v>400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0.14059071759259259</v>
      </c>
      <c r="AD18" s="37">
        <f t="shared" si="12"/>
        <v>0</v>
      </c>
      <c r="AE18" s="37">
        <v>-9.02</v>
      </c>
      <c r="AF18" s="37">
        <v>-6.1272749999999903</v>
      </c>
      <c r="AG18" s="37">
        <v>0</v>
      </c>
    </row>
    <row r="19" spans="1:33" ht="15.75" customHeight="1" x14ac:dyDescent="0.2">
      <c r="A19" s="26" t="s">
        <v>64</v>
      </c>
      <c r="B19" s="26" t="s">
        <v>647</v>
      </c>
      <c r="C19" s="14">
        <f t="shared" si="4"/>
        <v>26.62</v>
      </c>
      <c r="D19" s="27">
        <v>4</v>
      </c>
      <c r="E19" s="27">
        <v>0</v>
      </c>
      <c r="F19" s="30">
        <v>106.48</v>
      </c>
      <c r="G19" s="28">
        <v>0</v>
      </c>
      <c r="H19" s="29">
        <f t="shared" si="1"/>
        <v>0</v>
      </c>
      <c r="I19" s="29">
        <f t="shared" si="2"/>
        <v>0.27591126638283658</v>
      </c>
      <c r="J19" s="30">
        <f t="shared" si="5"/>
        <v>29.379031644444439</v>
      </c>
      <c r="K19" s="30">
        <f t="shared" si="3"/>
        <v>7.3447579111111096</v>
      </c>
      <c r="L19" s="27">
        <v>41</v>
      </c>
      <c r="M19" s="31">
        <f t="shared" si="6"/>
        <v>9.7560975609756101E-2</v>
      </c>
      <c r="N19" s="27">
        <v>30</v>
      </c>
      <c r="O19" s="32">
        <f t="shared" ref="O19:P19" si="27">D19/7</f>
        <v>0.5714285714285714</v>
      </c>
      <c r="P19" s="32">
        <f t="shared" si="27"/>
        <v>0</v>
      </c>
      <c r="Q19" s="27">
        <f t="shared" si="8"/>
        <v>52</v>
      </c>
      <c r="R19" s="27"/>
      <c r="S19" s="33">
        <v>1.0108303249097399</v>
      </c>
      <c r="T19" s="26">
        <v>400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0.14059071759259259</v>
      </c>
      <c r="AD19" s="37">
        <f t="shared" si="12"/>
        <v>-0.53986835555555557</v>
      </c>
      <c r="AE19" s="37">
        <v>-9.02</v>
      </c>
      <c r="AF19" s="37">
        <v>-6.1272749999999991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29.221250000000001</v>
      </c>
      <c r="D20" s="27">
        <v>8</v>
      </c>
      <c r="E20" s="27">
        <v>0</v>
      </c>
      <c r="F20" s="30">
        <v>233.77</v>
      </c>
      <c r="G20" s="28">
        <v>0</v>
      </c>
      <c r="H20" s="29">
        <f t="shared" si="1"/>
        <v>0</v>
      </c>
      <c r="I20" s="29">
        <f t="shared" si="2"/>
        <v>0.32701614103130816</v>
      </c>
      <c r="J20" s="30">
        <f t="shared" si="5"/>
        <v>76.44656328888891</v>
      </c>
      <c r="K20" s="30">
        <f t="shared" si="3"/>
        <v>9.5558204111111138</v>
      </c>
      <c r="L20" s="27">
        <v>39</v>
      </c>
      <c r="M20" s="31">
        <f t="shared" si="6"/>
        <v>0.20512820512820512</v>
      </c>
      <c r="N20" s="27">
        <v>23</v>
      </c>
      <c r="O20" s="32">
        <f t="shared" ref="O20:P20" si="28">D20/7</f>
        <v>1.1428571428571428</v>
      </c>
      <c r="P20" s="32">
        <f t="shared" si="28"/>
        <v>0</v>
      </c>
      <c r="Q20" s="27">
        <f t="shared" si="8"/>
        <v>20</v>
      </c>
      <c r="R20" s="27"/>
      <c r="S20" s="33">
        <v>1.09523809523809</v>
      </c>
      <c r="T20" s="26">
        <v>400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0.14059071759259259</v>
      </c>
      <c r="AD20" s="37">
        <f t="shared" si="12"/>
        <v>-1.0797367111111111</v>
      </c>
      <c r="AE20" s="37">
        <v>-9.02</v>
      </c>
      <c r="AF20" s="37">
        <v>-6.1272749999999991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28.621999999999996</v>
      </c>
      <c r="D21" s="27">
        <v>5</v>
      </c>
      <c r="E21" s="27">
        <v>0</v>
      </c>
      <c r="F21" s="30">
        <v>143.10999999999999</v>
      </c>
      <c r="G21" s="28">
        <v>0</v>
      </c>
      <c r="H21" s="29">
        <f t="shared" si="1"/>
        <v>0</v>
      </c>
      <c r="I21" s="29">
        <f t="shared" si="2"/>
        <v>0.31606658902631241</v>
      </c>
      <c r="J21" s="30">
        <f t="shared" si="5"/>
        <v>45.23228955555556</v>
      </c>
      <c r="K21" s="30">
        <f t="shared" si="3"/>
        <v>9.0464579111111121</v>
      </c>
      <c r="L21" s="27">
        <v>13</v>
      </c>
      <c r="M21" s="31">
        <f t="shared" si="6"/>
        <v>0.38461538461538464</v>
      </c>
      <c r="N21" s="27">
        <v>20</v>
      </c>
      <c r="O21" s="32">
        <f t="shared" ref="O21:P21" si="29">D21/7</f>
        <v>0.7142857142857143</v>
      </c>
      <c r="P21" s="32">
        <f t="shared" si="29"/>
        <v>0</v>
      </c>
      <c r="Q21" s="27">
        <f t="shared" si="8"/>
        <v>28</v>
      </c>
      <c r="R21" s="27"/>
      <c r="S21" s="33">
        <v>1.12775330396475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0.14059071759259259</v>
      </c>
      <c r="AD21" s="37">
        <f t="shared" si="12"/>
        <v>-0.67483544444444443</v>
      </c>
      <c r="AE21" s="37">
        <v>-9.02</v>
      </c>
      <c r="AF21" s="37">
        <v>-6.1272749999999991</v>
      </c>
      <c r="AG21" s="37">
        <v>0</v>
      </c>
    </row>
    <row r="22" spans="1:33" ht="15.75" customHeight="1" x14ac:dyDescent="0.2">
      <c r="A22" s="26" t="s">
        <v>67</v>
      </c>
      <c r="B22" s="26" t="s">
        <v>648</v>
      </c>
      <c r="C22" s="14">
        <f t="shared" si="4"/>
        <v>28.516666666666669</v>
      </c>
      <c r="D22" s="27">
        <v>3</v>
      </c>
      <c r="E22" s="27">
        <v>0</v>
      </c>
      <c r="F22" s="28">
        <v>85.550000000000011</v>
      </c>
      <c r="G22" s="28">
        <v>0</v>
      </c>
      <c r="H22" s="29">
        <f t="shared" si="1"/>
        <v>0</v>
      </c>
      <c r="I22" s="29">
        <f t="shared" si="2"/>
        <v>0.31409437443989868</v>
      </c>
      <c r="J22" s="30">
        <f t="shared" si="5"/>
        <v>26.870773733333337</v>
      </c>
      <c r="K22" s="30">
        <f t="shared" si="3"/>
        <v>8.9569245777777784</v>
      </c>
      <c r="L22" s="27">
        <v>38</v>
      </c>
      <c r="M22" s="31">
        <f t="shared" si="6"/>
        <v>7.8947368421052627E-2</v>
      </c>
      <c r="N22" s="27">
        <v>17</v>
      </c>
      <c r="O22" s="32">
        <f t="shared" ref="O22:P22" si="30">D22/7</f>
        <v>0.42857142857142855</v>
      </c>
      <c r="P22" s="32">
        <f t="shared" si="30"/>
        <v>0</v>
      </c>
      <c r="Q22" s="27">
        <f t="shared" si="8"/>
        <v>39</v>
      </c>
      <c r="R22" s="27"/>
      <c r="S22" s="33">
        <v>1.1346153846153799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0.14059071759259259</v>
      </c>
      <c r="AD22" s="37">
        <f t="shared" si="12"/>
        <v>-0.4049012666666667</v>
      </c>
      <c r="AE22" s="37">
        <v>-9.02</v>
      </c>
      <c r="AF22" s="37">
        <v>-6.1272749999999991</v>
      </c>
      <c r="AG22" s="37">
        <v>0</v>
      </c>
    </row>
    <row r="23" spans="1:33" ht="15.75" customHeight="1" x14ac:dyDescent="0.2">
      <c r="A23" s="26" t="s">
        <v>68</v>
      </c>
      <c r="B23" s="26" t="s">
        <v>649</v>
      </c>
      <c r="C23" s="14">
        <f t="shared" si="4"/>
        <v>25.88</v>
      </c>
      <c r="D23" s="27">
        <v>3</v>
      </c>
      <c r="E23" s="27">
        <v>0</v>
      </c>
      <c r="F23" s="30">
        <v>77.64</v>
      </c>
      <c r="G23" s="28">
        <v>0</v>
      </c>
      <c r="H23" s="29">
        <f t="shared" si="1"/>
        <v>0</v>
      </c>
      <c r="I23" s="29">
        <f t="shared" si="2"/>
        <v>0.25949605529795639</v>
      </c>
      <c r="J23" s="30">
        <f t="shared" si="5"/>
        <v>20.147273733333336</v>
      </c>
      <c r="K23" s="30">
        <f t="shared" si="3"/>
        <v>6.7157579111111119</v>
      </c>
      <c r="L23" s="27">
        <v>38</v>
      </c>
      <c r="M23" s="31">
        <f t="shared" si="6"/>
        <v>7.8947368421052627E-2</v>
      </c>
      <c r="N23" s="27">
        <v>12</v>
      </c>
      <c r="O23" s="32">
        <f t="shared" ref="O23:P23" si="31">D23/7</f>
        <v>0.42857142857142855</v>
      </c>
      <c r="P23" s="32">
        <f t="shared" si="31"/>
        <v>0</v>
      </c>
      <c r="Q23" s="27">
        <f t="shared" si="8"/>
        <v>28</v>
      </c>
      <c r="R23" s="27"/>
      <c r="S23" s="33">
        <v>1.26315789473684</v>
      </c>
      <c r="T23" s="26">
        <v>496</v>
      </c>
      <c r="U23" s="34" t="s">
        <v>34</v>
      </c>
      <c r="V23" s="35" t="s">
        <v>634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0.14059071759259259</v>
      </c>
      <c r="AD23" s="37">
        <f t="shared" si="12"/>
        <v>-0.4049012666666667</v>
      </c>
      <c r="AE23" s="37">
        <v>-9.02</v>
      </c>
      <c r="AF23" s="37">
        <v>-6.1272749999999991</v>
      </c>
      <c r="AG23" s="37">
        <v>0</v>
      </c>
    </row>
    <row r="24" spans="1:33" ht="15.75" customHeight="1" x14ac:dyDescent="0.2">
      <c r="A24" s="26" t="s">
        <v>71</v>
      </c>
      <c r="B24" s="26" t="s">
        <v>650</v>
      </c>
      <c r="C24" s="14">
        <f t="shared" si="4"/>
        <v>12.984999999999999</v>
      </c>
      <c r="D24" s="27">
        <v>2</v>
      </c>
      <c r="E24" s="27">
        <v>0</v>
      </c>
      <c r="F24" s="30">
        <v>25.97</v>
      </c>
      <c r="G24" s="30">
        <v>0</v>
      </c>
      <c r="H24" s="29">
        <f t="shared" si="1"/>
        <v>0</v>
      </c>
      <c r="I24" s="29">
        <f t="shared" si="2"/>
        <v>-0.32691506267915976</v>
      </c>
      <c r="J24" s="30">
        <f t="shared" si="5"/>
        <v>-8.489984177777778</v>
      </c>
      <c r="K24" s="30">
        <f t="shared" si="3"/>
        <v>-4.244992088888889</v>
      </c>
      <c r="L24" s="27">
        <v>35</v>
      </c>
      <c r="M24" s="31">
        <f t="shared" si="6"/>
        <v>5.7142857142857141E-2</v>
      </c>
      <c r="N24" s="27">
        <v>10</v>
      </c>
      <c r="O24" s="32">
        <f t="shared" ref="O24:P24" si="32">D24/7</f>
        <v>0.2857142857142857</v>
      </c>
      <c r="P24" s="32">
        <f t="shared" si="32"/>
        <v>0</v>
      </c>
      <c r="Q24" s="27">
        <f t="shared" si="8"/>
        <v>35</v>
      </c>
      <c r="R24" s="27"/>
      <c r="S24" s="33">
        <v>1.3882352941176399</v>
      </c>
      <c r="T24" s="26">
        <v>496</v>
      </c>
      <c r="U24" s="34">
        <v>96</v>
      </c>
      <c r="V24" s="35" t="s">
        <v>636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0.14059071759259259</v>
      </c>
      <c r="AD24" s="37">
        <f t="shared" si="12"/>
        <v>-0.26993417777777778</v>
      </c>
      <c r="AE24" s="37">
        <v>-9.02</v>
      </c>
      <c r="AF24" s="37">
        <v>-6.1272749999999991</v>
      </c>
      <c r="AG24" s="37">
        <v>0</v>
      </c>
    </row>
    <row r="25" spans="1:33" ht="15.75" customHeight="1" x14ac:dyDescent="0.2">
      <c r="A25" s="40" t="s">
        <v>73</v>
      </c>
      <c r="B25" s="40" t="s">
        <v>651</v>
      </c>
      <c r="C25" s="14">
        <f t="shared" si="4"/>
        <v>24.655000000000001</v>
      </c>
      <c r="D25" s="15">
        <v>2</v>
      </c>
      <c r="E25" s="15">
        <v>0</v>
      </c>
      <c r="F25" s="16">
        <v>49.31</v>
      </c>
      <c r="G25" s="16">
        <v>-1.1499999999999999</v>
      </c>
      <c r="H25" s="29">
        <f t="shared" si="1"/>
        <v>2.3321841411478399E-2</v>
      </c>
      <c r="I25" s="29">
        <f t="shared" si="2"/>
        <v>0.20672410915072451</v>
      </c>
      <c r="J25" s="30">
        <f t="shared" si="5"/>
        <v>10.193565822222226</v>
      </c>
      <c r="K25" s="30">
        <f t="shared" si="3"/>
        <v>5.0967829111111129</v>
      </c>
      <c r="L25" s="15">
        <v>41</v>
      </c>
      <c r="M25" s="31">
        <f t="shared" si="6"/>
        <v>4.878048780487805E-2</v>
      </c>
      <c r="N25" s="15">
        <v>7</v>
      </c>
      <c r="O25" s="32">
        <f t="shared" ref="O25:P25" si="33">D25/7</f>
        <v>0.2857142857142857</v>
      </c>
      <c r="P25" s="32">
        <f t="shared" si="33"/>
        <v>0</v>
      </c>
      <c r="Q25" s="27">
        <f t="shared" si="8"/>
        <v>24</v>
      </c>
      <c r="R25" s="27"/>
      <c r="S25" s="41">
        <v>1.405405405405405</v>
      </c>
      <c r="T25" s="26">
        <v>496</v>
      </c>
      <c r="U25" s="34">
        <v>96</v>
      </c>
      <c r="V25" s="35" t="s">
        <v>637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0.14059071759259259</v>
      </c>
      <c r="AD25" s="37">
        <f t="shared" si="12"/>
        <v>-0.26993417777777778</v>
      </c>
      <c r="AE25" s="42">
        <v>-9.02</v>
      </c>
      <c r="AF25" s="42">
        <v>-6.13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25.646666666666665</v>
      </c>
      <c r="D26" s="15">
        <v>6</v>
      </c>
      <c r="E26" s="15">
        <v>0</v>
      </c>
      <c r="F26" s="16">
        <v>153.88</v>
      </c>
      <c r="G26" s="16">
        <v>0</v>
      </c>
      <c r="H26" s="29">
        <f t="shared" si="1"/>
        <v>0</v>
      </c>
      <c r="I26" s="29">
        <f t="shared" si="2"/>
        <v>0.23852708257516722</v>
      </c>
      <c r="J26" s="30">
        <f t="shared" si="5"/>
        <v>36.704547466666732</v>
      </c>
      <c r="K26" s="30">
        <f t="shared" si="3"/>
        <v>6.1174245777777889</v>
      </c>
      <c r="L26" s="15">
        <v>37</v>
      </c>
      <c r="M26" s="31">
        <f t="shared" si="6"/>
        <v>0.16216216216216217</v>
      </c>
      <c r="N26" s="15">
        <v>3</v>
      </c>
      <c r="O26" s="32">
        <f t="shared" ref="O26:P26" si="34">D26/7</f>
        <v>0.8571428571428571</v>
      </c>
      <c r="P26" s="32">
        <f t="shared" si="34"/>
        <v>0</v>
      </c>
      <c r="Q26" s="27">
        <f t="shared" si="8"/>
        <v>3</v>
      </c>
      <c r="R26" s="27"/>
      <c r="S26" s="41">
        <v>1.3834586466165411</v>
      </c>
      <c r="T26" s="26">
        <v>496</v>
      </c>
      <c r="U26" s="34">
        <v>96</v>
      </c>
      <c r="V26" s="35" t="s">
        <v>638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0.14059071759259259</v>
      </c>
      <c r="AD26" s="37">
        <f t="shared" si="12"/>
        <v>-0.80980253333333341</v>
      </c>
      <c r="AE26" s="42">
        <v>-9.42</v>
      </c>
      <c r="AF26" s="42">
        <v>-6.1272749999999903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1.6880733944954129</v>
      </c>
      <c r="T27" s="26">
        <v>496</v>
      </c>
      <c r="U27" s="34">
        <v>96</v>
      </c>
      <c r="V27" s="35" t="s">
        <v>639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0.14059071759259259</v>
      </c>
      <c r="AD27" s="37">
        <f t="shared" si="12"/>
        <v>0</v>
      </c>
      <c r="AE27" s="42">
        <v>-9.42</v>
      </c>
      <c r="AF27" s="42">
        <v>-6.1272749999999903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1.7684210526315789</v>
      </c>
      <c r="T28" s="40" t="s">
        <v>34</v>
      </c>
      <c r="U28" s="22">
        <v>96</v>
      </c>
      <c r="V28" s="1" t="s">
        <v>640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0.14059071759259259</v>
      </c>
      <c r="AD28" s="37">
        <f t="shared" si="12"/>
        <v>0</v>
      </c>
      <c r="AE28" s="42">
        <v>-9.42</v>
      </c>
      <c r="AF28" s="42">
        <v>-6.1272749999999903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0.14059071759259259</v>
      </c>
      <c r="AD29" s="37">
        <f t="shared" si="12"/>
        <v>0</v>
      </c>
      <c r="AE29" s="37">
        <v>-9.42</v>
      </c>
      <c r="AF29" s="42">
        <v>-6.1272749999999903</v>
      </c>
      <c r="AG29" s="37">
        <v>0</v>
      </c>
    </row>
    <row r="30" spans="1:33" ht="15.75" customHeight="1" x14ac:dyDescent="0.2">
      <c r="A30" s="40" t="s">
        <v>84</v>
      </c>
      <c r="B30" s="40" t="s">
        <v>631</v>
      </c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-0.6</v>
      </c>
      <c r="H30" s="29" t="e">
        <f t="shared" si="1"/>
        <v>#DIV/0!</v>
      </c>
      <c r="I30" s="29" t="e">
        <f t="shared" si="2"/>
        <v>#DIV/0!</v>
      </c>
      <c r="J30" s="30">
        <f t="shared" si="5"/>
        <v>-0.6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208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0.46808510638297868</v>
      </c>
      <c r="T30" s="26">
        <v>492</v>
      </c>
      <c r="U30" s="34">
        <v>96</v>
      </c>
      <c r="V30" s="35" t="s">
        <v>642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0.14059071759259259</v>
      </c>
      <c r="AD30" s="37">
        <f t="shared" si="12"/>
        <v>0</v>
      </c>
      <c r="AE30" s="42">
        <v>-9.42</v>
      </c>
      <c r="AF30" s="42">
        <v>-6.4289325312499903</v>
      </c>
      <c r="AG30" s="42">
        <v>0</v>
      </c>
    </row>
    <row r="31" spans="1:33" ht="15.75" customHeight="1" x14ac:dyDescent="0.2">
      <c r="A31" s="40" t="s">
        <v>87</v>
      </c>
      <c r="B31" s="40" t="s">
        <v>652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-0.69</v>
      </c>
      <c r="H31" s="29" t="e">
        <f t="shared" si="1"/>
        <v>#DIV/0!</v>
      </c>
      <c r="I31" s="29" t="e">
        <f t="shared" si="2"/>
        <v>#DIV/0!</v>
      </c>
      <c r="J31" s="30">
        <f t="shared" si="5"/>
        <v>-0.69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208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0.47058823529411697</v>
      </c>
      <c r="T31" s="40">
        <v>396</v>
      </c>
      <c r="U31" s="22" t="s">
        <v>34</v>
      </c>
      <c r="V31" s="1" t="s">
        <v>653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0.14059071759259259</v>
      </c>
      <c r="AD31" s="37">
        <f t="shared" si="12"/>
        <v>0</v>
      </c>
      <c r="AE31" s="45">
        <v>-9.42</v>
      </c>
      <c r="AF31" s="45">
        <v>-6.4289325312499992</v>
      </c>
      <c r="AG31" s="42">
        <v>0</v>
      </c>
    </row>
    <row r="32" spans="1:33" ht="15.75" customHeight="1" x14ac:dyDescent="0.2">
      <c r="A32" s="40" t="s">
        <v>90</v>
      </c>
      <c r="B32" s="50" t="s">
        <v>46</v>
      </c>
      <c r="C32" s="14">
        <f t="shared" si="4"/>
        <v>19.989999999999998</v>
      </c>
      <c r="D32" s="15">
        <v>4</v>
      </c>
      <c r="E32" s="15">
        <v>0</v>
      </c>
      <c r="F32" s="16">
        <v>79.959999999999994</v>
      </c>
      <c r="G32" s="16">
        <v>-11.63</v>
      </c>
      <c r="H32" s="29">
        <f t="shared" si="1"/>
        <v>0.145447723861931</v>
      </c>
      <c r="I32" s="29">
        <f t="shared" si="2"/>
        <v>-9.5042502258073105E-2</v>
      </c>
      <c r="J32" s="30">
        <f t="shared" si="5"/>
        <v>-7.5995984805555254</v>
      </c>
      <c r="K32" s="30">
        <f t="shared" si="3"/>
        <v>-1.8998996201388814</v>
      </c>
      <c r="L32" s="15">
        <v>49</v>
      </c>
      <c r="M32" s="31">
        <f t="shared" si="6"/>
        <v>8.1632653061224483E-2</v>
      </c>
      <c r="N32" s="15">
        <v>132</v>
      </c>
      <c r="O32" s="32">
        <f t="shared" ref="O32:P32" si="40">D32/7</f>
        <v>0.5714285714285714</v>
      </c>
      <c r="P32" s="32">
        <f t="shared" si="40"/>
        <v>0</v>
      </c>
      <c r="Q32" s="27">
        <f t="shared" si="8"/>
        <v>231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0.46875</v>
      </c>
      <c r="T32" s="40">
        <f ca="1">IFERROR(__xludf.DUMMYFUNCTION("IFERROR(VLOOKUP($B$2,IMPORTRANGE(""https://docs.google.com/spreadsheets/d/1KiWZV1ko8G7lnRucBRBd29jj3Be6ltMfljMDqzOkQmI/edit#gid=1381463014"",""Lookup!A:D""),4,FALSE),"""")"),396)</f>
        <v>396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396 At Factory 50-75 days from Earliest Arrival")</f>
        <v>No Transit, But 396 At Factory 50-75 days from Earliest Arrival</v>
      </c>
      <c r="W32" s="40">
        <v>0</v>
      </c>
      <c r="X32" s="36">
        <f t="shared" si="9"/>
        <v>0</v>
      </c>
      <c r="Y32" s="37">
        <f t="shared" si="10"/>
        <v>5.8150000000000004</v>
      </c>
      <c r="Z32" s="40">
        <v>2</v>
      </c>
      <c r="AA32" s="40" t="s">
        <v>250</v>
      </c>
      <c r="AB32" s="38">
        <f t="shared" si="11"/>
        <v>-0.48</v>
      </c>
      <c r="AC32" s="44">
        <v>0.14059071759259259</v>
      </c>
      <c r="AD32" s="37">
        <f t="shared" si="12"/>
        <v>-0.53986835555555557</v>
      </c>
      <c r="AE32" s="42">
        <v>-9.42</v>
      </c>
      <c r="AF32" s="42">
        <v>-6.4289325312499903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8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Black &amp; Cork - 47 x 23 Inch Leather Style Computer Pad for Desk")</f>
        <v>Office Desk Mat, Double Sided Black &amp; Cork - 47 x 23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Info!B1:BJ5000""),2,FALSE),"""")"),"B088TWGQ79")</f>
        <v>B088TWGQ79</v>
      </c>
      <c r="B2" s="3" t="s">
        <v>654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18.645802977941166</v>
      </c>
      <c r="D3" s="5">
        <f>SUM(D4:D99767)</f>
        <v>242</v>
      </c>
      <c r="E3" s="5"/>
      <c r="F3" s="6">
        <f t="shared" ref="F3:G3" si="0">SUM(F4:F99767)</f>
        <v>5688.9800000000014</v>
      </c>
      <c r="G3" s="6">
        <f t="shared" si="0"/>
        <v>-462.42</v>
      </c>
      <c r="H3" s="7">
        <f t="shared" ref="H3:H32" si="1">G3/F3*-1</f>
        <v>8.1283463819524754E-2</v>
      </c>
      <c r="I3" s="8">
        <f t="shared" ref="I3:I32" si="2">J3/F3</f>
        <v>0.11045634142804206</v>
      </c>
      <c r="J3" s="6">
        <f>SUM(J4:J99767)</f>
        <v>628.38391725730287</v>
      </c>
      <c r="K3" s="6">
        <f t="shared" ref="K3:K32" si="3">J3/D3</f>
        <v>2.5966277572615821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19</v>
      </c>
      <c r="X3" s="7">
        <f>W3/D3</f>
        <v>7.8512396694214878E-2</v>
      </c>
      <c r="Y3" s="6"/>
      <c r="Z3" s="5"/>
      <c r="AA3" s="5"/>
      <c r="AB3" s="5"/>
      <c r="AC3" s="5"/>
      <c r="AD3" s="6">
        <f>SUM(AD4:AD99767)</f>
        <v>-32.465582945422938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Info!B2:BZ3000""),37,FALSE)),"""")*-1"),-6.42893253124999)</f>
        <v>-6.4289325312499903</v>
      </c>
      <c r="AG3" s="6">
        <f>SUM(AG4:AG99767)</f>
        <v>0</v>
      </c>
    </row>
    <row r="4" spans="1:33" x14ac:dyDescent="0.2">
      <c r="A4" s="1" t="s">
        <v>32</v>
      </c>
      <c r="B4" s="2" t="s">
        <v>191</v>
      </c>
      <c r="C4" s="14">
        <f t="shared" ref="C4:C32" si="4">IFERROR(F4/D4," - ")</f>
        <v>28.234074074074083</v>
      </c>
      <c r="D4" s="15">
        <v>27</v>
      </c>
      <c r="E4" s="15">
        <v>0</v>
      </c>
      <c r="F4" s="16">
        <v>762.32000000000028</v>
      </c>
      <c r="G4" s="16">
        <v>0</v>
      </c>
      <c r="H4" s="17">
        <f t="shared" si="1"/>
        <v>0</v>
      </c>
      <c r="I4" s="17">
        <f t="shared" si="2"/>
        <v>0.31501523515160212</v>
      </c>
      <c r="J4" s="16">
        <f t="shared" ref="J4:J32" si="5">F4*0.85+G4+AF4*D4+D4*AE4+AG4+AD4</f>
        <v>240.14241406076943</v>
      </c>
      <c r="K4" s="16">
        <f t="shared" si="3"/>
        <v>8.8941634837322017</v>
      </c>
      <c r="L4" s="15">
        <v>155</v>
      </c>
      <c r="M4" s="18">
        <f t="shared" ref="M4:M32" si="6">IFERROR(D4/L4,"-")</f>
        <v>0.17419354838709677</v>
      </c>
      <c r="N4" s="15">
        <v>53</v>
      </c>
      <c r="O4" s="19">
        <f t="shared" ref="O4:P4" si="7">D4/7</f>
        <v>3.8571428571428572</v>
      </c>
      <c r="P4" s="19">
        <f t="shared" si="7"/>
        <v>0</v>
      </c>
      <c r="Q4" s="15">
        <f t="shared" ref="Q4:Q32" si="8">ROUNDDOWN(N4/(O4+P4),0)</f>
        <v>13</v>
      </c>
      <c r="R4" s="15"/>
      <c r="S4" s="20">
        <v>2.6206896551724101</v>
      </c>
      <c r="T4" s="2">
        <v>434</v>
      </c>
      <c r="U4" s="2" t="s">
        <v>34</v>
      </c>
      <c r="V4" s="21" t="s">
        <v>655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0.13971567013888886</v>
      </c>
      <c r="AD4" s="24">
        <f t="shared" ref="AD4:AD32" si="12">IFERROR(AB4*AC4*D4*2,0)</f>
        <v>-3.6214301699999991</v>
      </c>
      <c r="AE4" s="24">
        <v>-9.02</v>
      </c>
      <c r="AF4" s="24">
        <v>-5.9506724358974354</v>
      </c>
      <c r="AG4" s="24">
        <v>0</v>
      </c>
    </row>
    <row r="5" spans="1:33" ht="15.75" customHeight="1" x14ac:dyDescent="0.2">
      <c r="A5" s="26" t="s">
        <v>35</v>
      </c>
      <c r="B5" s="26" t="s">
        <v>656</v>
      </c>
      <c r="C5" s="14">
        <f t="shared" si="4"/>
        <v>30.372608695652183</v>
      </c>
      <c r="D5" s="27">
        <v>23</v>
      </c>
      <c r="E5" s="27">
        <v>0</v>
      </c>
      <c r="F5" s="28">
        <v>698.57000000000016</v>
      </c>
      <c r="G5" s="28">
        <v>0</v>
      </c>
      <c r="H5" s="29">
        <f t="shared" si="1"/>
        <v>0</v>
      </c>
      <c r="I5" s="29">
        <f t="shared" si="2"/>
        <v>0.3526783820215541</v>
      </c>
      <c r="J5" s="30">
        <f t="shared" si="5"/>
        <v>246.3705373287971</v>
      </c>
      <c r="K5" s="30">
        <f t="shared" si="3"/>
        <v>10.711762492556396</v>
      </c>
      <c r="L5" s="27">
        <v>300</v>
      </c>
      <c r="M5" s="31">
        <f t="shared" si="6"/>
        <v>7.6666666666666661E-2</v>
      </c>
      <c r="N5" s="27">
        <v>25</v>
      </c>
      <c r="O5" s="32">
        <f t="shared" ref="O5:P5" si="13">D5/7</f>
        <v>3.2857142857142856</v>
      </c>
      <c r="P5" s="32">
        <f t="shared" si="13"/>
        <v>0</v>
      </c>
      <c r="Q5" s="27">
        <f t="shared" si="8"/>
        <v>7</v>
      </c>
      <c r="R5" s="27"/>
      <c r="S5" s="33">
        <v>4.0869565217391299</v>
      </c>
      <c r="T5" s="26">
        <v>434</v>
      </c>
      <c r="U5" s="34" t="s">
        <v>34</v>
      </c>
      <c r="V5" s="35" t="s">
        <v>655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0.13987756546929314</v>
      </c>
      <c r="AD5" s="37">
        <f t="shared" si="12"/>
        <v>-3.0884966455619929</v>
      </c>
      <c r="AE5" s="37">
        <v>-9.02</v>
      </c>
      <c r="AF5" s="37">
        <v>-5.9506724358974354</v>
      </c>
      <c r="AG5" s="37">
        <v>0</v>
      </c>
    </row>
    <row r="6" spans="1:33" ht="15.75" customHeight="1" x14ac:dyDescent="0.2">
      <c r="A6" s="26" t="s">
        <v>38</v>
      </c>
      <c r="B6" s="26" t="s">
        <v>461</v>
      </c>
      <c r="C6" s="14">
        <f t="shared" si="4"/>
        <v>32.402500000000003</v>
      </c>
      <c r="D6" s="27">
        <v>20</v>
      </c>
      <c r="E6" s="27">
        <v>0</v>
      </c>
      <c r="F6" s="28">
        <v>648.05000000000007</v>
      </c>
      <c r="G6" s="28">
        <v>0</v>
      </c>
      <c r="H6" s="29">
        <f t="shared" si="1"/>
        <v>0</v>
      </c>
      <c r="I6" s="29">
        <f t="shared" si="2"/>
        <v>0.38383365793540775</v>
      </c>
      <c r="J6" s="30">
        <f t="shared" si="5"/>
        <v>248.74340202504101</v>
      </c>
      <c r="K6" s="30">
        <f t="shared" si="3"/>
        <v>12.43717010125205</v>
      </c>
      <c r="L6" s="27">
        <v>209</v>
      </c>
      <c r="M6" s="31">
        <f t="shared" si="6"/>
        <v>9.569377990430622E-2</v>
      </c>
      <c r="N6" s="27">
        <v>2</v>
      </c>
      <c r="O6" s="32">
        <f t="shared" ref="O6:P6" si="14">D6/7</f>
        <v>2.8571428571428572</v>
      </c>
      <c r="P6" s="32">
        <f t="shared" si="14"/>
        <v>0</v>
      </c>
      <c r="Q6" s="27">
        <f t="shared" si="8"/>
        <v>0</v>
      </c>
      <c r="R6" s="27"/>
      <c r="S6" s="33" t="e">
        <v>#N/A</v>
      </c>
      <c r="T6" s="26">
        <v>434</v>
      </c>
      <c r="U6" s="34">
        <v>192</v>
      </c>
      <c r="V6" s="49" t="s">
        <v>657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0.13987756546929314</v>
      </c>
      <c r="AD6" s="37">
        <f t="shared" si="12"/>
        <v>-2.6856492570104287</v>
      </c>
      <c r="AE6" s="37">
        <v>-9.02</v>
      </c>
      <c r="AF6" s="37">
        <v>-5.9506724358974354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434</v>
      </c>
      <c r="U7" s="34">
        <v>192</v>
      </c>
      <c r="V7" s="49" t="s">
        <v>657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-5.9506724358974354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242</v>
      </c>
      <c r="U8" s="34">
        <v>240</v>
      </c>
      <c r="V8" s="35" t="s">
        <v>658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-5.95</v>
      </c>
      <c r="AG8" s="37">
        <v>0</v>
      </c>
    </row>
    <row r="9" spans="1:33" ht="15.75" customHeight="1" x14ac:dyDescent="0.2">
      <c r="A9" s="26" t="s">
        <v>45</v>
      </c>
      <c r="B9" s="26" t="s">
        <v>461</v>
      </c>
      <c r="C9" s="14">
        <f t="shared" si="4"/>
        <v>31.2</v>
      </c>
      <c r="D9" s="27">
        <v>1</v>
      </c>
      <c r="E9" s="27">
        <v>0</v>
      </c>
      <c r="F9" s="28">
        <v>31.2</v>
      </c>
      <c r="G9" s="28">
        <v>0</v>
      </c>
      <c r="H9" s="29">
        <f t="shared" si="1"/>
        <v>0</v>
      </c>
      <c r="I9" s="29">
        <f t="shared" si="2"/>
        <v>0.36215833246945256</v>
      </c>
      <c r="J9" s="30">
        <f t="shared" si="5"/>
        <v>11.299339973046919</v>
      </c>
      <c r="K9" s="30">
        <f t="shared" si="3"/>
        <v>11.299339973046919</v>
      </c>
      <c r="L9" s="27">
        <v>17</v>
      </c>
      <c r="M9" s="31">
        <f t="shared" si="6"/>
        <v>5.8823529411764705E-2</v>
      </c>
      <c r="N9" s="27">
        <v>0</v>
      </c>
      <c r="O9" s="32">
        <f t="shared" ref="O9:P9" si="17">D9/7</f>
        <v>0.14285714285714285</v>
      </c>
      <c r="P9" s="32">
        <f t="shared" si="17"/>
        <v>0</v>
      </c>
      <c r="Q9" s="27">
        <f t="shared" si="8"/>
        <v>0</v>
      </c>
      <c r="R9" s="27"/>
      <c r="S9" s="33" t="e">
        <v>#N/A</v>
      </c>
      <c r="T9" s="26">
        <v>242</v>
      </c>
      <c r="U9" s="34">
        <v>240</v>
      </c>
      <c r="V9" s="35" t="s">
        <v>659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0.13987756546929314</v>
      </c>
      <c r="AD9" s="37">
        <f t="shared" si="12"/>
        <v>-0.13428246285052142</v>
      </c>
      <c r="AE9" s="37">
        <v>-9.02</v>
      </c>
      <c r="AF9" s="37">
        <v>-6.0663775641025603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>
        <f t="shared" si="4"/>
        <v>31.2</v>
      </c>
      <c r="D10" s="27">
        <v>1</v>
      </c>
      <c r="E10" s="27">
        <v>0</v>
      </c>
      <c r="F10" s="28">
        <v>31.2</v>
      </c>
      <c r="G10" s="28">
        <v>0</v>
      </c>
      <c r="H10" s="29">
        <f t="shared" si="1"/>
        <v>0</v>
      </c>
      <c r="I10" s="29">
        <f t="shared" si="2"/>
        <v>0.36216331386423423</v>
      </c>
      <c r="J10" s="30">
        <f t="shared" si="5"/>
        <v>11.299495392564108</v>
      </c>
      <c r="K10" s="30">
        <f t="shared" si="3"/>
        <v>11.299495392564108</v>
      </c>
      <c r="L10" s="27">
        <v>3</v>
      </c>
      <c r="M10" s="31">
        <f t="shared" si="6"/>
        <v>0.33333333333333331</v>
      </c>
      <c r="N10" s="27">
        <v>0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0</v>
      </c>
      <c r="R10" s="27"/>
      <c r="S10" s="33" t="e">
        <v>#N/A</v>
      </c>
      <c r="T10" s="26">
        <v>242</v>
      </c>
      <c r="U10" s="34">
        <v>240</v>
      </c>
      <c r="V10" s="35" t="s">
        <v>660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0.13971567013888886</v>
      </c>
      <c r="AD10" s="37">
        <f t="shared" si="12"/>
        <v>-0.13412704333333331</v>
      </c>
      <c r="AE10" s="37">
        <v>-9.02</v>
      </c>
      <c r="AF10" s="37">
        <v>-6.0663775641025603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242</v>
      </c>
      <c r="U11" s="34">
        <v>240</v>
      </c>
      <c r="V11" s="35" t="s">
        <v>660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-6.0663775641025603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242</v>
      </c>
      <c r="U12" s="34">
        <v>240</v>
      </c>
      <c r="V12" s="35" t="s">
        <v>660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-6.0663775641025603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242</v>
      </c>
      <c r="U13" s="34">
        <v>240</v>
      </c>
      <c r="V13" s="35" t="s">
        <v>660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-6.1272749999999903</v>
      </c>
      <c r="AG13" s="37">
        <v>0</v>
      </c>
    </row>
    <row r="14" spans="1:33" ht="15.75" customHeight="1" x14ac:dyDescent="0.2">
      <c r="A14" s="26" t="s">
        <v>56</v>
      </c>
      <c r="B14" s="26" t="s">
        <v>661</v>
      </c>
      <c r="C14" s="14">
        <f t="shared" si="4"/>
        <v>31.2</v>
      </c>
      <c r="D14" s="27">
        <v>4</v>
      </c>
      <c r="E14" s="27">
        <v>0</v>
      </c>
      <c r="F14" s="30">
        <v>124.8</v>
      </c>
      <c r="G14" s="28">
        <v>0</v>
      </c>
      <c r="H14" s="29">
        <f t="shared" si="1"/>
        <v>0</v>
      </c>
      <c r="I14" s="29">
        <f t="shared" si="2"/>
        <v>0.36021147297008582</v>
      </c>
      <c r="J14" s="30">
        <f t="shared" si="5"/>
        <v>44.954391826666708</v>
      </c>
      <c r="K14" s="30">
        <f t="shared" si="3"/>
        <v>11.238597956666677</v>
      </c>
      <c r="L14" s="27">
        <v>12</v>
      </c>
      <c r="M14" s="31">
        <f t="shared" si="6"/>
        <v>0.33333333333333331</v>
      </c>
      <c r="N14" s="27">
        <v>5</v>
      </c>
      <c r="O14" s="32">
        <f t="shared" ref="O14:P14" si="22">D14/7</f>
        <v>0.5714285714285714</v>
      </c>
      <c r="P14" s="32">
        <f t="shared" si="22"/>
        <v>0</v>
      </c>
      <c r="Q14" s="27">
        <f t="shared" si="8"/>
        <v>8</v>
      </c>
      <c r="R14" s="27"/>
      <c r="S14" s="33">
        <v>3.3279999999999998</v>
      </c>
      <c r="T14" s="26">
        <v>242</v>
      </c>
      <c r="U14" s="34">
        <v>240</v>
      </c>
      <c r="V14" s="35" t="s">
        <v>662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0.13971567013888886</v>
      </c>
      <c r="AD14" s="37">
        <f t="shared" si="12"/>
        <v>-0.53650817333333323</v>
      </c>
      <c r="AE14" s="37">
        <v>-9.02</v>
      </c>
      <c r="AF14" s="37">
        <v>-6.1272749999999903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31.2</v>
      </c>
      <c r="D15" s="27">
        <v>2</v>
      </c>
      <c r="E15" s="27">
        <v>0</v>
      </c>
      <c r="F15" s="30">
        <v>62.4</v>
      </c>
      <c r="G15" s="28">
        <v>0</v>
      </c>
      <c r="H15" s="29">
        <f t="shared" si="1"/>
        <v>0</v>
      </c>
      <c r="I15" s="29">
        <f t="shared" si="2"/>
        <v>0.36021147297008582</v>
      </c>
      <c r="J15" s="30">
        <f t="shared" si="5"/>
        <v>22.477195913333354</v>
      </c>
      <c r="K15" s="30">
        <f t="shared" si="3"/>
        <v>11.238597956666677</v>
      </c>
      <c r="L15" s="27">
        <v>13</v>
      </c>
      <c r="M15" s="31">
        <f t="shared" si="6"/>
        <v>0.15384615384615385</v>
      </c>
      <c r="N15" s="27">
        <v>0</v>
      </c>
      <c r="O15" s="32">
        <f t="shared" ref="O15:P15" si="23">D15/7</f>
        <v>0.2857142857142857</v>
      </c>
      <c r="P15" s="32">
        <f t="shared" si="23"/>
        <v>0</v>
      </c>
      <c r="Q15" s="27">
        <f t="shared" si="8"/>
        <v>0</v>
      </c>
      <c r="R15" s="27"/>
      <c r="S15" s="33" t="e">
        <v>#N/A</v>
      </c>
      <c r="T15" s="26">
        <v>544</v>
      </c>
      <c r="U15" s="34">
        <v>240</v>
      </c>
      <c r="V15" s="35" t="s">
        <v>659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0.13971567013888886</v>
      </c>
      <c r="AD15" s="37">
        <f t="shared" si="12"/>
        <v>-0.26825408666666661</v>
      </c>
      <c r="AE15" s="37">
        <v>-9.02</v>
      </c>
      <c r="AF15" s="37">
        <v>-6.1272749999999903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304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-6.1272749999999903</v>
      </c>
      <c r="AG16" s="37">
        <v>0</v>
      </c>
    </row>
    <row r="17" spans="1:33" ht="15.75" customHeight="1" x14ac:dyDescent="0.2">
      <c r="A17" s="26" t="s">
        <v>61</v>
      </c>
      <c r="B17" s="26" t="s">
        <v>663</v>
      </c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257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>
        <v>0.83601286173633405</v>
      </c>
      <c r="T17" s="26">
        <v>304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0.13971567013888886</v>
      </c>
      <c r="AD17" s="37">
        <f t="shared" si="12"/>
        <v>0</v>
      </c>
      <c r="AE17" s="37">
        <v>-9.02</v>
      </c>
      <c r="AF17" s="37">
        <v>-6.1272749999999903</v>
      </c>
      <c r="AG17" s="37">
        <v>0</v>
      </c>
    </row>
    <row r="18" spans="1:33" ht="15.75" customHeight="1" x14ac:dyDescent="0.2">
      <c r="A18" s="26" t="s">
        <v>62</v>
      </c>
      <c r="B18" s="26" t="s">
        <v>664</v>
      </c>
      <c r="C18" s="14">
        <f t="shared" si="4"/>
        <v>24.99</v>
      </c>
      <c r="D18" s="27">
        <v>4</v>
      </c>
      <c r="E18" s="27">
        <v>0</v>
      </c>
      <c r="F18" s="30">
        <v>99.96</v>
      </c>
      <c r="G18" s="28">
        <v>-26.459999999999997</v>
      </c>
      <c r="H18" s="29">
        <f t="shared" si="1"/>
        <v>0.26470588235294118</v>
      </c>
      <c r="I18" s="29">
        <f t="shared" si="2"/>
        <v>-2.6206564359076555E-2</v>
      </c>
      <c r="J18" s="30">
        <f t="shared" si="5"/>
        <v>-2.6196081733332921</v>
      </c>
      <c r="K18" s="30">
        <f t="shared" si="3"/>
        <v>-0.65490204333332303</v>
      </c>
      <c r="L18" s="27">
        <v>35</v>
      </c>
      <c r="M18" s="31">
        <f t="shared" si="6"/>
        <v>0.11428571428571428</v>
      </c>
      <c r="N18" s="27">
        <v>260</v>
      </c>
      <c r="O18" s="32">
        <f t="shared" ref="O18:P18" si="26">D18/7</f>
        <v>0.5714285714285714</v>
      </c>
      <c r="P18" s="32">
        <f t="shared" si="26"/>
        <v>0</v>
      </c>
      <c r="Q18" s="27">
        <f t="shared" si="8"/>
        <v>455</v>
      </c>
      <c r="R18" s="27"/>
      <c r="S18" s="33">
        <v>0.51827242524916906</v>
      </c>
      <c r="T18" s="26">
        <v>304</v>
      </c>
      <c r="U18" s="34" t="s">
        <v>34</v>
      </c>
      <c r="V18" s="35" t="s">
        <v>34</v>
      </c>
      <c r="W18" s="26">
        <v>1</v>
      </c>
      <c r="X18" s="36">
        <f t="shared" si="9"/>
        <v>0.25</v>
      </c>
      <c r="Y18" s="37">
        <f t="shared" si="10"/>
        <v>26.459999999999997</v>
      </c>
      <c r="Z18" s="26">
        <v>0</v>
      </c>
      <c r="AA18" s="26" t="s">
        <v>250</v>
      </c>
      <c r="AB18" s="38">
        <f t="shared" si="11"/>
        <v>-0.48</v>
      </c>
      <c r="AC18" s="39">
        <v>0.13971567013888886</v>
      </c>
      <c r="AD18" s="37">
        <f t="shared" si="12"/>
        <v>-0.53650817333333323</v>
      </c>
      <c r="AE18" s="37">
        <v>-9.02</v>
      </c>
      <c r="AF18" s="37">
        <v>-6.1272749999999903</v>
      </c>
      <c r="AG18" s="37">
        <v>0</v>
      </c>
    </row>
    <row r="19" spans="1:33" ht="15.75" customHeight="1" x14ac:dyDescent="0.2">
      <c r="A19" s="26" t="s">
        <v>64</v>
      </c>
      <c r="B19" s="26" t="s">
        <v>665</v>
      </c>
      <c r="C19" s="14">
        <f t="shared" si="4"/>
        <v>21.99</v>
      </c>
      <c r="D19" s="27">
        <v>9</v>
      </c>
      <c r="E19" s="27">
        <v>0</v>
      </c>
      <c r="F19" s="30">
        <v>197.91</v>
      </c>
      <c r="G19" s="28">
        <v>-2.31</v>
      </c>
      <c r="H19" s="29">
        <f t="shared" si="1"/>
        <v>1.1671972108534183E-2</v>
      </c>
      <c r="I19" s="29">
        <f t="shared" si="2"/>
        <v>0.14340296907685321</v>
      </c>
      <c r="J19" s="30">
        <f t="shared" si="5"/>
        <v>28.380881610000017</v>
      </c>
      <c r="K19" s="30">
        <f t="shared" si="3"/>
        <v>3.1534312900000021</v>
      </c>
      <c r="L19" s="27">
        <v>36</v>
      </c>
      <c r="M19" s="31">
        <f t="shared" si="6"/>
        <v>0.25</v>
      </c>
      <c r="N19" s="27">
        <v>253</v>
      </c>
      <c r="O19" s="32">
        <f t="shared" ref="O19:P19" si="27">D19/7</f>
        <v>1.2857142857142858</v>
      </c>
      <c r="P19" s="32">
        <f t="shared" si="27"/>
        <v>0</v>
      </c>
      <c r="Q19" s="27">
        <f t="shared" si="8"/>
        <v>196</v>
      </c>
      <c r="R19" s="27"/>
      <c r="S19" s="33">
        <v>0.27240143369175601</v>
      </c>
      <c r="T19" s="26">
        <v>304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0.13971567013888886</v>
      </c>
      <c r="AD19" s="37">
        <f t="shared" si="12"/>
        <v>-1.2071433899999997</v>
      </c>
      <c r="AE19" s="37">
        <v>-9.02</v>
      </c>
      <c r="AF19" s="37">
        <v>-6.1272749999999991</v>
      </c>
      <c r="AG19" s="37">
        <v>0</v>
      </c>
    </row>
    <row r="20" spans="1:33" ht="15.75" customHeight="1" x14ac:dyDescent="0.2">
      <c r="A20" s="26" t="s">
        <v>65</v>
      </c>
      <c r="B20" s="26" t="s">
        <v>666</v>
      </c>
      <c r="C20" s="14">
        <f t="shared" si="4"/>
        <v>28.607499999999998</v>
      </c>
      <c r="D20" s="27">
        <v>4</v>
      </c>
      <c r="E20" s="27">
        <v>0</v>
      </c>
      <c r="F20" s="30">
        <v>114.42999999999999</v>
      </c>
      <c r="G20" s="28">
        <v>0</v>
      </c>
      <c r="H20" s="29">
        <f t="shared" si="1"/>
        <v>0</v>
      </c>
      <c r="I20" s="29">
        <f t="shared" si="2"/>
        <v>0.31582532401176838</v>
      </c>
      <c r="J20" s="30">
        <f t="shared" si="5"/>
        <v>36.139891826666656</v>
      </c>
      <c r="K20" s="30">
        <f t="shared" si="3"/>
        <v>9.0349729566666639</v>
      </c>
      <c r="L20" s="27">
        <v>28</v>
      </c>
      <c r="M20" s="31">
        <f t="shared" si="6"/>
        <v>0.14285714285714285</v>
      </c>
      <c r="N20" s="27">
        <v>247</v>
      </c>
      <c r="O20" s="32">
        <f t="shared" ref="O20:P20" si="28">D20/7</f>
        <v>0.5714285714285714</v>
      </c>
      <c r="P20" s="32">
        <f t="shared" si="28"/>
        <v>0</v>
      </c>
      <c r="Q20" s="27">
        <f t="shared" si="8"/>
        <v>432</v>
      </c>
      <c r="R20" s="27"/>
      <c r="S20" s="33">
        <v>0.34200743494423702</v>
      </c>
      <c r="T20" s="26">
        <v>304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0.13971567013888886</v>
      </c>
      <c r="AD20" s="37">
        <f t="shared" si="12"/>
        <v>-0.53650817333333323</v>
      </c>
      <c r="AE20" s="37">
        <v>-9.02</v>
      </c>
      <c r="AF20" s="37">
        <v>-6.1272749999999991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25.035000000000004</v>
      </c>
      <c r="D21" s="27">
        <v>8</v>
      </c>
      <c r="E21" s="27">
        <v>0</v>
      </c>
      <c r="F21" s="30">
        <v>200.28000000000003</v>
      </c>
      <c r="G21" s="28">
        <v>0</v>
      </c>
      <c r="H21" s="29">
        <f t="shared" si="1"/>
        <v>0</v>
      </c>
      <c r="I21" s="29">
        <f t="shared" si="2"/>
        <v>0.23959848039411505</v>
      </c>
      <c r="J21" s="30">
        <f t="shared" si="5"/>
        <v>47.986783653333369</v>
      </c>
      <c r="K21" s="30">
        <f t="shared" si="3"/>
        <v>5.9983479566666711</v>
      </c>
      <c r="L21" s="27">
        <v>22</v>
      </c>
      <c r="M21" s="31">
        <f t="shared" si="6"/>
        <v>0.36363636363636365</v>
      </c>
      <c r="N21" s="27">
        <v>242</v>
      </c>
      <c r="O21" s="32">
        <f t="shared" ref="O21:P21" si="29">D21/7</f>
        <v>1.1428571428571428</v>
      </c>
      <c r="P21" s="32">
        <f t="shared" si="29"/>
        <v>0</v>
      </c>
      <c r="Q21" s="27">
        <f t="shared" si="8"/>
        <v>211</v>
      </c>
      <c r="R21" s="27"/>
      <c r="S21" s="33">
        <v>0.248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0.13971567013888886</v>
      </c>
      <c r="AD21" s="37">
        <f t="shared" si="12"/>
        <v>-1.0730163466666665</v>
      </c>
      <c r="AE21" s="37">
        <v>-9.02</v>
      </c>
      <c r="AF21" s="37">
        <v>-6.1272749999999991</v>
      </c>
      <c r="AG21" s="37">
        <v>0</v>
      </c>
    </row>
    <row r="22" spans="1:33" ht="15.75" customHeight="1" x14ac:dyDescent="0.2">
      <c r="A22" s="26" t="s">
        <v>67</v>
      </c>
      <c r="B22" s="26" t="s">
        <v>667</v>
      </c>
      <c r="C22" s="14">
        <f t="shared" si="4"/>
        <v>22.143333333333331</v>
      </c>
      <c r="D22" s="27">
        <v>6</v>
      </c>
      <c r="E22" s="27">
        <v>0</v>
      </c>
      <c r="F22" s="28">
        <v>132.85999999999999</v>
      </c>
      <c r="G22" s="28">
        <v>0</v>
      </c>
      <c r="H22" s="29">
        <f t="shared" si="1"/>
        <v>0</v>
      </c>
      <c r="I22" s="29">
        <f t="shared" si="2"/>
        <v>0.15988700692458219</v>
      </c>
      <c r="J22" s="30">
        <f t="shared" si="5"/>
        <v>21.242587739999987</v>
      </c>
      <c r="K22" s="30">
        <f t="shared" si="3"/>
        <v>3.5404312899999977</v>
      </c>
      <c r="L22" s="27">
        <v>46</v>
      </c>
      <c r="M22" s="31">
        <f t="shared" si="6"/>
        <v>0.13043478260869565</v>
      </c>
      <c r="N22" s="27">
        <v>234</v>
      </c>
      <c r="O22" s="32">
        <f t="shared" ref="O22:P22" si="30">D22/7</f>
        <v>0.8571428571428571</v>
      </c>
      <c r="P22" s="32">
        <f t="shared" si="30"/>
        <v>0</v>
      </c>
      <c r="Q22" s="27">
        <f t="shared" si="8"/>
        <v>273</v>
      </c>
      <c r="R22" s="27"/>
      <c r="S22" s="33">
        <v>0.29514563106796099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0.13971567013888886</v>
      </c>
      <c r="AD22" s="37">
        <f t="shared" si="12"/>
        <v>-0.80476225999999984</v>
      </c>
      <c r="AE22" s="37">
        <v>-9.02</v>
      </c>
      <c r="AF22" s="37">
        <v>-6.1272749999999991</v>
      </c>
      <c r="AG22" s="37">
        <v>0</v>
      </c>
    </row>
    <row r="23" spans="1:33" ht="15.75" customHeight="1" x14ac:dyDescent="0.2">
      <c r="A23" s="26" t="s">
        <v>68</v>
      </c>
      <c r="B23" s="26" t="s">
        <v>668</v>
      </c>
      <c r="C23" s="14">
        <f t="shared" si="4"/>
        <v>20.855000000000004</v>
      </c>
      <c r="D23" s="27">
        <v>6</v>
      </c>
      <c r="E23" s="27">
        <v>0</v>
      </c>
      <c r="F23" s="30">
        <v>125.13000000000002</v>
      </c>
      <c r="G23" s="28">
        <v>-17.100000000000001</v>
      </c>
      <c r="H23" s="29">
        <f t="shared" si="1"/>
        <v>0.13665787580915845</v>
      </c>
      <c r="I23" s="29">
        <f t="shared" si="2"/>
        <v>-1.9403118836410035E-2</v>
      </c>
      <c r="J23" s="30">
        <f t="shared" si="5"/>
        <v>-2.4279122599999883</v>
      </c>
      <c r="K23" s="30">
        <f t="shared" si="3"/>
        <v>-0.40465204333333138</v>
      </c>
      <c r="L23" s="27">
        <v>61</v>
      </c>
      <c r="M23" s="31">
        <f t="shared" si="6"/>
        <v>9.8360655737704916E-2</v>
      </c>
      <c r="N23" s="27">
        <v>228</v>
      </c>
      <c r="O23" s="32">
        <f t="shared" ref="O23:P23" si="31">D23/7</f>
        <v>0.8571428571428571</v>
      </c>
      <c r="P23" s="32">
        <f t="shared" si="31"/>
        <v>0</v>
      </c>
      <c r="Q23" s="27">
        <f t="shared" si="8"/>
        <v>266</v>
      </c>
      <c r="R23" s="27"/>
      <c r="S23" s="33">
        <v>0.30888030888030799</v>
      </c>
      <c r="T23" s="26">
        <v>304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17.100000000000001</v>
      </c>
      <c r="Z23" s="26">
        <v>1</v>
      </c>
      <c r="AA23" s="26" t="s">
        <v>250</v>
      </c>
      <c r="AB23" s="38">
        <f t="shared" si="11"/>
        <v>-0.48</v>
      </c>
      <c r="AC23" s="39">
        <v>0.13971567013888886</v>
      </c>
      <c r="AD23" s="37">
        <f t="shared" si="12"/>
        <v>-0.80476225999999984</v>
      </c>
      <c r="AE23" s="37">
        <v>-9.02</v>
      </c>
      <c r="AF23" s="37">
        <v>-6.1272749999999991</v>
      </c>
      <c r="AG23" s="37">
        <v>0</v>
      </c>
    </row>
    <row r="24" spans="1:33" ht="15.75" customHeight="1" x14ac:dyDescent="0.2">
      <c r="A24" s="26" t="s">
        <v>71</v>
      </c>
      <c r="B24" s="26" t="s">
        <v>669</v>
      </c>
      <c r="C24" s="14">
        <f t="shared" si="4"/>
        <v>19.989999999999998</v>
      </c>
      <c r="D24" s="27">
        <v>12</v>
      </c>
      <c r="E24" s="27">
        <v>0</v>
      </c>
      <c r="F24" s="30">
        <v>239.88</v>
      </c>
      <c r="G24" s="30">
        <v>-42.529999999999994</v>
      </c>
      <c r="H24" s="29">
        <f t="shared" si="1"/>
        <v>0.17729698182424544</v>
      </c>
      <c r="I24" s="29">
        <f t="shared" si="2"/>
        <v>-9.1749310155077535E-2</v>
      </c>
      <c r="J24" s="30">
        <f t="shared" si="5"/>
        <v>-22.008824519999997</v>
      </c>
      <c r="K24" s="30">
        <f t="shared" si="3"/>
        <v>-1.8340687099999997</v>
      </c>
      <c r="L24" s="27">
        <v>81</v>
      </c>
      <c r="M24" s="31">
        <f t="shared" si="6"/>
        <v>0.14814814814814814</v>
      </c>
      <c r="N24" s="27">
        <v>220</v>
      </c>
      <c r="O24" s="32">
        <f t="shared" ref="O24:P24" si="32">D24/7</f>
        <v>1.7142857142857142</v>
      </c>
      <c r="P24" s="32">
        <f t="shared" si="32"/>
        <v>0</v>
      </c>
      <c r="Q24" s="27">
        <f t="shared" si="8"/>
        <v>128</v>
      </c>
      <c r="R24" s="27"/>
      <c r="S24" s="33">
        <v>0.40650406504065001</v>
      </c>
      <c r="T24" s="26">
        <v>304</v>
      </c>
      <c r="U24" s="34" t="s">
        <v>34</v>
      </c>
      <c r="V24" s="35" t="s">
        <v>34</v>
      </c>
      <c r="W24" s="26">
        <v>3</v>
      </c>
      <c r="X24" s="36">
        <f t="shared" si="9"/>
        <v>0.25</v>
      </c>
      <c r="Y24" s="37">
        <f t="shared" si="10"/>
        <v>3.544166666666666</v>
      </c>
      <c r="Z24" s="26">
        <v>9</v>
      </c>
      <c r="AA24" s="26" t="s">
        <v>250</v>
      </c>
      <c r="AB24" s="38">
        <f t="shared" si="11"/>
        <v>-0.48</v>
      </c>
      <c r="AC24" s="39">
        <v>0.13971567013888886</v>
      </c>
      <c r="AD24" s="37">
        <f t="shared" si="12"/>
        <v>-1.6095245199999997</v>
      </c>
      <c r="AE24" s="37">
        <v>-9.02</v>
      </c>
      <c r="AF24" s="37">
        <v>-6.1272749999999991</v>
      </c>
      <c r="AG24" s="37">
        <v>0</v>
      </c>
    </row>
    <row r="25" spans="1:33" ht="15.75" customHeight="1" x14ac:dyDescent="0.2">
      <c r="A25" s="40" t="s">
        <v>73</v>
      </c>
      <c r="B25" s="40" t="s">
        <v>670</v>
      </c>
      <c r="C25" s="14">
        <f t="shared" si="4"/>
        <v>19.990000000000002</v>
      </c>
      <c r="D25" s="15">
        <v>7</v>
      </c>
      <c r="E25" s="15">
        <v>0</v>
      </c>
      <c r="F25" s="16">
        <v>139.93</v>
      </c>
      <c r="G25" s="16">
        <v>-41.459999999999987</v>
      </c>
      <c r="H25" s="29">
        <f t="shared" si="1"/>
        <v>0.29629100264417912</v>
      </c>
      <c r="I25" s="29">
        <f t="shared" si="2"/>
        <v>-0.21087964913409077</v>
      </c>
      <c r="J25" s="30">
        <f t="shared" si="5"/>
        <v>-29.508389303333324</v>
      </c>
      <c r="K25" s="30">
        <f t="shared" si="3"/>
        <v>-4.2154841861904746</v>
      </c>
      <c r="L25" s="15">
        <v>94</v>
      </c>
      <c r="M25" s="31">
        <f t="shared" si="6"/>
        <v>7.4468085106382975E-2</v>
      </c>
      <c r="N25" s="15">
        <v>209</v>
      </c>
      <c r="O25" s="32">
        <f t="shared" ref="O25:P25" si="33">D25/7</f>
        <v>1</v>
      </c>
      <c r="P25" s="32">
        <f t="shared" si="33"/>
        <v>0</v>
      </c>
      <c r="Q25" s="27">
        <f t="shared" si="8"/>
        <v>209</v>
      </c>
      <c r="R25" s="27"/>
      <c r="S25" s="41">
        <v>0.31843575418994408</v>
      </c>
      <c r="T25" s="26">
        <v>304</v>
      </c>
      <c r="U25" s="34" t="s">
        <v>34</v>
      </c>
      <c r="V25" s="35" t="s">
        <v>34</v>
      </c>
      <c r="W25" s="40">
        <v>1</v>
      </c>
      <c r="X25" s="36">
        <f t="shared" si="9"/>
        <v>0.14285714285714285</v>
      </c>
      <c r="Y25" s="37">
        <f t="shared" si="10"/>
        <v>10.364999999999997</v>
      </c>
      <c r="Z25" s="40">
        <v>3</v>
      </c>
      <c r="AA25" s="26" t="s">
        <v>250</v>
      </c>
      <c r="AB25" s="38">
        <f t="shared" si="11"/>
        <v>-0.48</v>
      </c>
      <c r="AC25" s="39">
        <v>0.13971567013888886</v>
      </c>
      <c r="AD25" s="37">
        <f t="shared" si="12"/>
        <v>-0.9388893033333332</v>
      </c>
      <c r="AE25" s="42">
        <v>-9.02</v>
      </c>
      <c r="AF25" s="42">
        <v>-6.13</v>
      </c>
      <c r="AG25" s="42">
        <v>0</v>
      </c>
    </row>
    <row r="26" spans="1:33" ht="15.75" customHeight="1" x14ac:dyDescent="0.2">
      <c r="A26" s="40" t="s">
        <v>75</v>
      </c>
      <c r="B26" s="40" t="s">
        <v>671</v>
      </c>
      <c r="C26" s="14">
        <f t="shared" si="4"/>
        <v>18.79</v>
      </c>
      <c r="D26" s="15">
        <v>10</v>
      </c>
      <c r="E26" s="15">
        <v>0</v>
      </c>
      <c r="F26" s="16">
        <v>187.9</v>
      </c>
      <c r="G26" s="16">
        <v>-40.070000000000007</v>
      </c>
      <c r="H26" s="29">
        <f t="shared" si="1"/>
        <v>0.2132517296434274</v>
      </c>
      <c r="I26" s="29">
        <f t="shared" si="2"/>
        <v>-0.19781277505765429</v>
      </c>
      <c r="J26" s="30">
        <f t="shared" si="5"/>
        <v>-37.169020433333245</v>
      </c>
      <c r="K26" s="30">
        <f t="shared" si="3"/>
        <v>-3.7169020433333246</v>
      </c>
      <c r="L26" s="15">
        <v>89</v>
      </c>
      <c r="M26" s="31">
        <f t="shared" si="6"/>
        <v>0.11235955056179775</v>
      </c>
      <c r="N26" s="15">
        <v>203</v>
      </c>
      <c r="O26" s="32">
        <f t="shared" ref="O26:P26" si="34">D26/7</f>
        <v>1.4285714285714286</v>
      </c>
      <c r="P26" s="32">
        <f t="shared" si="34"/>
        <v>0</v>
      </c>
      <c r="Q26" s="27">
        <f t="shared" si="8"/>
        <v>142</v>
      </c>
      <c r="R26" s="27"/>
      <c r="S26" s="41">
        <v>0.37535014005602241</v>
      </c>
      <c r="T26" s="26">
        <v>304</v>
      </c>
      <c r="U26" s="34" t="s">
        <v>34</v>
      </c>
      <c r="V26" s="35" t="s">
        <v>34</v>
      </c>
      <c r="W26" s="40">
        <v>2</v>
      </c>
      <c r="X26" s="36">
        <f t="shared" si="9"/>
        <v>0.2</v>
      </c>
      <c r="Y26" s="37">
        <f t="shared" si="10"/>
        <v>4.4522222222222227</v>
      </c>
      <c r="Z26" s="40">
        <v>7</v>
      </c>
      <c r="AA26" s="26" t="s">
        <v>250</v>
      </c>
      <c r="AB26" s="38">
        <f t="shared" si="11"/>
        <v>-0.48</v>
      </c>
      <c r="AC26" s="40">
        <v>0.13971567013888886</v>
      </c>
      <c r="AD26" s="37">
        <f t="shared" si="12"/>
        <v>-1.341270433333333</v>
      </c>
      <c r="AE26" s="42">
        <v>-9.42</v>
      </c>
      <c r="AF26" s="42">
        <v>-6.1272749999999903</v>
      </c>
      <c r="AG26" s="42">
        <v>0</v>
      </c>
    </row>
    <row r="27" spans="1:33" ht="15.75" customHeight="1" x14ac:dyDescent="0.2">
      <c r="A27" s="40" t="s">
        <v>77</v>
      </c>
      <c r="B27" s="40" t="s">
        <v>672</v>
      </c>
      <c r="C27" s="14">
        <f t="shared" si="4"/>
        <v>17.990000000000002</v>
      </c>
      <c r="D27" s="15">
        <v>10</v>
      </c>
      <c r="E27" s="15">
        <v>0</v>
      </c>
      <c r="F27" s="16">
        <v>179.9</v>
      </c>
      <c r="G27" s="16">
        <v>-58.96</v>
      </c>
      <c r="H27" s="29">
        <f t="shared" si="1"/>
        <v>0.32773763201778766</v>
      </c>
      <c r="I27" s="29">
        <f t="shared" si="2"/>
        <v>-0.34941089735037939</v>
      </c>
      <c r="J27" s="30">
        <f t="shared" si="5"/>
        <v>-62.859020433333257</v>
      </c>
      <c r="K27" s="30">
        <f t="shared" si="3"/>
        <v>-6.2859020433333255</v>
      </c>
      <c r="L27" s="15">
        <v>133</v>
      </c>
      <c r="M27" s="31">
        <f t="shared" si="6"/>
        <v>7.5187969924812026E-2</v>
      </c>
      <c r="N27" s="15">
        <v>189</v>
      </c>
      <c r="O27" s="32">
        <f t="shared" ref="O27:P27" si="35">D27/7</f>
        <v>1.4285714285714286</v>
      </c>
      <c r="P27" s="32">
        <f t="shared" si="35"/>
        <v>0</v>
      </c>
      <c r="Q27" s="27">
        <f t="shared" si="8"/>
        <v>132</v>
      </c>
      <c r="R27" s="27"/>
      <c r="S27" s="41">
        <v>0.43502824858757061</v>
      </c>
      <c r="T27" s="26">
        <v>304</v>
      </c>
      <c r="U27" s="34" t="s">
        <v>34</v>
      </c>
      <c r="V27" s="35" t="s">
        <v>34</v>
      </c>
      <c r="W27" s="40">
        <v>1</v>
      </c>
      <c r="X27" s="36">
        <f t="shared" si="9"/>
        <v>0.1</v>
      </c>
      <c r="Y27" s="37">
        <f t="shared" si="10"/>
        <v>29.48</v>
      </c>
      <c r="Z27" s="40">
        <v>1</v>
      </c>
      <c r="AA27" s="26" t="s">
        <v>250</v>
      </c>
      <c r="AB27" s="38">
        <f t="shared" si="11"/>
        <v>-0.48</v>
      </c>
      <c r="AC27" s="39">
        <v>0.13971567013888886</v>
      </c>
      <c r="AD27" s="37">
        <f t="shared" si="12"/>
        <v>-1.341270433333333</v>
      </c>
      <c r="AE27" s="42">
        <v>-9.42</v>
      </c>
      <c r="AF27" s="42">
        <v>-6.1272749999999903</v>
      </c>
      <c r="AG27" s="42">
        <v>0</v>
      </c>
    </row>
    <row r="28" spans="1:33" ht="15.75" customHeight="1" x14ac:dyDescent="0.2">
      <c r="A28" s="40" t="s">
        <v>79</v>
      </c>
      <c r="B28" s="40" t="s">
        <v>672</v>
      </c>
      <c r="C28" s="14">
        <f t="shared" si="4"/>
        <v>17.990000000000002</v>
      </c>
      <c r="D28" s="15">
        <v>13</v>
      </c>
      <c r="E28" s="15">
        <v>0</v>
      </c>
      <c r="F28" s="16">
        <v>233.87</v>
      </c>
      <c r="G28" s="16">
        <v>-58.92</v>
      </c>
      <c r="H28" s="29">
        <f t="shared" si="1"/>
        <v>0.25193483559242313</v>
      </c>
      <c r="I28" s="29">
        <f t="shared" si="2"/>
        <v>-0.2736081009250147</v>
      </c>
      <c r="J28" s="30">
        <f t="shared" si="5"/>
        <v>-63.988726563333188</v>
      </c>
      <c r="K28" s="30">
        <f t="shared" si="3"/>
        <v>-4.9222097356410144</v>
      </c>
      <c r="L28" s="15">
        <v>123</v>
      </c>
      <c r="M28" s="31">
        <f t="shared" si="6"/>
        <v>0.10569105691056911</v>
      </c>
      <c r="N28" s="15">
        <v>175</v>
      </c>
      <c r="O28" s="32">
        <f t="shared" ref="O28:P28" si="36">D28/7</f>
        <v>1.8571428571428572</v>
      </c>
      <c r="P28" s="32">
        <f t="shared" si="36"/>
        <v>0</v>
      </c>
      <c r="Q28" s="27">
        <f t="shared" si="8"/>
        <v>94</v>
      </c>
      <c r="R28" s="27"/>
      <c r="S28" s="41">
        <v>0.51038575667655783</v>
      </c>
      <c r="T28" s="40" t="s">
        <v>34</v>
      </c>
      <c r="U28" s="22" t="s">
        <v>34</v>
      </c>
      <c r="V28" s="1" t="s">
        <v>673</v>
      </c>
      <c r="W28" s="40">
        <v>1</v>
      </c>
      <c r="X28" s="36">
        <f t="shared" si="9"/>
        <v>7.6923076923076927E-2</v>
      </c>
      <c r="Y28" s="37">
        <f t="shared" si="10"/>
        <v>8.4171428571428581</v>
      </c>
      <c r="Z28" s="40">
        <v>6</v>
      </c>
      <c r="AA28" s="26" t="s">
        <v>250</v>
      </c>
      <c r="AB28" s="38">
        <f t="shared" si="11"/>
        <v>-0.48</v>
      </c>
      <c r="AC28" s="39">
        <v>0.13971567013888886</v>
      </c>
      <c r="AD28" s="37">
        <f t="shared" si="12"/>
        <v>-1.7436515633333329</v>
      </c>
      <c r="AE28" s="42">
        <v>-9.42</v>
      </c>
      <c r="AF28" s="42">
        <v>-6.1272749999999903</v>
      </c>
      <c r="AG28" s="42">
        <v>0</v>
      </c>
    </row>
    <row r="29" spans="1:33" ht="15.75" customHeight="1" x14ac:dyDescent="0.2">
      <c r="A29" s="26" t="s">
        <v>82</v>
      </c>
      <c r="B29" s="26" t="s">
        <v>674</v>
      </c>
      <c r="C29" s="14">
        <f t="shared" si="4"/>
        <v>18.032727272727275</v>
      </c>
      <c r="D29" s="27">
        <v>22</v>
      </c>
      <c r="E29" s="27">
        <v>1</v>
      </c>
      <c r="F29" s="30">
        <v>396.72</v>
      </c>
      <c r="G29" s="30">
        <v>-59.570000000000007</v>
      </c>
      <c r="H29" s="29">
        <f t="shared" si="1"/>
        <v>0.15015628150836863</v>
      </c>
      <c r="I29" s="29">
        <f t="shared" si="2"/>
        <v>-0.16976417864824841</v>
      </c>
      <c r="J29" s="30">
        <f t="shared" si="5"/>
        <v>-67.348844953333113</v>
      </c>
      <c r="K29" s="30">
        <f t="shared" si="3"/>
        <v>-3.0613111342424144</v>
      </c>
      <c r="L29" s="27">
        <v>154</v>
      </c>
      <c r="M29" s="31">
        <f t="shared" si="6"/>
        <v>0.14285714285714285</v>
      </c>
      <c r="N29" s="15">
        <v>157</v>
      </c>
      <c r="O29" s="32">
        <f t="shared" ref="O29:P29" si="37">D29/7</f>
        <v>3.1428571428571428</v>
      </c>
      <c r="P29" s="32">
        <f t="shared" si="37"/>
        <v>0.14285714285714285</v>
      </c>
      <c r="Q29" s="27">
        <f t="shared" si="8"/>
        <v>47</v>
      </c>
      <c r="R29" s="27"/>
      <c r="S29" s="41">
        <v>0.62928348909657317</v>
      </c>
      <c r="T29" s="40" t="s">
        <v>34</v>
      </c>
      <c r="U29" s="22" t="s">
        <v>34</v>
      </c>
      <c r="V29" s="1" t="s">
        <v>34</v>
      </c>
      <c r="W29" s="40">
        <v>3</v>
      </c>
      <c r="X29" s="36">
        <f t="shared" si="9"/>
        <v>0.13636363636363635</v>
      </c>
      <c r="Y29" s="37">
        <f t="shared" si="10"/>
        <v>7.4462500000000009</v>
      </c>
      <c r="Z29" s="40">
        <v>5</v>
      </c>
      <c r="AA29" s="26" t="s">
        <v>250</v>
      </c>
      <c r="AB29" s="38">
        <f t="shared" si="11"/>
        <v>-0.48</v>
      </c>
      <c r="AC29" s="39">
        <v>0.13971567013888886</v>
      </c>
      <c r="AD29" s="37">
        <f t="shared" si="12"/>
        <v>-2.9507949533333329</v>
      </c>
      <c r="AE29" s="37">
        <v>-9.42</v>
      </c>
      <c r="AF29" s="42">
        <v>-6.1272749999999903</v>
      </c>
      <c r="AG29" s="37">
        <v>0</v>
      </c>
    </row>
    <row r="30" spans="1:33" ht="15.75" customHeight="1" x14ac:dyDescent="0.2">
      <c r="A30" s="40" t="s">
        <v>84</v>
      </c>
      <c r="B30" s="40" t="s">
        <v>675</v>
      </c>
      <c r="C30" s="14">
        <f t="shared" si="4"/>
        <v>17.861000000000004</v>
      </c>
      <c r="D30" s="15">
        <v>20</v>
      </c>
      <c r="E30" s="15">
        <v>0</v>
      </c>
      <c r="F30" s="16">
        <v>357.22000000000008</v>
      </c>
      <c r="G30" s="16">
        <v>-49.32</v>
      </c>
      <c r="H30" s="29">
        <f t="shared" si="1"/>
        <v>0.13806617770561555</v>
      </c>
      <c r="I30" s="29">
        <f t="shared" si="2"/>
        <v>-0.18292422454416435</v>
      </c>
      <c r="J30" s="30">
        <f t="shared" si="5"/>
        <v>-65.344191491666408</v>
      </c>
      <c r="K30" s="30">
        <f t="shared" si="3"/>
        <v>-3.2672095745833203</v>
      </c>
      <c r="L30" s="15">
        <v>117</v>
      </c>
      <c r="M30" s="31">
        <f t="shared" si="6"/>
        <v>0.17094017094017094</v>
      </c>
      <c r="N30" s="15">
        <v>132</v>
      </c>
      <c r="O30" s="32">
        <f t="shared" ref="O30:P30" si="38">D30/7</f>
        <v>2.8571428571428572</v>
      </c>
      <c r="P30" s="32">
        <f t="shared" si="38"/>
        <v>0</v>
      </c>
      <c r="Q30" s="27">
        <f t="shared" si="8"/>
        <v>46</v>
      </c>
      <c r="R30" s="27"/>
      <c r="S30" s="41">
        <v>0.55737704918032782</v>
      </c>
      <c r="T30" s="26">
        <v>324</v>
      </c>
      <c r="U30" s="34" t="s">
        <v>34</v>
      </c>
      <c r="V30" s="35" t="s">
        <v>34</v>
      </c>
      <c r="W30" s="40">
        <v>5</v>
      </c>
      <c r="X30" s="36">
        <f t="shared" si="9"/>
        <v>0.25</v>
      </c>
      <c r="Y30" s="37">
        <f t="shared" si="10"/>
        <v>8.2200000000000006</v>
      </c>
      <c r="Z30" s="40">
        <v>1</v>
      </c>
      <c r="AA30" s="26" t="s">
        <v>250</v>
      </c>
      <c r="AB30" s="38">
        <f t="shared" si="11"/>
        <v>-0.48</v>
      </c>
      <c r="AC30" s="39">
        <v>0.13971567013888886</v>
      </c>
      <c r="AD30" s="37">
        <f t="shared" si="12"/>
        <v>-2.6825408666666659</v>
      </c>
      <c r="AE30" s="42">
        <v>-9.42</v>
      </c>
      <c r="AF30" s="42">
        <v>-6.4289325312499903</v>
      </c>
      <c r="AG30" s="42">
        <v>0</v>
      </c>
    </row>
    <row r="31" spans="1:33" ht="15.75" customHeight="1" x14ac:dyDescent="0.2">
      <c r="A31" s="40" t="s">
        <v>87</v>
      </c>
      <c r="B31" s="40" t="s">
        <v>676</v>
      </c>
      <c r="C31" s="14">
        <f t="shared" si="4"/>
        <v>21.22260869565217</v>
      </c>
      <c r="D31" s="15">
        <v>23</v>
      </c>
      <c r="E31" s="15">
        <v>0</v>
      </c>
      <c r="F31" s="16">
        <v>488.11999999999989</v>
      </c>
      <c r="G31" s="43">
        <v>-63.239999999999995</v>
      </c>
      <c r="H31" s="29">
        <f t="shared" si="1"/>
        <v>0.12955830533475376</v>
      </c>
      <c r="I31" s="29">
        <f t="shared" si="2"/>
        <v>-3.2673052149915546E-2</v>
      </c>
      <c r="J31" s="30">
        <f t="shared" si="5"/>
        <v>-15.948370215416773</v>
      </c>
      <c r="K31" s="30">
        <f t="shared" si="3"/>
        <v>-0.69340740067029449</v>
      </c>
      <c r="L31" s="15">
        <v>144</v>
      </c>
      <c r="M31" s="31">
        <f t="shared" si="6"/>
        <v>0.15972222222222221</v>
      </c>
      <c r="N31" s="15">
        <v>112</v>
      </c>
      <c r="O31" s="32">
        <f t="shared" ref="O31:P31" si="39">D31/7</f>
        <v>3.2857142857142856</v>
      </c>
      <c r="P31" s="32">
        <f t="shared" si="39"/>
        <v>0</v>
      </c>
      <c r="Q31" s="27">
        <f t="shared" si="8"/>
        <v>34</v>
      </c>
      <c r="R31" s="27"/>
      <c r="S31" s="41">
        <v>0.63712574850299397</v>
      </c>
      <c r="T31" s="40">
        <v>324</v>
      </c>
      <c r="U31" s="22" t="s">
        <v>34</v>
      </c>
      <c r="V31" s="1" t="s">
        <v>469</v>
      </c>
      <c r="W31" s="40">
        <v>2</v>
      </c>
      <c r="X31" s="36">
        <f t="shared" si="9"/>
        <v>8.6956521739130432E-2</v>
      </c>
      <c r="Y31" s="37">
        <f t="shared" si="10"/>
        <v>31.619999999999997</v>
      </c>
      <c r="Z31" s="40">
        <v>0</v>
      </c>
      <c r="AA31" s="40" t="s">
        <v>250</v>
      </c>
      <c r="AB31" s="38">
        <f t="shared" si="11"/>
        <v>-0.48</v>
      </c>
      <c r="AC31" s="44">
        <v>0.13971567013888886</v>
      </c>
      <c r="AD31" s="37">
        <f t="shared" si="12"/>
        <v>-3.0849219966666661</v>
      </c>
      <c r="AE31" s="45">
        <v>-9.42</v>
      </c>
      <c r="AF31" s="45">
        <v>-6.4289325312499992</v>
      </c>
      <c r="AG31" s="42">
        <v>0</v>
      </c>
    </row>
    <row r="32" spans="1:33" ht="15.75" customHeight="1" x14ac:dyDescent="0.2">
      <c r="A32" s="40" t="s">
        <v>90</v>
      </c>
      <c r="B32" s="50" t="s">
        <v>53</v>
      </c>
      <c r="C32" s="14">
        <f t="shared" si="4"/>
        <v>23.633000000000003</v>
      </c>
      <c r="D32" s="15">
        <v>10</v>
      </c>
      <c r="E32" s="15">
        <v>0</v>
      </c>
      <c r="F32" s="16">
        <v>236.33</v>
      </c>
      <c r="G32" s="16">
        <v>-2.48</v>
      </c>
      <c r="H32" s="29">
        <f t="shared" si="1"/>
        <v>1.049380104091736E-2</v>
      </c>
      <c r="I32" s="29">
        <f t="shared" si="2"/>
        <v>0.16320358927841064</v>
      </c>
      <c r="J32" s="30">
        <f t="shared" si="5"/>
        <v>38.569904254166786</v>
      </c>
      <c r="K32" s="30">
        <f t="shared" si="3"/>
        <v>3.8569904254166785</v>
      </c>
      <c r="L32" s="15">
        <v>119</v>
      </c>
      <c r="M32" s="31">
        <f t="shared" si="6"/>
        <v>8.4033613445378158E-2</v>
      </c>
      <c r="N32" s="15">
        <v>109</v>
      </c>
      <c r="O32" s="32">
        <f t="shared" ref="O32:P32" si="40">D32/7</f>
        <v>1.4285714285714286</v>
      </c>
      <c r="P32" s="32">
        <f t="shared" si="40"/>
        <v>0</v>
      </c>
      <c r="Q32" s="27">
        <f t="shared" si="8"/>
        <v>76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0.76923076923076927</v>
      </c>
      <c r="T32" s="40">
        <f ca="1">IFERROR(__xludf.DUMMYFUNCTION("IFERROR(VLOOKUP($B$2,IMPORTRANGE(""https://docs.google.com/spreadsheets/d/1KiWZV1ko8G7lnRucBRBd29jj3Be6ltMfljMDqzOkQmI/edit#gid=1381463014"",""Lookup!A:D""),4,FALSE),"""")"),324)</f>
        <v>324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324 At Factory 50-75 days from Earliest Arrival")</f>
        <v>No Transit, But 324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0.13971567013888886</v>
      </c>
      <c r="AD32" s="37">
        <f t="shared" si="12"/>
        <v>-1.341270433333333</v>
      </c>
      <c r="AE32" s="42">
        <v>-9.42</v>
      </c>
      <c r="AF32" s="42">
        <v>-6.4289325312499903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3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Cream &amp; Black, Textured - 47 x 23 Inch Plastic Computer Pad for Desk")</f>
        <v>Office Desk Mat, Cream &amp; Black, Textured - 47 x 23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Info!B1:BJ5000""),2,FALSE),"""")"),"B07T8JV9P7")</f>
        <v>B07T8JV9P7</v>
      </c>
      <c r="B2" s="3" t="s">
        <v>677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16.45201180147059</v>
      </c>
      <c r="D3" s="5">
        <f>SUM(D4:D99767)</f>
        <v>269</v>
      </c>
      <c r="E3" s="5"/>
      <c r="F3" s="6">
        <f t="shared" ref="F3:G3" si="0">SUM(F4:F99767)</f>
        <v>5869.0099999999993</v>
      </c>
      <c r="G3" s="6">
        <f t="shared" si="0"/>
        <v>-70.069999999999993</v>
      </c>
      <c r="H3" s="7">
        <f t="shared" ref="H3:H32" si="1">G3/F3*-1</f>
        <v>1.1938981191035626E-2</v>
      </c>
      <c r="I3" s="8">
        <f t="shared" ref="I3:I32" si="2">J3/F3</f>
        <v>0.22452077918310664</v>
      </c>
      <c r="J3" s="6">
        <f>SUM(J4:J99767)</f>
        <v>1317.7146982334446</v>
      </c>
      <c r="K3" s="6">
        <f t="shared" ref="K3:K32" si="3">J3/D3</f>
        <v>4.8985676514254441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Sheet!a1:g5000""),2,FALSE),"""")"),"1.0 - March
1.0 - April
1.0 - May
1.0 - June
1.0 - July
1.0 - Aug
1.0 - Sept
1.0 - Oct
1.0 - Nov
1.0 - Dec
1.0 - Jan
1.0 - Feb")</f>
        <v>1.0 - March
1.0 - April
1.0 - May
1.0 - June
1.0 - July
1.0 - Aug
1.0 - Sept
1.0 - Oct
1.0 - Nov
1.0 - Dec
1.0 - Jan
1.0 -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</v>
      </c>
      <c r="X3" s="7">
        <f>W3/D3</f>
        <v>3.7174721189591076E-3</v>
      </c>
      <c r="Y3" s="6"/>
      <c r="Z3" s="5"/>
      <c r="AA3" s="5"/>
      <c r="AB3" s="5"/>
      <c r="AC3" s="5"/>
      <c r="AD3" s="6">
        <f>SUM(AD4:AD99767)</f>
        <v>-8.5904026223252163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Info!B2:BZ3000""),37,FALSE)),"""")*-1"),-4.56421003125)</f>
        <v>-4.56421003125</v>
      </c>
      <c r="AG3" s="6">
        <f>SUM(AG4:AG99767)</f>
        <v>0</v>
      </c>
    </row>
    <row r="4" spans="1:33" x14ac:dyDescent="0.2">
      <c r="A4" s="1" t="s">
        <v>32</v>
      </c>
      <c r="B4" s="2" t="s">
        <v>678</v>
      </c>
      <c r="C4" s="14">
        <f t="shared" ref="C4:C32" si="4">IFERROR(F4/D4," - ")</f>
        <v>23.017142857142858</v>
      </c>
      <c r="D4" s="15">
        <v>28</v>
      </c>
      <c r="E4" s="15">
        <v>0</v>
      </c>
      <c r="F4" s="16">
        <v>644.48</v>
      </c>
      <c r="G4" s="16">
        <v>0</v>
      </c>
      <c r="H4" s="17">
        <f t="shared" si="1"/>
        <v>0</v>
      </c>
      <c r="I4" s="17">
        <f t="shared" si="2"/>
        <v>0.27854455260293326</v>
      </c>
      <c r="J4" s="16">
        <f t="shared" ref="J4:J32" si="5">F4*0.85+G4+AF4*D4+D4*AE4+AG4+AD4</f>
        <v>179.51639326153844</v>
      </c>
      <c r="K4" s="16">
        <f t="shared" si="3"/>
        <v>6.4112997593406584</v>
      </c>
      <c r="L4" s="15">
        <v>142</v>
      </c>
      <c r="M4" s="18">
        <f t="shared" ref="M4:M32" si="6">IFERROR(D4/L4,"-")</f>
        <v>0.19718309859154928</v>
      </c>
      <c r="N4" s="15">
        <v>111</v>
      </c>
      <c r="O4" s="19">
        <f t="shared" ref="O4:P4" si="7">D4/7</f>
        <v>4</v>
      </c>
      <c r="P4" s="19">
        <f t="shared" si="7"/>
        <v>0</v>
      </c>
      <c r="Q4" s="15">
        <f t="shared" ref="Q4:Q32" si="8">ROUNDDOWN(N4/(O4+P4),0)</f>
        <v>27</v>
      </c>
      <c r="R4" s="15"/>
      <c r="S4" s="20">
        <v>0.89456869009584605</v>
      </c>
      <c r="T4" s="2">
        <v>316</v>
      </c>
      <c r="U4" s="2" t="s">
        <v>34</v>
      </c>
      <c r="V4" s="21" t="s">
        <v>679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4.9293472222222211E-2</v>
      </c>
      <c r="AD4" s="24">
        <f t="shared" ref="AD4:AD32" si="12">IFERROR(AB4*AC4*D4*2,0)</f>
        <v>-1.325008533333333</v>
      </c>
      <c r="AE4" s="24">
        <v>-9.02</v>
      </c>
      <c r="AF4" s="24">
        <v>-4.0859499358974354</v>
      </c>
      <c r="AG4" s="24">
        <v>0</v>
      </c>
    </row>
    <row r="5" spans="1:33" ht="15.75" customHeight="1" x14ac:dyDescent="0.2">
      <c r="A5" s="26" t="s">
        <v>35</v>
      </c>
      <c r="B5" s="26" t="s">
        <v>680</v>
      </c>
      <c r="C5" s="14">
        <f t="shared" si="4"/>
        <v>23.14911764705883</v>
      </c>
      <c r="D5" s="27">
        <v>34</v>
      </c>
      <c r="E5" s="27">
        <v>0</v>
      </c>
      <c r="F5" s="28">
        <v>787.07000000000016</v>
      </c>
      <c r="G5" s="28">
        <v>0</v>
      </c>
      <c r="H5" s="29">
        <f t="shared" si="1"/>
        <v>0</v>
      </c>
      <c r="I5" s="29">
        <f t="shared" si="2"/>
        <v>0.28180009260992722</v>
      </c>
      <c r="J5" s="30">
        <f t="shared" si="5"/>
        <v>221.79639889049545</v>
      </c>
      <c r="K5" s="30">
        <f t="shared" si="3"/>
        <v>6.5234234967792784</v>
      </c>
      <c r="L5" s="27">
        <v>297</v>
      </c>
      <c r="M5" s="31">
        <f t="shared" si="6"/>
        <v>0.11447811447811448</v>
      </c>
      <c r="N5" s="27">
        <v>84</v>
      </c>
      <c r="O5" s="32">
        <f t="shared" ref="O5:P5" si="13">D5/7</f>
        <v>4.8571428571428568</v>
      </c>
      <c r="P5" s="32">
        <f t="shared" si="13"/>
        <v>0</v>
      </c>
      <c r="Q5" s="27">
        <f t="shared" si="8"/>
        <v>17</v>
      </c>
      <c r="R5" s="27"/>
      <c r="S5" s="33">
        <v>1.7913043478260799</v>
      </c>
      <c r="T5" s="26">
        <v>316</v>
      </c>
      <c r="U5" s="34" t="s">
        <v>34</v>
      </c>
      <c r="V5" s="35" t="s">
        <v>679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4.9350590961761288E-2</v>
      </c>
      <c r="AD5" s="37">
        <f t="shared" si="12"/>
        <v>-1.6108032889918884</v>
      </c>
      <c r="AE5" s="37">
        <v>-9.02</v>
      </c>
      <c r="AF5" s="37">
        <v>-4.0859499358974354</v>
      </c>
      <c r="AG5" s="37">
        <v>0</v>
      </c>
    </row>
    <row r="6" spans="1:33" ht="15.75" customHeight="1" x14ac:dyDescent="0.2">
      <c r="A6" s="26" t="s">
        <v>38</v>
      </c>
      <c r="B6" s="26" t="s">
        <v>681</v>
      </c>
      <c r="C6" s="14">
        <f t="shared" si="4"/>
        <v>24.667857142857141</v>
      </c>
      <c r="D6" s="27">
        <v>28</v>
      </c>
      <c r="E6" s="27">
        <v>0</v>
      </c>
      <c r="F6" s="28">
        <v>690.69999999999993</v>
      </c>
      <c r="G6" s="28">
        <v>0</v>
      </c>
      <c r="H6" s="29">
        <f t="shared" si="1"/>
        <v>0</v>
      </c>
      <c r="I6" s="29">
        <f t="shared" si="2"/>
        <v>0.31678499096791424</v>
      </c>
      <c r="J6" s="30">
        <f t="shared" si="5"/>
        <v>218.80339326153836</v>
      </c>
      <c r="K6" s="30">
        <f t="shared" si="3"/>
        <v>7.8144069021977982</v>
      </c>
      <c r="L6" s="27">
        <v>264</v>
      </c>
      <c r="M6" s="31">
        <f t="shared" si="6"/>
        <v>0.10606060606060606</v>
      </c>
      <c r="N6" s="27">
        <v>48</v>
      </c>
      <c r="O6" s="32">
        <f t="shared" ref="O6:P6" si="14">D6/7</f>
        <v>4</v>
      </c>
      <c r="P6" s="32">
        <f t="shared" si="14"/>
        <v>0</v>
      </c>
      <c r="Q6" s="27">
        <f t="shared" si="8"/>
        <v>12</v>
      </c>
      <c r="R6" s="27"/>
      <c r="S6" s="33">
        <v>2.6794258373205699</v>
      </c>
      <c r="T6" s="26">
        <v>316</v>
      </c>
      <c r="U6" s="34">
        <v>128</v>
      </c>
      <c r="V6" s="35" t="s">
        <v>682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4.9293472222222211E-2</v>
      </c>
      <c r="AD6" s="37">
        <f t="shared" si="12"/>
        <v>-1.325008533333333</v>
      </c>
      <c r="AE6" s="37">
        <v>-9.02</v>
      </c>
      <c r="AF6" s="37">
        <v>-4.0859499358974354</v>
      </c>
      <c r="AG6" s="37">
        <v>0</v>
      </c>
    </row>
    <row r="7" spans="1:33" ht="15.75" customHeight="1" x14ac:dyDescent="0.2">
      <c r="A7" s="26" t="s">
        <v>41</v>
      </c>
      <c r="B7" s="26" t="s">
        <v>683</v>
      </c>
      <c r="C7" s="14">
        <f t="shared" si="4"/>
        <v>25.75869565217392</v>
      </c>
      <c r="D7" s="27">
        <v>23</v>
      </c>
      <c r="E7" s="27">
        <v>0</v>
      </c>
      <c r="F7" s="28">
        <v>592.45000000000016</v>
      </c>
      <c r="G7" s="28">
        <v>0</v>
      </c>
      <c r="H7" s="29">
        <f t="shared" si="1"/>
        <v>0</v>
      </c>
      <c r="I7" s="29">
        <f t="shared" si="2"/>
        <v>0.33936577197686285</v>
      </c>
      <c r="J7" s="30">
        <f t="shared" si="5"/>
        <v>201.05725160769245</v>
      </c>
      <c r="K7" s="30">
        <f t="shared" si="3"/>
        <v>8.741619635117063</v>
      </c>
      <c r="L7" s="27">
        <v>230</v>
      </c>
      <c r="M7" s="31">
        <f t="shared" si="6"/>
        <v>0.1</v>
      </c>
      <c r="N7" s="27">
        <v>26</v>
      </c>
      <c r="O7" s="32">
        <f t="shared" ref="O7:P7" si="15">D7/7</f>
        <v>3.2857142857142856</v>
      </c>
      <c r="P7" s="32">
        <f t="shared" si="15"/>
        <v>0</v>
      </c>
      <c r="Q7" s="27">
        <f t="shared" si="8"/>
        <v>7</v>
      </c>
      <c r="R7" s="27"/>
      <c r="S7" s="33">
        <v>1.78861788617886</v>
      </c>
      <c r="T7" s="26">
        <v>316</v>
      </c>
      <c r="U7" s="34">
        <v>128</v>
      </c>
      <c r="V7" s="35" t="s">
        <v>682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4.9293472222222211E-2</v>
      </c>
      <c r="AD7" s="37">
        <f t="shared" si="12"/>
        <v>-1.0883998666666665</v>
      </c>
      <c r="AE7" s="37">
        <v>-9.02</v>
      </c>
      <c r="AF7" s="37">
        <v>-4.0859499358974354</v>
      </c>
      <c r="AG7" s="37">
        <v>0</v>
      </c>
    </row>
    <row r="8" spans="1:33" ht="15.75" customHeight="1" x14ac:dyDescent="0.2">
      <c r="A8" s="26" t="s">
        <v>43</v>
      </c>
      <c r="B8" s="26" t="s">
        <v>684</v>
      </c>
      <c r="C8" s="14">
        <f t="shared" si="4"/>
        <v>26.865000000000002</v>
      </c>
      <c r="D8" s="27">
        <v>18</v>
      </c>
      <c r="E8" s="27">
        <v>0</v>
      </c>
      <c r="F8" s="28">
        <v>483.57000000000005</v>
      </c>
      <c r="G8" s="28">
        <v>0</v>
      </c>
      <c r="H8" s="29">
        <f t="shared" si="1"/>
        <v>0</v>
      </c>
      <c r="I8" s="29">
        <f t="shared" si="2"/>
        <v>0.36024300266765935</v>
      </c>
      <c r="J8" s="30">
        <f t="shared" si="5"/>
        <v>174.20270880000004</v>
      </c>
      <c r="K8" s="30">
        <f t="shared" si="3"/>
        <v>9.6779282666666688</v>
      </c>
      <c r="L8" s="27">
        <v>128</v>
      </c>
      <c r="M8" s="31">
        <f t="shared" si="6"/>
        <v>0.140625</v>
      </c>
      <c r="N8" s="27">
        <v>10</v>
      </c>
      <c r="O8" s="32">
        <f t="shared" ref="O8:P8" si="16">D8/7</f>
        <v>2.5714285714285716</v>
      </c>
      <c r="P8" s="32">
        <f t="shared" si="16"/>
        <v>0</v>
      </c>
      <c r="Q8" s="27">
        <f t="shared" si="8"/>
        <v>3</v>
      </c>
      <c r="R8" s="27"/>
      <c r="S8" s="33">
        <v>2.2699386503067398</v>
      </c>
      <c r="T8" s="26">
        <v>188</v>
      </c>
      <c r="U8" s="34">
        <v>128</v>
      </c>
      <c r="V8" s="35" t="s">
        <v>682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4.9293472222222211E-2</v>
      </c>
      <c r="AD8" s="37">
        <f t="shared" si="12"/>
        <v>-0.85179119999999986</v>
      </c>
      <c r="AE8" s="37">
        <v>-9.02</v>
      </c>
      <c r="AF8" s="37">
        <v>-4.09</v>
      </c>
      <c r="AG8" s="37">
        <v>0</v>
      </c>
    </row>
    <row r="9" spans="1:33" ht="15.75" customHeight="1" x14ac:dyDescent="0.2">
      <c r="A9" s="26" t="s">
        <v>45</v>
      </c>
      <c r="B9" s="26" t="s">
        <v>461</v>
      </c>
      <c r="C9" s="14">
        <f t="shared" si="4"/>
        <v>27.89</v>
      </c>
      <c r="D9" s="27">
        <v>6</v>
      </c>
      <c r="E9" s="27">
        <v>0</v>
      </c>
      <c r="F9" s="28">
        <v>167.34</v>
      </c>
      <c r="G9" s="28">
        <v>0</v>
      </c>
      <c r="H9" s="29">
        <f t="shared" si="1"/>
        <v>0</v>
      </c>
      <c r="I9" s="29">
        <f t="shared" si="2"/>
        <v>0.37423891009552196</v>
      </c>
      <c r="J9" s="30">
        <f t="shared" si="5"/>
        <v>62.625139215384642</v>
      </c>
      <c r="K9" s="30">
        <f t="shared" si="3"/>
        <v>10.437523202564106</v>
      </c>
      <c r="L9" s="27">
        <v>63</v>
      </c>
      <c r="M9" s="31">
        <f t="shared" si="6"/>
        <v>9.5238095238095233E-2</v>
      </c>
      <c r="N9" s="27">
        <v>0</v>
      </c>
      <c r="O9" s="32">
        <f t="shared" ref="O9:P9" si="17">D9/7</f>
        <v>0.8571428571428571</v>
      </c>
      <c r="P9" s="32">
        <f t="shared" si="17"/>
        <v>0</v>
      </c>
      <c r="Q9" s="27">
        <f t="shared" si="8"/>
        <v>0</v>
      </c>
      <c r="R9" s="27"/>
      <c r="S9" s="33" t="e">
        <v>#N/A</v>
      </c>
      <c r="T9" s="26">
        <v>188</v>
      </c>
      <c r="U9" s="34">
        <v>128</v>
      </c>
      <c r="V9" s="35" t="s">
        <v>685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4.9293472222222211E-2</v>
      </c>
      <c r="AD9" s="37">
        <f t="shared" si="12"/>
        <v>-0.28393039999999992</v>
      </c>
      <c r="AE9" s="37">
        <v>-9.02</v>
      </c>
      <c r="AF9" s="37">
        <v>-4.2016550641025603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188</v>
      </c>
      <c r="U10" s="34">
        <v>128</v>
      </c>
      <c r="V10" s="35" t="s">
        <v>686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4.9293472222222211E-2</v>
      </c>
      <c r="AD10" s="37">
        <f t="shared" si="12"/>
        <v>0</v>
      </c>
      <c r="AE10" s="37">
        <v>-9.02</v>
      </c>
      <c r="AF10" s="37">
        <v>-4.2016550641025603</v>
      </c>
      <c r="AG10" s="37">
        <v>0</v>
      </c>
    </row>
    <row r="11" spans="1:33" ht="15.75" customHeight="1" x14ac:dyDescent="0.2">
      <c r="A11" s="26" t="s">
        <v>50</v>
      </c>
      <c r="B11" s="26" t="s">
        <v>461</v>
      </c>
      <c r="C11" s="14">
        <f t="shared" si="4"/>
        <v>26.99</v>
      </c>
      <c r="D11" s="27">
        <v>1</v>
      </c>
      <c r="E11" s="27">
        <v>0</v>
      </c>
      <c r="F11" s="28">
        <v>26.99</v>
      </c>
      <c r="G11" s="28">
        <v>0</v>
      </c>
      <c r="H11" s="29">
        <f t="shared" si="1"/>
        <v>0</v>
      </c>
      <c r="I11" s="29">
        <f t="shared" si="2"/>
        <v>0.35837433132879232</v>
      </c>
      <c r="J11" s="30">
        <f t="shared" si="5"/>
        <v>9.6725232025641041</v>
      </c>
      <c r="K11" s="30">
        <f t="shared" si="3"/>
        <v>9.6725232025641041</v>
      </c>
      <c r="L11" s="27">
        <v>0</v>
      </c>
      <c r="M11" s="31" t="str">
        <f t="shared" si="6"/>
        <v>-</v>
      </c>
      <c r="N11" s="27">
        <v>1</v>
      </c>
      <c r="O11" s="32">
        <f t="shared" ref="O11:P11" si="19">D11/7</f>
        <v>0.14285714285714285</v>
      </c>
      <c r="P11" s="32">
        <f t="shared" si="19"/>
        <v>0</v>
      </c>
      <c r="Q11" s="27">
        <f t="shared" si="8"/>
        <v>7</v>
      </c>
      <c r="R11" s="27"/>
      <c r="S11" s="33">
        <v>2.0855614973262</v>
      </c>
      <c r="T11" s="26">
        <v>188</v>
      </c>
      <c r="U11" s="34">
        <v>128</v>
      </c>
      <c r="V11" s="35" t="s">
        <v>686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4.9293472222222211E-2</v>
      </c>
      <c r="AD11" s="37">
        <f t="shared" si="12"/>
        <v>-4.7321733333333324E-2</v>
      </c>
      <c r="AE11" s="37">
        <v>-9.02</v>
      </c>
      <c r="AF11" s="37">
        <v>-4.2016550641025603</v>
      </c>
      <c r="AG11" s="37">
        <v>0</v>
      </c>
    </row>
    <row r="12" spans="1:33" ht="15.75" customHeight="1" x14ac:dyDescent="0.2">
      <c r="A12" s="26" t="s">
        <v>52</v>
      </c>
      <c r="B12" s="26"/>
      <c r="C12" s="14">
        <f t="shared" si="4"/>
        <v>26.99</v>
      </c>
      <c r="D12" s="27">
        <v>1</v>
      </c>
      <c r="E12" s="27">
        <v>0</v>
      </c>
      <c r="F12" s="28">
        <v>26.99</v>
      </c>
      <c r="G12" s="28">
        <v>0</v>
      </c>
      <c r="H12" s="29">
        <f t="shared" si="1"/>
        <v>0</v>
      </c>
      <c r="I12" s="29">
        <f t="shared" si="2"/>
        <v>0.35837433132879232</v>
      </c>
      <c r="J12" s="30">
        <f t="shared" si="5"/>
        <v>9.6725232025641041</v>
      </c>
      <c r="K12" s="30">
        <f t="shared" si="3"/>
        <v>9.6725232025641041</v>
      </c>
      <c r="L12" s="27">
        <v>5</v>
      </c>
      <c r="M12" s="31">
        <f t="shared" si="6"/>
        <v>0.2</v>
      </c>
      <c r="N12" s="27">
        <v>0</v>
      </c>
      <c r="O12" s="32">
        <f t="shared" ref="O12:P12" si="20">D12/7</f>
        <v>0.14285714285714285</v>
      </c>
      <c r="P12" s="32">
        <f t="shared" si="20"/>
        <v>0</v>
      </c>
      <c r="Q12" s="27">
        <f t="shared" si="8"/>
        <v>0</v>
      </c>
      <c r="R12" s="27"/>
      <c r="S12" s="33">
        <v>2.2756598240469201</v>
      </c>
      <c r="T12" s="26">
        <v>188</v>
      </c>
      <c r="U12" s="34">
        <v>128</v>
      </c>
      <c r="V12" s="35" t="s">
        <v>686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4.9293472222222211E-2</v>
      </c>
      <c r="AD12" s="37">
        <f t="shared" si="12"/>
        <v>-4.7321733333333324E-2</v>
      </c>
      <c r="AE12" s="37">
        <v>-9.02</v>
      </c>
      <c r="AF12" s="37">
        <v>-4.2016550641025603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>
        <v>2.3630769230769202</v>
      </c>
      <c r="T13" s="26">
        <v>188</v>
      </c>
      <c r="U13" s="34">
        <v>128</v>
      </c>
      <c r="V13" s="35" t="s">
        <v>686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-4.2625525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>
        <v>2.9779735682819299</v>
      </c>
      <c r="T14" s="26">
        <v>188</v>
      </c>
      <c r="U14" s="34">
        <v>128</v>
      </c>
      <c r="V14" s="35" t="s">
        <v>687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-4.2625525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272</v>
      </c>
      <c r="U15" s="34">
        <v>128</v>
      </c>
      <c r="V15" s="35" t="s">
        <v>685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-4.2625525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144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-4.2625525</v>
      </c>
      <c r="AG16" s="37">
        <v>0</v>
      </c>
    </row>
    <row r="17" spans="1:33" ht="15.75" customHeight="1" x14ac:dyDescent="0.2">
      <c r="A17" s="26" t="s">
        <v>61</v>
      </c>
      <c r="B17" s="26" t="s">
        <v>663</v>
      </c>
      <c r="C17" s="14">
        <f t="shared" si="4"/>
        <v>26.99</v>
      </c>
      <c r="D17" s="27">
        <v>2</v>
      </c>
      <c r="E17" s="27">
        <v>0</v>
      </c>
      <c r="F17" s="30">
        <v>53.98</v>
      </c>
      <c r="G17" s="28">
        <v>0</v>
      </c>
      <c r="H17" s="29">
        <f t="shared" si="1"/>
        <v>0</v>
      </c>
      <c r="I17" s="29">
        <f t="shared" si="2"/>
        <v>0.35611803507471906</v>
      </c>
      <c r="J17" s="30">
        <f t="shared" si="5"/>
        <v>19.223251533333332</v>
      </c>
      <c r="K17" s="30">
        <f t="shared" si="3"/>
        <v>9.6116257666666662</v>
      </c>
      <c r="L17" s="27">
        <v>31</v>
      </c>
      <c r="M17" s="31">
        <f t="shared" si="6"/>
        <v>6.4516129032258063E-2</v>
      </c>
      <c r="N17" s="27">
        <v>394</v>
      </c>
      <c r="O17" s="32">
        <f t="shared" ref="O17:P17" si="25">D17/7</f>
        <v>0.2857142857142857</v>
      </c>
      <c r="P17" s="32">
        <f t="shared" si="25"/>
        <v>0</v>
      </c>
      <c r="Q17" s="27">
        <f t="shared" si="8"/>
        <v>1379</v>
      </c>
      <c r="R17" s="27"/>
      <c r="S17" s="33">
        <v>0.90248565965583105</v>
      </c>
      <c r="T17" s="26">
        <v>144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4.9293472222222211E-2</v>
      </c>
      <c r="AD17" s="37">
        <f t="shared" si="12"/>
        <v>-9.4643466666666648E-2</v>
      </c>
      <c r="AE17" s="37">
        <v>-9.02</v>
      </c>
      <c r="AF17" s="37">
        <v>-4.2625525</v>
      </c>
      <c r="AG17" s="37">
        <v>0</v>
      </c>
    </row>
    <row r="18" spans="1:33" ht="15.75" customHeight="1" x14ac:dyDescent="0.2">
      <c r="A18" s="26" t="s">
        <v>62</v>
      </c>
      <c r="B18" s="26" t="s">
        <v>688</v>
      </c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-26.38</v>
      </c>
      <c r="H18" s="29" t="e">
        <f t="shared" si="1"/>
        <v>#DIV/0!</v>
      </c>
      <c r="I18" s="29" t="e">
        <f t="shared" si="2"/>
        <v>#DIV/0!</v>
      </c>
      <c r="J18" s="30">
        <f t="shared" si="5"/>
        <v>-26.38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394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0.731006160164271</v>
      </c>
      <c r="T18" s="26">
        <v>144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4.9293472222222211E-2</v>
      </c>
      <c r="AD18" s="37">
        <f t="shared" si="12"/>
        <v>0</v>
      </c>
      <c r="AE18" s="37">
        <v>-9.02</v>
      </c>
      <c r="AF18" s="37">
        <v>-4.2625525</v>
      </c>
      <c r="AG18" s="37">
        <v>0</v>
      </c>
    </row>
    <row r="19" spans="1:33" ht="15.75" customHeight="1" x14ac:dyDescent="0.2">
      <c r="A19" s="26" t="s">
        <v>64</v>
      </c>
      <c r="B19" s="26" t="s">
        <v>689</v>
      </c>
      <c r="C19" s="14">
        <f t="shared" si="4"/>
        <v>19.989999999999998</v>
      </c>
      <c r="D19" s="27">
        <v>4</v>
      </c>
      <c r="E19" s="27">
        <v>0</v>
      </c>
      <c r="F19" s="30">
        <v>79.959999999999994</v>
      </c>
      <c r="G19" s="28">
        <v>-5.27</v>
      </c>
      <c r="H19" s="29">
        <f t="shared" si="1"/>
        <v>6.5907953976988495E-2</v>
      </c>
      <c r="I19" s="29">
        <f t="shared" si="2"/>
        <v>0.1172649207937302</v>
      </c>
      <c r="J19" s="30">
        <f t="shared" si="5"/>
        <v>9.3765030666666664</v>
      </c>
      <c r="K19" s="30">
        <f t="shared" si="3"/>
        <v>2.3441257666666666</v>
      </c>
      <c r="L19" s="27">
        <v>46</v>
      </c>
      <c r="M19" s="31">
        <f t="shared" si="6"/>
        <v>8.6956521739130432E-2</v>
      </c>
      <c r="N19" s="27">
        <v>0</v>
      </c>
      <c r="O19" s="32">
        <f t="shared" ref="O19:P19" si="27">D19/7</f>
        <v>0.5714285714285714</v>
      </c>
      <c r="P19" s="32">
        <f t="shared" si="27"/>
        <v>0</v>
      </c>
      <c r="Q19" s="27">
        <f t="shared" si="8"/>
        <v>0</v>
      </c>
      <c r="R19" s="27"/>
      <c r="S19" s="33">
        <v>0.50220264317180596</v>
      </c>
      <c r="T19" s="26">
        <v>144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4.9293472222222211E-2</v>
      </c>
      <c r="AD19" s="37">
        <f t="shared" si="12"/>
        <v>-0.1892869333333333</v>
      </c>
      <c r="AE19" s="37">
        <v>-9.02</v>
      </c>
      <c r="AF19" s="37">
        <v>-4.2625525</v>
      </c>
      <c r="AG19" s="37">
        <v>0</v>
      </c>
    </row>
    <row r="20" spans="1:33" ht="15.75" customHeight="1" x14ac:dyDescent="0.2">
      <c r="A20" s="26" t="s">
        <v>65</v>
      </c>
      <c r="B20" s="26" t="s">
        <v>690</v>
      </c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386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>
        <v>0.34123222748815102</v>
      </c>
      <c r="T20" s="26">
        <v>144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4.9293472222222211E-2</v>
      </c>
      <c r="AD20" s="37">
        <f t="shared" si="12"/>
        <v>0</v>
      </c>
      <c r="AE20" s="37">
        <v>-9.02</v>
      </c>
      <c r="AF20" s="37">
        <v>-4.2625525</v>
      </c>
      <c r="AG20" s="37">
        <v>0</v>
      </c>
    </row>
    <row r="21" spans="1:33" ht="15.75" customHeight="1" x14ac:dyDescent="0.2">
      <c r="A21" s="26" t="s">
        <v>66</v>
      </c>
      <c r="B21" s="26" t="s">
        <v>691</v>
      </c>
      <c r="C21" s="14">
        <f t="shared" si="4"/>
        <v>25.624999999999996</v>
      </c>
      <c r="D21" s="27">
        <v>4</v>
      </c>
      <c r="E21" s="27">
        <v>0</v>
      </c>
      <c r="F21" s="30">
        <v>102.49999999999999</v>
      </c>
      <c r="G21" s="28">
        <v>0</v>
      </c>
      <c r="H21" s="29">
        <f t="shared" si="1"/>
        <v>0</v>
      </c>
      <c r="I21" s="29">
        <f t="shared" si="2"/>
        <v>0.32980978601625999</v>
      </c>
      <c r="J21" s="30">
        <f t="shared" si="5"/>
        <v>33.805503066666645</v>
      </c>
      <c r="K21" s="30">
        <f t="shared" si="3"/>
        <v>8.4513757666666613</v>
      </c>
      <c r="L21" s="27">
        <v>22</v>
      </c>
      <c r="M21" s="31">
        <f t="shared" si="6"/>
        <v>0.18181818181818182</v>
      </c>
      <c r="N21" s="27">
        <v>383</v>
      </c>
      <c r="O21" s="32">
        <f t="shared" ref="O21:P21" si="29">D21/7</f>
        <v>0.5714285714285714</v>
      </c>
      <c r="P21" s="32">
        <f t="shared" si="29"/>
        <v>0</v>
      </c>
      <c r="Q21" s="27">
        <f t="shared" si="8"/>
        <v>670</v>
      </c>
      <c r="R21" s="27"/>
      <c r="S21" s="33">
        <v>8.9775561097256804E-2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4.9293472222222211E-2</v>
      </c>
      <c r="AD21" s="37">
        <f t="shared" si="12"/>
        <v>-0.1892869333333333</v>
      </c>
      <c r="AE21" s="37">
        <v>-9.02</v>
      </c>
      <c r="AF21" s="37">
        <v>-4.2625525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23.270000000000003</v>
      </c>
      <c r="D22" s="27">
        <v>7</v>
      </c>
      <c r="E22" s="27">
        <v>0</v>
      </c>
      <c r="F22" s="28">
        <v>162.89000000000001</v>
      </c>
      <c r="G22" s="28">
        <v>0</v>
      </c>
      <c r="H22" s="29">
        <f t="shared" si="1"/>
        <v>0</v>
      </c>
      <c r="I22" s="29">
        <f t="shared" si="2"/>
        <v>0.27864779401231915</v>
      </c>
      <c r="J22" s="30">
        <f t="shared" si="5"/>
        <v>45.388939166666667</v>
      </c>
      <c r="K22" s="30">
        <f t="shared" si="3"/>
        <v>6.4841341666666663</v>
      </c>
      <c r="L22" s="27">
        <v>61</v>
      </c>
      <c r="M22" s="31">
        <f t="shared" si="6"/>
        <v>0.11475409836065574</v>
      </c>
      <c r="N22" s="27">
        <v>141</v>
      </c>
      <c r="O22" s="32">
        <f t="shared" ref="O22:P22" si="30">D22/7</f>
        <v>1</v>
      </c>
      <c r="P22" s="32">
        <f t="shared" si="30"/>
        <v>0</v>
      </c>
      <c r="Q22" s="27">
        <f t="shared" si="8"/>
        <v>141</v>
      </c>
      <c r="R22" s="27"/>
      <c r="S22" s="33">
        <v>8.1528662420382106E-2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1.3347222222222222E-2</v>
      </c>
      <c r="AD22" s="37">
        <f t="shared" si="12"/>
        <v>-8.9693333333333333E-2</v>
      </c>
      <c r="AE22" s="37">
        <v>-9.02</v>
      </c>
      <c r="AF22" s="37">
        <v>-4.2625525</v>
      </c>
      <c r="AG22" s="37">
        <v>0</v>
      </c>
    </row>
    <row r="23" spans="1:33" ht="15.75" customHeight="1" x14ac:dyDescent="0.2">
      <c r="A23" s="26" t="s">
        <v>68</v>
      </c>
      <c r="B23" s="26" t="s">
        <v>692</v>
      </c>
      <c r="C23" s="14">
        <f t="shared" si="4"/>
        <v>18.681428571428572</v>
      </c>
      <c r="D23" s="27">
        <v>7</v>
      </c>
      <c r="E23" s="27">
        <v>0</v>
      </c>
      <c r="F23" s="30">
        <v>130.77000000000001</v>
      </c>
      <c r="G23" s="28">
        <v>0</v>
      </c>
      <c r="H23" s="29">
        <f t="shared" si="1"/>
        <v>0</v>
      </c>
      <c r="I23" s="29">
        <f t="shared" si="2"/>
        <v>0.13831107415054417</v>
      </c>
      <c r="J23" s="30">
        <f t="shared" si="5"/>
        <v>18.086939166666664</v>
      </c>
      <c r="K23" s="30">
        <f t="shared" si="3"/>
        <v>2.583848452380952</v>
      </c>
      <c r="L23" s="27">
        <v>61</v>
      </c>
      <c r="M23" s="31">
        <f t="shared" si="6"/>
        <v>0.11475409836065574</v>
      </c>
      <c r="N23" s="27">
        <v>136</v>
      </c>
      <c r="O23" s="32">
        <f t="shared" ref="O23:P23" si="31">D23/7</f>
        <v>1</v>
      </c>
      <c r="P23" s="32">
        <f t="shared" si="31"/>
        <v>0</v>
      </c>
      <c r="Q23" s="27">
        <f t="shared" si="8"/>
        <v>136</v>
      </c>
      <c r="R23" s="27"/>
      <c r="S23" s="33">
        <v>0.10256410256410201</v>
      </c>
      <c r="T23" s="26">
        <v>144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1.3347222222222222E-2</v>
      </c>
      <c r="AD23" s="37">
        <f t="shared" si="12"/>
        <v>-8.9693333333333333E-2</v>
      </c>
      <c r="AE23" s="37">
        <v>-9.02</v>
      </c>
      <c r="AF23" s="37">
        <v>-4.2625525</v>
      </c>
      <c r="AG23" s="37">
        <v>0</v>
      </c>
    </row>
    <row r="24" spans="1:33" ht="15.75" customHeight="1" x14ac:dyDescent="0.2">
      <c r="A24" s="26" t="s">
        <v>71</v>
      </c>
      <c r="B24" s="26" t="s">
        <v>635</v>
      </c>
      <c r="C24" s="14">
        <f t="shared" si="4"/>
        <v>17.990000000000002</v>
      </c>
      <c r="D24" s="27">
        <v>12</v>
      </c>
      <c r="E24" s="27">
        <v>0</v>
      </c>
      <c r="F24" s="30">
        <v>215.88000000000002</v>
      </c>
      <c r="G24" s="30">
        <v>0</v>
      </c>
      <c r="H24" s="29">
        <f t="shared" si="1"/>
        <v>0</v>
      </c>
      <c r="I24" s="29">
        <f t="shared" si="2"/>
        <v>0.11095798591810273</v>
      </c>
      <c r="J24" s="30">
        <f t="shared" si="5"/>
        <v>23.953610000000019</v>
      </c>
      <c r="K24" s="30">
        <f t="shared" si="3"/>
        <v>1.9961341666666683</v>
      </c>
      <c r="L24" s="27">
        <v>77</v>
      </c>
      <c r="M24" s="31">
        <f t="shared" si="6"/>
        <v>0.15584415584415584</v>
      </c>
      <c r="N24" s="27">
        <v>96</v>
      </c>
      <c r="O24" s="32">
        <f t="shared" ref="O24:P24" si="32">D24/7</f>
        <v>1.7142857142857142</v>
      </c>
      <c r="P24" s="32">
        <f t="shared" si="32"/>
        <v>0</v>
      </c>
      <c r="Q24" s="27">
        <f t="shared" si="8"/>
        <v>56</v>
      </c>
      <c r="R24" s="27"/>
      <c r="S24" s="33">
        <v>0.249496981891348</v>
      </c>
      <c r="T24" s="26">
        <v>144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1.3347222222222222E-2</v>
      </c>
      <c r="AD24" s="37">
        <f t="shared" si="12"/>
        <v>-0.15376000000000001</v>
      </c>
      <c r="AE24" s="37">
        <v>-9.02</v>
      </c>
      <c r="AF24" s="37">
        <v>-4.2625525</v>
      </c>
      <c r="AG24" s="37">
        <v>0</v>
      </c>
    </row>
    <row r="25" spans="1:33" ht="15.75" customHeight="1" x14ac:dyDescent="0.2">
      <c r="A25" s="40" t="s">
        <v>73</v>
      </c>
      <c r="B25" s="26" t="s">
        <v>635</v>
      </c>
      <c r="C25" s="14">
        <f t="shared" si="4"/>
        <v>17.989999999999998</v>
      </c>
      <c r="D25" s="15">
        <v>8</v>
      </c>
      <c r="E25" s="15">
        <v>1</v>
      </c>
      <c r="F25" s="16">
        <v>143.91999999999999</v>
      </c>
      <c r="G25" s="16">
        <v>0</v>
      </c>
      <c r="H25" s="29">
        <f t="shared" si="1"/>
        <v>0</v>
      </c>
      <c r="I25" s="29">
        <f t="shared" si="2"/>
        <v>0.11109987029831378</v>
      </c>
      <c r="J25" s="30">
        <f t="shared" si="5"/>
        <v>15.989493333333318</v>
      </c>
      <c r="K25" s="30">
        <f t="shared" si="3"/>
        <v>1.9986866666666647</v>
      </c>
      <c r="L25" s="15">
        <v>77</v>
      </c>
      <c r="M25" s="31">
        <f t="shared" si="6"/>
        <v>0.1038961038961039</v>
      </c>
      <c r="N25" s="15">
        <v>90</v>
      </c>
      <c r="O25" s="32">
        <f t="shared" ref="O25:P25" si="33">D25/7</f>
        <v>1.1428571428571428</v>
      </c>
      <c r="P25" s="32">
        <f t="shared" si="33"/>
        <v>0.14285714285714285</v>
      </c>
      <c r="Q25" s="27">
        <f t="shared" si="8"/>
        <v>70</v>
      </c>
      <c r="R25" s="27"/>
      <c r="S25" s="41">
        <v>0.18615209988649259</v>
      </c>
      <c r="T25" s="26">
        <v>144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1.3347222222222222E-2</v>
      </c>
      <c r="AD25" s="37">
        <f t="shared" si="12"/>
        <v>-0.10250666666666666</v>
      </c>
      <c r="AE25" s="42">
        <v>-9.02</v>
      </c>
      <c r="AF25" s="42">
        <v>-4.26</v>
      </c>
      <c r="AG25" s="42">
        <v>0</v>
      </c>
    </row>
    <row r="26" spans="1:33" ht="15.75" customHeight="1" x14ac:dyDescent="0.2">
      <c r="A26" s="40" t="s">
        <v>75</v>
      </c>
      <c r="B26" s="26" t="s">
        <v>635</v>
      </c>
      <c r="C26" s="14">
        <f t="shared" si="4"/>
        <v>17.989999999999998</v>
      </c>
      <c r="D26" s="15">
        <v>11</v>
      </c>
      <c r="E26" s="15">
        <v>2</v>
      </c>
      <c r="F26" s="16">
        <v>197.89</v>
      </c>
      <c r="G26" s="16">
        <v>-1.22</v>
      </c>
      <c r="H26" s="29">
        <f t="shared" si="1"/>
        <v>6.1650411844964377E-3</v>
      </c>
      <c r="I26" s="29">
        <f t="shared" si="2"/>
        <v>8.2558369969848389E-2</v>
      </c>
      <c r="J26" s="30">
        <f t="shared" si="5"/>
        <v>16.337475833333297</v>
      </c>
      <c r="K26" s="30">
        <f t="shared" si="3"/>
        <v>1.4852250757575725</v>
      </c>
      <c r="L26" s="15">
        <v>101</v>
      </c>
      <c r="M26" s="31">
        <f t="shared" si="6"/>
        <v>0.10891089108910891</v>
      </c>
      <c r="N26" s="15">
        <v>80</v>
      </c>
      <c r="O26" s="32">
        <f t="shared" ref="O26:P26" si="34">D26/7</f>
        <v>1.5714285714285714</v>
      </c>
      <c r="P26" s="32">
        <f t="shared" si="34"/>
        <v>0.2857142857142857</v>
      </c>
      <c r="Q26" s="27">
        <f t="shared" si="8"/>
        <v>43</v>
      </c>
      <c r="R26" s="27"/>
      <c r="S26" s="41">
        <v>0.2347525891829689</v>
      </c>
      <c r="T26" s="26">
        <v>144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1.3347222222222222E-2</v>
      </c>
      <c r="AD26" s="37">
        <f t="shared" si="12"/>
        <v>-0.14094666666666666</v>
      </c>
      <c r="AE26" s="42">
        <v>-9.42</v>
      </c>
      <c r="AF26" s="42">
        <v>-4.2625525</v>
      </c>
      <c r="AG26" s="42">
        <v>0</v>
      </c>
    </row>
    <row r="27" spans="1:33" ht="15.75" customHeight="1" x14ac:dyDescent="0.2">
      <c r="A27" s="40" t="s">
        <v>77</v>
      </c>
      <c r="B27" s="26" t="s">
        <v>635</v>
      </c>
      <c r="C27" s="14">
        <f t="shared" si="4"/>
        <v>17.990000000000002</v>
      </c>
      <c r="D27" s="15">
        <v>13</v>
      </c>
      <c r="E27" s="15">
        <v>0</v>
      </c>
      <c r="F27" s="16">
        <v>233.87</v>
      </c>
      <c r="G27" s="16">
        <v>-0.58000000000000007</v>
      </c>
      <c r="H27" s="29">
        <f t="shared" si="1"/>
        <v>2.4800102621114297E-3</v>
      </c>
      <c r="I27" s="29">
        <f t="shared" si="2"/>
        <v>8.6243400892233549E-2</v>
      </c>
      <c r="J27" s="30">
        <f t="shared" si="5"/>
        <v>20.169744166666661</v>
      </c>
      <c r="K27" s="30">
        <f t="shared" si="3"/>
        <v>1.5515187820512817</v>
      </c>
      <c r="L27" s="15">
        <v>120</v>
      </c>
      <c r="M27" s="31">
        <f t="shared" si="6"/>
        <v>0.10833333333333334</v>
      </c>
      <c r="N27" s="15">
        <v>72</v>
      </c>
      <c r="O27" s="32">
        <f t="shared" ref="O27:P27" si="35">D27/7</f>
        <v>1.8571428571428572</v>
      </c>
      <c r="P27" s="32">
        <f t="shared" si="35"/>
        <v>0</v>
      </c>
      <c r="Q27" s="27">
        <f t="shared" si="8"/>
        <v>38</v>
      </c>
      <c r="R27" s="27"/>
      <c r="S27" s="41">
        <v>0.29681978798586572</v>
      </c>
      <c r="T27" s="26">
        <v>144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1.3347222222222222E-2</v>
      </c>
      <c r="AD27" s="37">
        <f t="shared" si="12"/>
        <v>-0.16657333333333332</v>
      </c>
      <c r="AE27" s="42">
        <v>-9.42</v>
      </c>
      <c r="AF27" s="42">
        <v>-4.2625525</v>
      </c>
      <c r="AG27" s="42">
        <v>0</v>
      </c>
    </row>
    <row r="28" spans="1:33" ht="15.75" customHeight="1" x14ac:dyDescent="0.2">
      <c r="A28" s="40" t="s">
        <v>79</v>
      </c>
      <c r="B28" s="26" t="s">
        <v>635</v>
      </c>
      <c r="C28" s="14">
        <f t="shared" si="4"/>
        <v>17.989999999999998</v>
      </c>
      <c r="D28" s="15">
        <v>18</v>
      </c>
      <c r="E28" s="15">
        <v>0</v>
      </c>
      <c r="F28" s="16">
        <v>323.82</v>
      </c>
      <c r="G28" s="16">
        <v>-2.1</v>
      </c>
      <c r="H28" s="29">
        <f t="shared" si="1"/>
        <v>6.4850843060959796E-3</v>
      </c>
      <c r="I28" s="29">
        <f t="shared" si="2"/>
        <v>8.2238326848248999E-2</v>
      </c>
      <c r="J28" s="30">
        <f t="shared" si="5"/>
        <v>26.630414999999992</v>
      </c>
      <c r="K28" s="30">
        <f t="shared" si="3"/>
        <v>1.4794674999999995</v>
      </c>
      <c r="L28" s="15">
        <v>128</v>
      </c>
      <c r="M28" s="31">
        <f t="shared" si="6"/>
        <v>0.140625</v>
      </c>
      <c r="N28" s="15">
        <v>53</v>
      </c>
      <c r="O28" s="32">
        <f t="shared" ref="O28:P28" si="36">D28/7</f>
        <v>2.5714285714285716</v>
      </c>
      <c r="P28" s="32">
        <f t="shared" si="36"/>
        <v>0</v>
      </c>
      <c r="Q28" s="27">
        <f t="shared" si="8"/>
        <v>20</v>
      </c>
      <c r="R28" s="27"/>
      <c r="S28" s="41">
        <v>0.56317689530685922</v>
      </c>
      <c r="T28" s="40" t="s">
        <v>34</v>
      </c>
      <c r="U28" s="22" t="s">
        <v>34</v>
      </c>
      <c r="V28" s="1" t="s">
        <v>693</v>
      </c>
      <c r="W28" s="40">
        <v>0</v>
      </c>
      <c r="X28" s="36">
        <f t="shared" si="9"/>
        <v>0</v>
      </c>
      <c r="Y28" s="37">
        <f t="shared" si="10"/>
        <v>1.05</v>
      </c>
      <c r="Z28" s="40">
        <v>2</v>
      </c>
      <c r="AA28" s="26" t="s">
        <v>250</v>
      </c>
      <c r="AB28" s="38">
        <f t="shared" si="11"/>
        <v>-0.48</v>
      </c>
      <c r="AC28" s="39">
        <v>1.3347222222222222E-2</v>
      </c>
      <c r="AD28" s="37">
        <f t="shared" si="12"/>
        <v>-0.23063999999999998</v>
      </c>
      <c r="AE28" s="42">
        <v>-9.42</v>
      </c>
      <c r="AF28" s="42">
        <v>-4.2625525</v>
      </c>
      <c r="AG28" s="42">
        <v>0</v>
      </c>
    </row>
    <row r="29" spans="1:33" ht="15.75" customHeight="1" x14ac:dyDescent="0.2">
      <c r="A29" s="26" t="s">
        <v>82</v>
      </c>
      <c r="B29" s="26" t="s">
        <v>674</v>
      </c>
      <c r="C29" s="14">
        <f t="shared" si="4"/>
        <v>18.012499999999999</v>
      </c>
      <c r="D29" s="27">
        <v>16</v>
      </c>
      <c r="E29" s="27">
        <v>0</v>
      </c>
      <c r="F29" s="30">
        <v>288.2</v>
      </c>
      <c r="G29" s="30">
        <v>-5.6999999999999984</v>
      </c>
      <c r="H29" s="29">
        <f t="shared" si="1"/>
        <v>1.9777931991672444E-2</v>
      </c>
      <c r="I29" s="29">
        <f t="shared" si="2"/>
        <v>6.9896414526948822E-2</v>
      </c>
      <c r="J29" s="30">
        <f t="shared" si="5"/>
        <v>20.14414666666665</v>
      </c>
      <c r="K29" s="30">
        <f t="shared" si="3"/>
        <v>1.2590091666666656</v>
      </c>
      <c r="L29" s="27">
        <v>161</v>
      </c>
      <c r="M29" s="31">
        <f t="shared" si="6"/>
        <v>9.9378881987577633E-2</v>
      </c>
      <c r="N29" s="15">
        <v>37</v>
      </c>
      <c r="O29" s="32">
        <f t="shared" ref="O29:P29" si="37">D29/7</f>
        <v>2.2857142857142856</v>
      </c>
      <c r="P29" s="32">
        <f t="shared" si="37"/>
        <v>0</v>
      </c>
      <c r="Q29" s="27">
        <f t="shared" si="8"/>
        <v>16</v>
      </c>
      <c r="R29" s="27"/>
      <c r="S29" s="41">
        <v>0.74329501915708818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2.8499999999999992</v>
      </c>
      <c r="Z29" s="40">
        <v>2</v>
      </c>
      <c r="AA29" s="26" t="s">
        <v>250</v>
      </c>
      <c r="AB29" s="38">
        <f t="shared" si="11"/>
        <v>-0.48</v>
      </c>
      <c r="AC29" s="39">
        <v>1.3347222222222222E-2</v>
      </c>
      <c r="AD29" s="37">
        <f t="shared" si="12"/>
        <v>-0.20501333333333333</v>
      </c>
      <c r="AE29" s="37">
        <v>-9.42</v>
      </c>
      <c r="AF29" s="42">
        <v>-4.2625525</v>
      </c>
      <c r="AG29" s="37">
        <v>0</v>
      </c>
    </row>
    <row r="30" spans="1:33" ht="15.75" customHeight="1" x14ac:dyDescent="0.2">
      <c r="A30" s="40" t="s">
        <v>84</v>
      </c>
      <c r="B30" s="40" t="s">
        <v>694</v>
      </c>
      <c r="C30" s="14">
        <f t="shared" si="4"/>
        <v>14.791999999999998</v>
      </c>
      <c r="D30" s="15">
        <v>10</v>
      </c>
      <c r="E30" s="15">
        <v>0</v>
      </c>
      <c r="F30" s="16">
        <v>147.91999999999999</v>
      </c>
      <c r="G30" s="16">
        <v>-15.03</v>
      </c>
      <c r="H30" s="29">
        <f t="shared" si="1"/>
        <v>0.10160897782585182</v>
      </c>
      <c r="I30" s="29">
        <f t="shared" si="2"/>
        <v>-0.19786528965544456</v>
      </c>
      <c r="J30" s="30">
        <f t="shared" si="5"/>
        <v>-29.268233645833359</v>
      </c>
      <c r="K30" s="30">
        <f t="shared" si="3"/>
        <v>-2.9268233645833357</v>
      </c>
      <c r="L30" s="15">
        <v>106</v>
      </c>
      <c r="M30" s="31">
        <f t="shared" si="6"/>
        <v>9.4339622641509441E-2</v>
      </c>
      <c r="N30" s="15">
        <v>23</v>
      </c>
      <c r="O30" s="32">
        <f t="shared" ref="O30:P30" si="38">D30/7</f>
        <v>1.4285714285714286</v>
      </c>
      <c r="P30" s="32">
        <f t="shared" si="38"/>
        <v>0</v>
      </c>
      <c r="Q30" s="27">
        <f t="shared" si="8"/>
        <v>16</v>
      </c>
      <c r="R30" s="27"/>
      <c r="S30" s="41">
        <v>0.47734806629834248</v>
      </c>
      <c r="T30" s="26">
        <v>234</v>
      </c>
      <c r="U30" s="34" t="s">
        <v>34</v>
      </c>
      <c r="V30" s="35" t="s">
        <v>34</v>
      </c>
      <c r="W30" s="40">
        <v>1</v>
      </c>
      <c r="X30" s="36">
        <f t="shared" si="9"/>
        <v>0.1</v>
      </c>
      <c r="Y30" s="37">
        <f t="shared" si="10"/>
        <v>7.5149999999999997</v>
      </c>
      <c r="Z30" s="40">
        <v>1</v>
      </c>
      <c r="AA30" s="26" t="s">
        <v>250</v>
      </c>
      <c r="AB30" s="38">
        <f t="shared" si="11"/>
        <v>-0.48</v>
      </c>
      <c r="AC30" s="39">
        <v>1.3347222222222222E-2</v>
      </c>
      <c r="AD30" s="37">
        <f t="shared" si="12"/>
        <v>-0.12813333333333332</v>
      </c>
      <c r="AE30" s="42">
        <v>-9.42</v>
      </c>
      <c r="AF30" s="42">
        <v>-4.56421003125</v>
      </c>
      <c r="AG30" s="42">
        <v>0</v>
      </c>
    </row>
    <row r="31" spans="1:33" ht="15.75" customHeight="1" x14ac:dyDescent="0.2">
      <c r="A31" s="40" t="s">
        <v>87</v>
      </c>
      <c r="B31" s="40" t="s">
        <v>511</v>
      </c>
      <c r="C31" s="14">
        <f t="shared" si="4"/>
        <v>19.59</v>
      </c>
      <c r="D31" s="15">
        <v>10</v>
      </c>
      <c r="E31" s="15">
        <v>0</v>
      </c>
      <c r="F31" s="16">
        <v>195.9</v>
      </c>
      <c r="G31" s="43">
        <v>-8.4499999999999993</v>
      </c>
      <c r="H31" s="29">
        <f t="shared" si="1"/>
        <v>4.3134252169474217E-2</v>
      </c>
      <c r="I31" s="29">
        <f t="shared" si="2"/>
        <v>9.2367362706312753E-2</v>
      </c>
      <c r="J31" s="30">
        <f t="shared" si="5"/>
        <v>18.094766354166669</v>
      </c>
      <c r="K31" s="30">
        <f t="shared" si="3"/>
        <v>1.8094766354166669</v>
      </c>
      <c r="L31" s="15">
        <v>136</v>
      </c>
      <c r="M31" s="31">
        <f t="shared" si="6"/>
        <v>7.3529411764705885E-2</v>
      </c>
      <c r="N31" s="15">
        <v>13</v>
      </c>
      <c r="O31" s="32">
        <f t="shared" ref="O31:P31" si="39">D31/7</f>
        <v>1.4285714285714286</v>
      </c>
      <c r="P31" s="32">
        <f t="shared" si="39"/>
        <v>0</v>
      </c>
      <c r="Q31" s="27">
        <f t="shared" si="8"/>
        <v>9</v>
      </c>
      <c r="R31" s="27"/>
      <c r="S31" s="41">
        <v>0.534246575342465</v>
      </c>
      <c r="T31" s="40">
        <v>234</v>
      </c>
      <c r="U31" s="22" t="s">
        <v>34</v>
      </c>
      <c r="V31" s="1" t="s">
        <v>643</v>
      </c>
      <c r="W31" s="40">
        <v>0</v>
      </c>
      <c r="X31" s="36">
        <f t="shared" si="9"/>
        <v>0</v>
      </c>
      <c r="Y31" s="37">
        <f t="shared" si="10"/>
        <v>4.2249999999999996</v>
      </c>
      <c r="Z31" s="40">
        <v>2</v>
      </c>
      <c r="AA31" s="40" t="s">
        <v>250</v>
      </c>
      <c r="AB31" s="38">
        <f t="shared" si="11"/>
        <v>-0.48</v>
      </c>
      <c r="AC31" s="44">
        <v>1.3347222222222222E-2</v>
      </c>
      <c r="AD31" s="37">
        <f t="shared" si="12"/>
        <v>-0.12813333333333332</v>
      </c>
      <c r="AE31" s="45">
        <v>-9.42</v>
      </c>
      <c r="AF31" s="45">
        <v>-4.56421003125</v>
      </c>
      <c r="AG31" s="42">
        <v>0</v>
      </c>
    </row>
    <row r="32" spans="1:33" ht="15.75" customHeight="1" x14ac:dyDescent="0.2">
      <c r="A32" s="40" t="s">
        <v>90</v>
      </c>
      <c r="B32" s="50" t="s">
        <v>695</v>
      </c>
      <c r="C32" s="14">
        <f t="shared" si="4"/>
        <v>21.49</v>
      </c>
      <c r="D32" s="15">
        <v>8</v>
      </c>
      <c r="E32" s="15">
        <v>0</v>
      </c>
      <c r="F32" s="16">
        <v>171.92</v>
      </c>
      <c r="G32" s="16">
        <v>-5.339999999999999</v>
      </c>
      <c r="H32" s="29">
        <f t="shared" si="1"/>
        <v>3.106095858538855E-2</v>
      </c>
      <c r="I32" s="29">
        <f t="shared" si="2"/>
        <v>0.16761175595238084</v>
      </c>
      <c r="J32" s="30">
        <f t="shared" si="5"/>
        <v>28.815813083333314</v>
      </c>
      <c r="K32" s="30">
        <f t="shared" si="3"/>
        <v>3.6019766354166642</v>
      </c>
      <c r="L32" s="15">
        <v>138</v>
      </c>
      <c r="M32" s="31">
        <f t="shared" si="6"/>
        <v>5.7971014492753624E-2</v>
      </c>
      <c r="N32" s="15">
        <v>5</v>
      </c>
      <c r="O32" s="32">
        <f t="shared" ref="O32:P32" si="40">D32/7</f>
        <v>1.1428571428571428</v>
      </c>
      <c r="P32" s="32">
        <f t="shared" si="40"/>
        <v>0</v>
      </c>
      <c r="Q32" s="27">
        <f t="shared" si="8"/>
        <v>4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0.62168674698795179</v>
      </c>
      <c r="T32" s="40">
        <f ca="1">IFERROR(__xludf.DUMMYFUNCTION("IFERROR(VLOOKUP($B$2,IMPORTRANGE(""https://docs.google.com/spreadsheets/d/1KiWZV1ko8G7lnRucBRBd29jj3Be6ltMfljMDqzOkQmI/edit#gid=1381463014"",""Lookup!A:D""),4,FALSE),"""")"),234)</f>
        <v>234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234 At Factory 50-75 days from Earliest Arrival")</f>
        <v>No Transit, But 234 At Factory 50-75 days from Earliest Arrival</v>
      </c>
      <c r="W32" s="40">
        <v>0</v>
      </c>
      <c r="X32" s="36">
        <f t="shared" si="9"/>
        <v>0</v>
      </c>
      <c r="Y32" s="37">
        <f t="shared" si="10"/>
        <v>2.6699999999999995</v>
      </c>
      <c r="Z32" s="40">
        <v>2</v>
      </c>
      <c r="AA32" s="40" t="s">
        <v>250</v>
      </c>
      <c r="AB32" s="38">
        <f t="shared" si="11"/>
        <v>-0.48</v>
      </c>
      <c r="AC32" s="44">
        <v>1.3347222222222222E-2</v>
      </c>
      <c r="AD32" s="37">
        <f t="shared" si="12"/>
        <v>-0.10250666666666666</v>
      </c>
      <c r="AE32" s="42">
        <v>-9.42</v>
      </c>
      <c r="AF32" s="42">
        <v>-4.56421003125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1:33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1:33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164062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6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Pink &amp; Gray, Textured - 47 x 23 Inch Plastic Computer Pad for Desk")</f>
        <v>Office Desk Mat, Pink &amp; Gray, Textured - 47 x 23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Info!B1:BJ5000""),2,FALSE),"""")"),"B07TBP3WNH")</f>
        <v>B07TBP3WNH</v>
      </c>
      <c r="B2" s="3" t="s">
        <v>696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16.004952977941176</v>
      </c>
      <c r="D3" s="5">
        <f>SUM(D4:D99767)</f>
        <v>180</v>
      </c>
      <c r="E3" s="5"/>
      <c r="F3" s="6">
        <f t="shared" ref="F3:G3" si="0">SUM(F4:F99767)</f>
        <v>3885.1899999999982</v>
      </c>
      <c r="G3" s="6">
        <f t="shared" si="0"/>
        <v>-10.600000000000001</v>
      </c>
      <c r="H3" s="7">
        <f t="shared" ref="H3:H32" si="1">G3/F3*-1</f>
        <v>2.72830929761479E-3</v>
      </c>
      <c r="I3" s="8">
        <f t="shared" ref="I3:I32" si="2">J3/F3</f>
        <v>0.24795032081589607</v>
      </c>
      <c r="J3" s="6">
        <f>SUM(J4:J99767)</f>
        <v>963.33410693071085</v>
      </c>
      <c r="K3" s="6">
        <f t="shared" ref="K3:K32" si="3">J3/D3</f>
        <v>5.3518561496150605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-8.6683945220136511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Info!B2:BZ3000""),37,FALSE)),"""")*-1"),-4.56421003125)</f>
        <v>-4.56421003125</v>
      </c>
      <c r="AG3" s="6">
        <f>SUM(AG4:AG99767)</f>
        <v>0</v>
      </c>
    </row>
    <row r="4" spans="1:33" x14ac:dyDescent="0.2">
      <c r="A4" s="1" t="s">
        <v>32</v>
      </c>
      <c r="B4" s="2" t="s">
        <v>509</v>
      </c>
      <c r="C4" s="14">
        <f t="shared" ref="C4:C32" si="4">IFERROR(F4/D4," - ")</f>
        <v>19.591481481481487</v>
      </c>
      <c r="D4" s="15">
        <v>27</v>
      </c>
      <c r="E4" s="15">
        <v>0</v>
      </c>
      <c r="F4" s="16">
        <v>528.97000000000014</v>
      </c>
      <c r="G4" s="16">
        <v>0</v>
      </c>
      <c r="H4" s="17">
        <f t="shared" si="1"/>
        <v>0</v>
      </c>
      <c r="I4" s="17">
        <f t="shared" si="2"/>
        <v>0.19797673132837265</v>
      </c>
      <c r="J4" s="16">
        <f t="shared" ref="J4:J32" si="5">F4*0.85+G4+AF4*D4+D4*AE4+AG4+AD4</f>
        <v>104.72375157076931</v>
      </c>
      <c r="K4" s="16">
        <f t="shared" si="3"/>
        <v>3.8786574655840487</v>
      </c>
      <c r="L4" s="15">
        <v>114</v>
      </c>
      <c r="M4" s="18">
        <f t="shared" ref="M4:M32" si="6">IFERROR(D4/L4,"-")</f>
        <v>0.23684210526315788</v>
      </c>
      <c r="N4" s="15">
        <v>139</v>
      </c>
      <c r="O4" s="19">
        <f t="shared" ref="O4:P4" si="7">D4/7</f>
        <v>3.8571428571428572</v>
      </c>
      <c r="P4" s="19">
        <f t="shared" si="7"/>
        <v>0</v>
      </c>
      <c r="Q4" s="15">
        <f t="shared" ref="Q4:Q32" si="8">ROUNDDOWN(N4/(O4+P4),0)</f>
        <v>36</v>
      </c>
      <c r="R4" s="15"/>
      <c r="S4" s="20">
        <v>0.53416149068322905</v>
      </c>
      <c r="T4" s="2">
        <v>968</v>
      </c>
      <c r="U4" s="2" t="s">
        <v>34</v>
      </c>
      <c r="V4" s="21" t="s">
        <v>697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5.0158185185185195E-2</v>
      </c>
      <c r="AD4" s="24">
        <f t="shared" ref="AD4:AD32" si="12">IFERROR(AB4*AC4*D4*2,0)</f>
        <v>-1.3001001600000002</v>
      </c>
      <c r="AE4" s="24">
        <v>-8.64</v>
      </c>
      <c r="AF4" s="24">
        <v>-4.0859499358974354</v>
      </c>
      <c r="AG4" s="24">
        <v>0</v>
      </c>
    </row>
    <row r="5" spans="1:33" ht="15.75" customHeight="1" x14ac:dyDescent="0.2">
      <c r="A5" s="26" t="s">
        <v>35</v>
      </c>
      <c r="B5" s="26" t="s">
        <v>53</v>
      </c>
      <c r="C5" s="14">
        <f t="shared" si="4"/>
        <v>21.543684210526315</v>
      </c>
      <c r="D5" s="27">
        <v>19</v>
      </c>
      <c r="E5" s="27">
        <v>0</v>
      </c>
      <c r="F5" s="28">
        <v>409.33</v>
      </c>
      <c r="G5" s="28">
        <v>0</v>
      </c>
      <c r="H5" s="29">
        <f t="shared" si="1"/>
        <v>0</v>
      </c>
      <c r="I5" s="29">
        <f t="shared" si="2"/>
        <v>0.25705788922912387</v>
      </c>
      <c r="J5" s="30">
        <f t="shared" si="5"/>
        <v>105.22150579815727</v>
      </c>
      <c r="K5" s="30">
        <f t="shared" si="3"/>
        <v>5.5379739893766979</v>
      </c>
      <c r="L5" s="27">
        <v>191</v>
      </c>
      <c r="M5" s="31">
        <f t="shared" si="6"/>
        <v>9.947643979057591E-2</v>
      </c>
      <c r="N5" s="27">
        <v>115</v>
      </c>
      <c r="O5" s="32">
        <f t="shared" ref="O5:P5" si="13">D5/7</f>
        <v>2.7142857142857144</v>
      </c>
      <c r="P5" s="32">
        <f t="shared" si="13"/>
        <v>0</v>
      </c>
      <c r="Q5" s="27">
        <f t="shared" si="8"/>
        <v>42</v>
      </c>
      <c r="R5" s="27"/>
      <c r="S5" s="33">
        <v>1.0827067669172901</v>
      </c>
      <c r="T5" s="26">
        <v>968</v>
      </c>
      <c r="U5" s="34" t="s">
        <v>34</v>
      </c>
      <c r="V5" s="35" t="s">
        <v>697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5.021630590961762E-2</v>
      </c>
      <c r="AD5" s="37">
        <f t="shared" si="12"/>
        <v>-0.91594541979142541</v>
      </c>
      <c r="AE5" s="37">
        <v>-8.64</v>
      </c>
      <c r="AF5" s="37">
        <v>-4.0859499358974354</v>
      </c>
      <c r="AG5" s="37">
        <v>0</v>
      </c>
    </row>
    <row r="6" spans="1:33" ht="15.75" customHeight="1" x14ac:dyDescent="0.2">
      <c r="A6" s="26" t="s">
        <v>38</v>
      </c>
      <c r="B6" s="26" t="s">
        <v>698</v>
      </c>
      <c r="C6" s="14">
        <f t="shared" si="4"/>
        <v>20.906818181818178</v>
      </c>
      <c r="D6" s="27">
        <v>22</v>
      </c>
      <c r="E6" s="27">
        <v>1</v>
      </c>
      <c r="F6" s="28">
        <v>459.94999999999993</v>
      </c>
      <c r="G6" s="28">
        <v>0</v>
      </c>
      <c r="H6" s="29">
        <f t="shared" si="1"/>
        <v>0</v>
      </c>
      <c r="I6" s="29">
        <f t="shared" si="2"/>
        <v>0.23899828359418465</v>
      </c>
      <c r="J6" s="30">
        <f t="shared" si="5"/>
        <v>109.92726053914521</v>
      </c>
      <c r="K6" s="30">
        <f t="shared" si="3"/>
        <v>4.9966936608702364</v>
      </c>
      <c r="L6" s="27">
        <v>156</v>
      </c>
      <c r="M6" s="31">
        <f t="shared" si="6"/>
        <v>0.14102564102564102</v>
      </c>
      <c r="N6" s="27">
        <v>93</v>
      </c>
      <c r="O6" s="32">
        <f t="shared" ref="O6:P6" si="14">D6/7</f>
        <v>3.1428571428571428</v>
      </c>
      <c r="P6" s="32">
        <f t="shared" si="14"/>
        <v>0.14285714285714285</v>
      </c>
      <c r="Q6" s="27">
        <f t="shared" si="8"/>
        <v>28</v>
      </c>
      <c r="R6" s="27"/>
      <c r="S6" s="33">
        <v>1.4362934362934301</v>
      </c>
      <c r="T6" s="26">
        <v>968</v>
      </c>
      <c r="U6" s="34">
        <v>80</v>
      </c>
      <c r="V6" s="35" t="s">
        <v>699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5.0158185185185195E-2</v>
      </c>
      <c r="AD6" s="37">
        <f t="shared" si="12"/>
        <v>-1.0593408711111112</v>
      </c>
      <c r="AE6" s="37">
        <v>-8.64</v>
      </c>
      <c r="AF6" s="37">
        <v>-4.0859499358974354</v>
      </c>
      <c r="AG6" s="37">
        <v>0</v>
      </c>
    </row>
    <row r="7" spans="1:33" ht="15.75" customHeight="1" x14ac:dyDescent="0.2">
      <c r="A7" s="26" t="s">
        <v>41</v>
      </c>
      <c r="B7" s="26" t="s">
        <v>645</v>
      </c>
      <c r="C7" s="14">
        <f t="shared" si="4"/>
        <v>21.98705882352942</v>
      </c>
      <c r="D7" s="27">
        <v>17</v>
      </c>
      <c r="E7" s="27">
        <v>0</v>
      </c>
      <c r="F7" s="28">
        <v>373.78000000000014</v>
      </c>
      <c r="G7" s="28">
        <v>0</v>
      </c>
      <c r="H7" s="29">
        <f t="shared" si="1"/>
        <v>0</v>
      </c>
      <c r="I7" s="29">
        <f t="shared" si="2"/>
        <v>0.2690172548224129</v>
      </c>
      <c r="J7" s="30">
        <f t="shared" si="5"/>
        <v>100.55326950752153</v>
      </c>
      <c r="K7" s="30">
        <f t="shared" si="3"/>
        <v>5.9148982063247963</v>
      </c>
      <c r="L7" s="27">
        <v>124</v>
      </c>
      <c r="M7" s="31">
        <f t="shared" si="6"/>
        <v>0.13709677419354838</v>
      </c>
      <c r="N7" s="27">
        <v>72</v>
      </c>
      <c r="O7" s="32">
        <f t="shared" ref="O7:P7" si="15">D7/7</f>
        <v>2.4285714285714284</v>
      </c>
      <c r="P7" s="32">
        <f t="shared" si="15"/>
        <v>0</v>
      </c>
      <c r="Q7" s="27">
        <f t="shared" si="8"/>
        <v>29</v>
      </c>
      <c r="R7" s="27"/>
      <c r="S7" s="33">
        <v>1.04109589041095</v>
      </c>
      <c r="T7" s="26">
        <v>968</v>
      </c>
      <c r="U7" s="34">
        <v>80</v>
      </c>
      <c r="V7" s="35" t="s">
        <v>699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5.0158185185185195E-2</v>
      </c>
      <c r="AD7" s="37">
        <f t="shared" si="12"/>
        <v>-0.81858158222222233</v>
      </c>
      <c r="AE7" s="37">
        <v>-8.64</v>
      </c>
      <c r="AF7" s="37">
        <v>-4.0859499358974354</v>
      </c>
      <c r="AG7" s="37">
        <v>0</v>
      </c>
    </row>
    <row r="8" spans="1:33" ht="15.75" customHeight="1" x14ac:dyDescent="0.2">
      <c r="A8" s="26" t="s">
        <v>43</v>
      </c>
      <c r="B8" s="26" t="s">
        <v>53</v>
      </c>
      <c r="C8" s="14">
        <f t="shared" si="4"/>
        <v>24.166999999999998</v>
      </c>
      <c r="D8" s="27">
        <v>10</v>
      </c>
      <c r="E8" s="27">
        <v>0</v>
      </c>
      <c r="F8" s="28">
        <v>241.67</v>
      </c>
      <c r="G8" s="28">
        <v>0</v>
      </c>
      <c r="H8" s="29">
        <f t="shared" si="1"/>
        <v>0</v>
      </c>
      <c r="I8" s="29">
        <f t="shared" si="2"/>
        <v>0.32125618166186198</v>
      </c>
      <c r="J8" s="30">
        <f t="shared" si="5"/>
        <v>77.637981422222182</v>
      </c>
      <c r="K8" s="30">
        <f t="shared" si="3"/>
        <v>7.7637981422222184</v>
      </c>
      <c r="L8" s="27">
        <v>84</v>
      </c>
      <c r="M8" s="31">
        <f t="shared" si="6"/>
        <v>0.11904761904761904</v>
      </c>
      <c r="N8" s="27">
        <v>62</v>
      </c>
      <c r="O8" s="32">
        <f t="shared" ref="O8:P8" si="16">D8/7</f>
        <v>1.4285714285714286</v>
      </c>
      <c r="P8" s="32">
        <f t="shared" si="16"/>
        <v>0</v>
      </c>
      <c r="Q8" s="27">
        <f t="shared" si="8"/>
        <v>43</v>
      </c>
      <c r="R8" s="27"/>
      <c r="S8" s="33">
        <v>1.32647814910025</v>
      </c>
      <c r="T8" s="26">
        <v>888</v>
      </c>
      <c r="U8" s="34">
        <v>80</v>
      </c>
      <c r="V8" s="35" t="s">
        <v>699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5.0158185185185195E-2</v>
      </c>
      <c r="AD8" s="37">
        <f t="shared" si="12"/>
        <v>-0.48151857777777785</v>
      </c>
      <c r="AE8" s="37">
        <v>-8.64</v>
      </c>
      <c r="AF8" s="37">
        <v>-4.09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23.99285714285714</v>
      </c>
      <c r="D9" s="27">
        <v>7</v>
      </c>
      <c r="E9" s="27">
        <v>0</v>
      </c>
      <c r="F9" s="28">
        <v>167.95</v>
      </c>
      <c r="G9" s="28">
        <v>0</v>
      </c>
      <c r="H9" s="29">
        <f t="shared" si="1"/>
        <v>0</v>
      </c>
      <c r="I9" s="29">
        <f t="shared" si="2"/>
        <v>0.31276482016574952</v>
      </c>
      <c r="J9" s="30">
        <f t="shared" si="5"/>
        <v>52.528851546837629</v>
      </c>
      <c r="K9" s="30">
        <f t="shared" si="3"/>
        <v>7.5041216495482326</v>
      </c>
      <c r="L9" s="27">
        <v>99</v>
      </c>
      <c r="M9" s="31">
        <f t="shared" si="6"/>
        <v>7.0707070707070704E-2</v>
      </c>
      <c r="N9" s="27">
        <v>55</v>
      </c>
      <c r="O9" s="32">
        <f t="shared" ref="O9:P9" si="17">D9/7</f>
        <v>1</v>
      </c>
      <c r="P9" s="32">
        <f t="shared" si="17"/>
        <v>0</v>
      </c>
      <c r="Q9" s="27">
        <f t="shared" si="8"/>
        <v>55</v>
      </c>
      <c r="R9" s="27"/>
      <c r="S9" s="33">
        <v>1.64350453172205</v>
      </c>
      <c r="T9" s="26">
        <v>888</v>
      </c>
      <c r="U9" s="34">
        <v>80</v>
      </c>
      <c r="V9" s="35" t="s">
        <v>700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5.0158185185185195E-2</v>
      </c>
      <c r="AD9" s="37">
        <f t="shared" si="12"/>
        <v>-0.33706300444444448</v>
      </c>
      <c r="AE9" s="37">
        <v>-8.64</v>
      </c>
      <c r="AF9" s="37">
        <v>-4.2016550641025603</v>
      </c>
      <c r="AG9" s="37">
        <v>0</v>
      </c>
    </row>
    <row r="10" spans="1:33" ht="15.75" customHeight="1" x14ac:dyDescent="0.2">
      <c r="A10" s="26" t="s">
        <v>48</v>
      </c>
      <c r="B10" s="26" t="s">
        <v>701</v>
      </c>
      <c r="C10" s="14">
        <f t="shared" si="4"/>
        <v>19.219000000000001</v>
      </c>
      <c r="D10" s="27">
        <v>10</v>
      </c>
      <c r="E10" s="27">
        <v>0</v>
      </c>
      <c r="F10" s="28">
        <v>192.19</v>
      </c>
      <c r="G10" s="28">
        <v>0</v>
      </c>
      <c r="H10" s="29">
        <f t="shared" si="1"/>
        <v>0</v>
      </c>
      <c r="I10" s="29">
        <f t="shared" si="2"/>
        <v>0.17931958364741465</v>
      </c>
      <c r="J10" s="30">
        <f t="shared" si="5"/>
        <v>34.463430781196621</v>
      </c>
      <c r="K10" s="30">
        <f t="shared" si="3"/>
        <v>3.446343078119662</v>
      </c>
      <c r="L10" s="27">
        <v>84</v>
      </c>
      <c r="M10" s="31">
        <f t="shared" si="6"/>
        <v>0.11904761904761904</v>
      </c>
      <c r="N10" s="27">
        <v>46</v>
      </c>
      <c r="O10" s="32">
        <f t="shared" ref="O10:P10" si="18">D10/7</f>
        <v>1.4285714285714286</v>
      </c>
      <c r="P10" s="32">
        <f t="shared" si="18"/>
        <v>0</v>
      </c>
      <c r="Q10" s="27">
        <f t="shared" si="8"/>
        <v>32</v>
      </c>
      <c r="R10" s="27"/>
      <c r="S10" s="33">
        <v>1.80441640378548</v>
      </c>
      <c r="T10" s="26">
        <v>888</v>
      </c>
      <c r="U10" s="34">
        <v>80</v>
      </c>
      <c r="V10" s="35" t="s">
        <v>702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5.0158185185185195E-2</v>
      </c>
      <c r="AD10" s="37">
        <f t="shared" si="12"/>
        <v>-0.48151857777777785</v>
      </c>
      <c r="AE10" s="37">
        <v>-8.64</v>
      </c>
      <c r="AF10" s="37">
        <v>-4.2016550641025603</v>
      </c>
      <c r="AG10" s="37">
        <v>0</v>
      </c>
    </row>
    <row r="11" spans="1:33" ht="15.75" customHeight="1" x14ac:dyDescent="0.2">
      <c r="A11" s="26" t="s">
        <v>50</v>
      </c>
      <c r="B11" s="26" t="s">
        <v>701</v>
      </c>
      <c r="C11" s="14" t="str">
        <f t="shared" si="4"/>
        <v xml:space="preserve"> - </v>
      </c>
      <c r="D11" s="27">
        <v>0</v>
      </c>
      <c r="E11" s="27">
        <v>30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38</v>
      </c>
      <c r="O11" s="32">
        <f t="shared" ref="O11:P11" si="19">D11/7</f>
        <v>0</v>
      </c>
      <c r="P11" s="32">
        <f t="shared" si="19"/>
        <v>4.2857142857142856</v>
      </c>
      <c r="Q11" s="27">
        <f t="shared" si="8"/>
        <v>8</v>
      </c>
      <c r="R11" s="27"/>
      <c r="S11" s="33">
        <v>1.21161825726141</v>
      </c>
      <c r="T11" s="26">
        <v>888</v>
      </c>
      <c r="U11" s="34">
        <v>80</v>
      </c>
      <c r="V11" s="35" t="s">
        <v>702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-4.2016550641025603</v>
      </c>
      <c r="AG11" s="37">
        <v>0</v>
      </c>
    </row>
    <row r="12" spans="1:33" ht="15.75" customHeight="1" x14ac:dyDescent="0.2">
      <c r="A12" s="26" t="s">
        <v>52</v>
      </c>
      <c r="B12" s="26" t="s">
        <v>701</v>
      </c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14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>
        <v>1.3027522935779801</v>
      </c>
      <c r="T12" s="26">
        <v>888</v>
      </c>
      <c r="U12" s="34">
        <v>80</v>
      </c>
      <c r="V12" s="35" t="s">
        <v>702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-4.2016550641025603</v>
      </c>
      <c r="AG12" s="37">
        <v>0</v>
      </c>
    </row>
    <row r="13" spans="1:33" ht="15.75" customHeight="1" x14ac:dyDescent="0.2">
      <c r="A13" s="26" t="s">
        <v>54</v>
      </c>
      <c r="B13" s="26" t="s">
        <v>701</v>
      </c>
      <c r="C13" s="14">
        <f t="shared" si="4"/>
        <v>23.99</v>
      </c>
      <c r="D13" s="27">
        <v>5</v>
      </c>
      <c r="E13" s="27">
        <v>0</v>
      </c>
      <c r="F13" s="30">
        <v>119.94999999999999</v>
      </c>
      <c r="G13" s="28">
        <v>0</v>
      </c>
      <c r="H13" s="29">
        <f t="shared" si="1"/>
        <v>0</v>
      </c>
      <c r="I13" s="29">
        <f t="shared" si="2"/>
        <v>0.31016238608679536</v>
      </c>
      <c r="J13" s="30">
        <f t="shared" si="5"/>
        <v>37.203978211111099</v>
      </c>
      <c r="K13" s="30">
        <f t="shared" si="3"/>
        <v>7.4407956422222199</v>
      </c>
      <c r="L13" s="27">
        <v>41</v>
      </c>
      <c r="M13" s="31">
        <f t="shared" si="6"/>
        <v>0.12195121951219512</v>
      </c>
      <c r="N13" s="27">
        <v>9</v>
      </c>
      <c r="O13" s="32">
        <f t="shared" ref="O13:P13" si="21">D13/7</f>
        <v>0.7142857142857143</v>
      </c>
      <c r="P13" s="32">
        <f t="shared" si="21"/>
        <v>0</v>
      </c>
      <c r="Q13" s="27">
        <f t="shared" si="8"/>
        <v>12</v>
      </c>
      <c r="R13" s="27"/>
      <c r="S13" s="33">
        <v>1.3660933660933601</v>
      </c>
      <c r="T13" s="26">
        <v>888</v>
      </c>
      <c r="U13" s="34">
        <v>80</v>
      </c>
      <c r="V13" s="35" t="s">
        <v>702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5.0158185185185195E-2</v>
      </c>
      <c r="AD13" s="37">
        <f t="shared" si="12"/>
        <v>-0.24075928888888892</v>
      </c>
      <c r="AE13" s="37">
        <v>-8.64</v>
      </c>
      <c r="AF13" s="37">
        <v>-4.2625525</v>
      </c>
      <c r="AG13" s="37">
        <v>0</v>
      </c>
    </row>
    <row r="14" spans="1:33" ht="15.75" customHeight="1" x14ac:dyDescent="0.2">
      <c r="A14" s="26" t="s">
        <v>56</v>
      </c>
      <c r="B14" s="26" t="s">
        <v>701</v>
      </c>
      <c r="C14" s="14">
        <f t="shared" si="4"/>
        <v>23.99</v>
      </c>
      <c r="D14" s="27">
        <v>6</v>
      </c>
      <c r="E14" s="27">
        <v>0</v>
      </c>
      <c r="F14" s="30">
        <v>143.94</v>
      </c>
      <c r="G14" s="28">
        <v>-0.08</v>
      </c>
      <c r="H14" s="29">
        <f t="shared" si="1"/>
        <v>5.5578713352785888E-4</v>
      </c>
      <c r="I14" s="29">
        <f t="shared" si="2"/>
        <v>0.30960659895326748</v>
      </c>
      <c r="J14" s="30">
        <f t="shared" si="5"/>
        <v>44.564773853333321</v>
      </c>
      <c r="K14" s="30">
        <f t="shared" si="3"/>
        <v>7.4274623088888871</v>
      </c>
      <c r="L14" s="27">
        <v>64</v>
      </c>
      <c r="M14" s="31">
        <f t="shared" si="6"/>
        <v>9.375E-2</v>
      </c>
      <c r="N14" s="27">
        <v>5</v>
      </c>
      <c r="O14" s="32">
        <f t="shared" ref="O14:P14" si="22">D14/7</f>
        <v>0.8571428571428571</v>
      </c>
      <c r="P14" s="32">
        <f t="shared" si="22"/>
        <v>0</v>
      </c>
      <c r="Q14" s="27">
        <f t="shared" si="8"/>
        <v>5</v>
      </c>
      <c r="R14" s="27"/>
      <c r="S14" s="33">
        <v>1.6470588235294099</v>
      </c>
      <c r="T14" s="26">
        <v>888</v>
      </c>
      <c r="U14" s="34">
        <v>80</v>
      </c>
      <c r="V14" s="35" t="s">
        <v>703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5.0158185185185195E-2</v>
      </c>
      <c r="AD14" s="37">
        <f t="shared" si="12"/>
        <v>-0.28891114666666673</v>
      </c>
      <c r="AE14" s="37">
        <v>-8.64</v>
      </c>
      <c r="AF14" s="37">
        <v>-4.2625525</v>
      </c>
      <c r="AG14" s="37">
        <v>0</v>
      </c>
    </row>
    <row r="15" spans="1:33" ht="15.75" customHeight="1" x14ac:dyDescent="0.2">
      <c r="A15" s="26" t="s">
        <v>58</v>
      </c>
      <c r="B15" s="26" t="s">
        <v>701</v>
      </c>
      <c r="C15" s="14">
        <f t="shared" si="4"/>
        <v>23.99</v>
      </c>
      <c r="D15" s="27">
        <v>6</v>
      </c>
      <c r="E15" s="27">
        <v>0</v>
      </c>
      <c r="F15" s="30">
        <v>143.94</v>
      </c>
      <c r="G15" s="28">
        <v>0</v>
      </c>
      <c r="H15" s="29">
        <f t="shared" si="1"/>
        <v>0</v>
      </c>
      <c r="I15" s="29">
        <f t="shared" si="2"/>
        <v>0.31016238608679531</v>
      </c>
      <c r="J15" s="30">
        <f t="shared" si="5"/>
        <v>44.644773853333319</v>
      </c>
      <c r="K15" s="30">
        <f t="shared" si="3"/>
        <v>7.4407956422222199</v>
      </c>
      <c r="L15" s="27">
        <v>69</v>
      </c>
      <c r="M15" s="31">
        <f t="shared" si="6"/>
        <v>8.6956521739130432E-2</v>
      </c>
      <c r="N15" s="27">
        <v>5</v>
      </c>
      <c r="O15" s="32">
        <f t="shared" ref="O15:P15" si="23">D15/7</f>
        <v>0.8571428571428571</v>
      </c>
      <c r="P15" s="32">
        <f t="shared" si="23"/>
        <v>0</v>
      </c>
      <c r="Q15" s="27">
        <f t="shared" si="8"/>
        <v>5</v>
      </c>
      <c r="R15" s="27"/>
      <c r="S15" s="33">
        <v>1.83277591973244</v>
      </c>
      <c r="T15" s="26">
        <v>320</v>
      </c>
      <c r="U15" s="34">
        <v>80</v>
      </c>
      <c r="V15" s="35" t="s">
        <v>700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5.0158185185185195E-2</v>
      </c>
      <c r="AD15" s="37">
        <f t="shared" si="12"/>
        <v>-0.28891114666666673</v>
      </c>
      <c r="AE15" s="37">
        <v>-8.64</v>
      </c>
      <c r="AF15" s="37">
        <v>-4.2625525</v>
      </c>
      <c r="AG15" s="37">
        <v>0</v>
      </c>
    </row>
    <row r="16" spans="1:33" ht="15.75" customHeight="1" x14ac:dyDescent="0.2">
      <c r="A16" s="26" t="s">
        <v>60</v>
      </c>
      <c r="B16" s="26" t="s">
        <v>701</v>
      </c>
      <c r="C16" s="14">
        <f t="shared" si="4"/>
        <v>23.99</v>
      </c>
      <c r="D16" s="27">
        <v>6</v>
      </c>
      <c r="E16" s="27">
        <v>0</v>
      </c>
      <c r="F16" s="30">
        <v>143.94</v>
      </c>
      <c r="G16" s="28">
        <v>0</v>
      </c>
      <c r="H16" s="29">
        <f t="shared" si="1"/>
        <v>0</v>
      </c>
      <c r="I16" s="29">
        <f t="shared" si="2"/>
        <v>0.31016238608679531</v>
      </c>
      <c r="J16" s="30">
        <f t="shared" si="5"/>
        <v>44.644773853333319</v>
      </c>
      <c r="K16" s="30">
        <f t="shared" si="3"/>
        <v>7.4407956422222199</v>
      </c>
      <c r="L16" s="27">
        <v>61</v>
      </c>
      <c r="M16" s="31">
        <f t="shared" si="6"/>
        <v>9.8360655737704916E-2</v>
      </c>
      <c r="N16" s="27">
        <v>0</v>
      </c>
      <c r="O16" s="32">
        <f t="shared" ref="O16:P16" si="24">D16/7</f>
        <v>0.8571428571428571</v>
      </c>
      <c r="P16" s="32">
        <f t="shared" si="24"/>
        <v>0</v>
      </c>
      <c r="Q16" s="27">
        <f t="shared" si="8"/>
        <v>0</v>
      </c>
      <c r="R16" s="27"/>
      <c r="S16" s="33" t="e">
        <v>#N/A</v>
      </c>
      <c r="T16" s="26">
        <v>240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5.0158185185185195E-2</v>
      </c>
      <c r="AD16" s="37">
        <f t="shared" si="12"/>
        <v>-0.28891114666666673</v>
      </c>
      <c r="AE16" s="37">
        <v>-8.64</v>
      </c>
      <c r="AF16" s="37">
        <v>-4.2625525</v>
      </c>
      <c r="AG16" s="37">
        <v>0</v>
      </c>
    </row>
    <row r="17" spans="1:33" ht="15.75" customHeight="1" x14ac:dyDescent="0.2">
      <c r="A17" s="26" t="s">
        <v>61</v>
      </c>
      <c r="B17" s="26" t="s">
        <v>701</v>
      </c>
      <c r="C17" s="14">
        <f t="shared" si="4"/>
        <v>23.99</v>
      </c>
      <c r="D17" s="27">
        <v>3</v>
      </c>
      <c r="E17" s="27">
        <v>0</v>
      </c>
      <c r="F17" s="30">
        <v>71.97</v>
      </c>
      <c r="G17" s="28">
        <v>0</v>
      </c>
      <c r="H17" s="29">
        <f t="shared" si="1"/>
        <v>0</v>
      </c>
      <c r="I17" s="29">
        <f t="shared" si="2"/>
        <v>0.31016238608679531</v>
      </c>
      <c r="J17" s="30">
        <f t="shared" si="5"/>
        <v>22.32238692666666</v>
      </c>
      <c r="K17" s="30">
        <f t="shared" si="3"/>
        <v>7.4407956422222199</v>
      </c>
      <c r="L17" s="27">
        <v>54</v>
      </c>
      <c r="M17" s="31">
        <f t="shared" si="6"/>
        <v>5.5555555555555552E-2</v>
      </c>
      <c r="N17" s="27">
        <v>0</v>
      </c>
      <c r="O17" s="32">
        <f t="shared" ref="O17:P17" si="25">D17/7</f>
        <v>0.42857142857142855</v>
      </c>
      <c r="P17" s="32">
        <f t="shared" si="25"/>
        <v>0</v>
      </c>
      <c r="Q17" s="27">
        <f t="shared" si="8"/>
        <v>0</v>
      </c>
      <c r="R17" s="27"/>
      <c r="S17" s="33">
        <v>2.0082304526748902</v>
      </c>
      <c r="T17" s="26">
        <v>240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5.0158185185185195E-2</v>
      </c>
      <c r="AD17" s="37">
        <f t="shared" si="12"/>
        <v>-0.14445557333333336</v>
      </c>
      <c r="AE17" s="37">
        <v>-8.64</v>
      </c>
      <c r="AF17" s="37">
        <v>-4.2625525</v>
      </c>
      <c r="AG17" s="37">
        <v>0</v>
      </c>
    </row>
    <row r="18" spans="1:33" ht="15.75" customHeight="1" x14ac:dyDescent="0.2">
      <c r="A18" s="26" t="s">
        <v>62</v>
      </c>
      <c r="B18" s="26" t="s">
        <v>701</v>
      </c>
      <c r="C18" s="14">
        <f t="shared" si="4"/>
        <v>23.99</v>
      </c>
      <c r="D18" s="27">
        <v>1</v>
      </c>
      <c r="E18" s="27">
        <v>0</v>
      </c>
      <c r="F18" s="30">
        <v>23.99</v>
      </c>
      <c r="G18" s="28">
        <v>0</v>
      </c>
      <c r="H18" s="29">
        <f t="shared" si="1"/>
        <v>0</v>
      </c>
      <c r="I18" s="29">
        <f t="shared" si="2"/>
        <v>0.31016238608679525</v>
      </c>
      <c r="J18" s="30">
        <f t="shared" si="5"/>
        <v>7.4407956422222172</v>
      </c>
      <c r="K18" s="30">
        <f t="shared" si="3"/>
        <v>7.4407956422222172</v>
      </c>
      <c r="L18" s="27">
        <v>10</v>
      </c>
      <c r="M18" s="31">
        <f t="shared" si="6"/>
        <v>0.1</v>
      </c>
      <c r="N18" s="27">
        <v>1</v>
      </c>
      <c r="O18" s="32">
        <f t="shared" ref="O18:P18" si="26">D18/7</f>
        <v>0.14285714285714285</v>
      </c>
      <c r="P18" s="32">
        <f t="shared" si="26"/>
        <v>0</v>
      </c>
      <c r="Q18" s="27">
        <f t="shared" si="8"/>
        <v>7</v>
      </c>
      <c r="R18" s="27"/>
      <c r="S18" s="33" t="e">
        <v>#N/A</v>
      </c>
      <c r="T18" s="26">
        <v>240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5.0158185185185195E-2</v>
      </c>
      <c r="AD18" s="37">
        <f t="shared" si="12"/>
        <v>-4.8151857777777786E-2</v>
      </c>
      <c r="AE18" s="37">
        <v>-8.64</v>
      </c>
      <c r="AF18" s="37">
        <v>-4.2625525</v>
      </c>
      <c r="AG18" s="37">
        <v>0</v>
      </c>
    </row>
    <row r="19" spans="1:33" ht="15.75" customHeight="1" x14ac:dyDescent="0.2">
      <c r="A19" s="26" t="s">
        <v>64</v>
      </c>
      <c r="B19" s="26" t="s">
        <v>701</v>
      </c>
      <c r="C19" s="14">
        <f t="shared" si="4"/>
        <v>23.99</v>
      </c>
      <c r="D19" s="27">
        <v>2</v>
      </c>
      <c r="E19" s="27">
        <v>0</v>
      </c>
      <c r="F19" s="30">
        <v>47.98</v>
      </c>
      <c r="G19" s="28">
        <v>0</v>
      </c>
      <c r="H19" s="29">
        <f t="shared" si="1"/>
        <v>0</v>
      </c>
      <c r="I19" s="29">
        <f t="shared" si="2"/>
        <v>0.31016238608679525</v>
      </c>
      <c r="J19" s="30">
        <f t="shared" si="5"/>
        <v>14.881591284444434</v>
      </c>
      <c r="K19" s="30">
        <f t="shared" si="3"/>
        <v>7.4407956422222172</v>
      </c>
      <c r="L19" s="27">
        <v>35</v>
      </c>
      <c r="M19" s="31">
        <f t="shared" si="6"/>
        <v>5.7142857142857141E-2</v>
      </c>
      <c r="N19" s="27">
        <v>11</v>
      </c>
      <c r="O19" s="32">
        <f t="shared" ref="O19:P19" si="27">D19/7</f>
        <v>0.2857142857142857</v>
      </c>
      <c r="P19" s="32">
        <f t="shared" si="27"/>
        <v>0</v>
      </c>
      <c r="Q19" s="27">
        <f t="shared" si="8"/>
        <v>38</v>
      </c>
      <c r="R19" s="27"/>
      <c r="S19" s="33">
        <v>1.6666666666666601</v>
      </c>
      <c r="T19" s="26">
        <v>240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5.0158185185185195E-2</v>
      </c>
      <c r="AD19" s="37">
        <f t="shared" si="12"/>
        <v>-9.6303715555555572E-2</v>
      </c>
      <c r="AE19" s="37">
        <v>-8.64</v>
      </c>
      <c r="AF19" s="37">
        <v>-4.2625525</v>
      </c>
      <c r="AG19" s="37">
        <v>0</v>
      </c>
    </row>
    <row r="20" spans="1:33" ht="15.75" customHeight="1" x14ac:dyDescent="0.2">
      <c r="A20" s="26" t="s">
        <v>65</v>
      </c>
      <c r="B20" s="26" t="s">
        <v>701</v>
      </c>
      <c r="C20" s="14">
        <f t="shared" si="4"/>
        <v>23.99</v>
      </c>
      <c r="D20" s="27">
        <v>8</v>
      </c>
      <c r="E20" s="27">
        <v>0</v>
      </c>
      <c r="F20" s="30">
        <v>191.92</v>
      </c>
      <c r="G20" s="28">
        <v>0</v>
      </c>
      <c r="H20" s="29">
        <f t="shared" si="1"/>
        <v>0</v>
      </c>
      <c r="I20" s="29">
        <f t="shared" si="2"/>
        <v>0.31016238608679525</v>
      </c>
      <c r="J20" s="30">
        <f t="shared" si="5"/>
        <v>59.526365137777738</v>
      </c>
      <c r="K20" s="30">
        <f t="shared" si="3"/>
        <v>7.4407956422222172</v>
      </c>
      <c r="L20" s="27">
        <v>48</v>
      </c>
      <c r="M20" s="31">
        <f t="shared" si="6"/>
        <v>0.16666666666666666</v>
      </c>
      <c r="N20" s="27">
        <v>7</v>
      </c>
      <c r="O20" s="32">
        <f t="shared" ref="O20:P20" si="28">D20/7</f>
        <v>1.1428571428571428</v>
      </c>
      <c r="P20" s="32">
        <f t="shared" si="28"/>
        <v>0</v>
      </c>
      <c r="Q20" s="27">
        <f t="shared" si="8"/>
        <v>6</v>
      </c>
      <c r="R20" s="27"/>
      <c r="S20" s="33">
        <v>1.87692307692307</v>
      </c>
      <c r="T20" s="26">
        <v>240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5.0158185185185195E-2</v>
      </c>
      <c r="AD20" s="37">
        <f t="shared" si="12"/>
        <v>-0.38521486222222229</v>
      </c>
      <c r="AE20" s="37">
        <v>-8.64</v>
      </c>
      <c r="AF20" s="37">
        <v>-4.2625525</v>
      </c>
      <c r="AG20" s="37">
        <v>0</v>
      </c>
    </row>
    <row r="21" spans="1:33" ht="15.75" customHeight="1" x14ac:dyDescent="0.2">
      <c r="A21" s="26" t="s">
        <v>66</v>
      </c>
      <c r="B21" s="26" t="s">
        <v>701</v>
      </c>
      <c r="C21" s="14">
        <f t="shared" si="4"/>
        <v>23.99</v>
      </c>
      <c r="D21" s="27">
        <v>1</v>
      </c>
      <c r="E21" s="27">
        <v>0</v>
      </c>
      <c r="F21" s="30">
        <v>23.99</v>
      </c>
      <c r="G21" s="28">
        <v>0</v>
      </c>
      <c r="H21" s="29">
        <f t="shared" si="1"/>
        <v>0</v>
      </c>
      <c r="I21" s="29">
        <f t="shared" si="2"/>
        <v>0.31016238608679525</v>
      </c>
      <c r="J21" s="30">
        <f t="shared" si="5"/>
        <v>7.4407956422222172</v>
      </c>
      <c r="K21" s="30">
        <f t="shared" si="3"/>
        <v>7.4407956422222172</v>
      </c>
      <c r="L21" s="27">
        <v>30</v>
      </c>
      <c r="M21" s="31">
        <f t="shared" si="6"/>
        <v>3.3333333333333333E-2</v>
      </c>
      <c r="N21" s="27">
        <v>2</v>
      </c>
      <c r="O21" s="32">
        <f t="shared" ref="O21:P21" si="29">D21/7</f>
        <v>0.14285714285714285</v>
      </c>
      <c r="P21" s="32">
        <f t="shared" si="29"/>
        <v>0</v>
      </c>
      <c r="Q21" s="27">
        <f t="shared" si="8"/>
        <v>14</v>
      </c>
      <c r="R21" s="27"/>
      <c r="S21" s="33">
        <v>2.0754716981132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5.0158185185185195E-2</v>
      </c>
      <c r="AD21" s="37">
        <f t="shared" si="12"/>
        <v>-4.8151857777777786E-2</v>
      </c>
      <c r="AE21" s="37">
        <v>-8.64</v>
      </c>
      <c r="AF21" s="37">
        <v>-4.2625525</v>
      </c>
      <c r="AG21" s="37">
        <v>0</v>
      </c>
    </row>
    <row r="22" spans="1:33" ht="15.75" customHeight="1" x14ac:dyDescent="0.2">
      <c r="A22" s="26" t="s">
        <v>67</v>
      </c>
      <c r="B22" s="26" t="s">
        <v>701</v>
      </c>
      <c r="C22" s="14">
        <f t="shared" si="4"/>
        <v>23.99</v>
      </c>
      <c r="D22" s="27">
        <v>1</v>
      </c>
      <c r="E22" s="27">
        <v>0</v>
      </c>
      <c r="F22" s="28">
        <v>23.99</v>
      </c>
      <c r="G22" s="28">
        <v>0</v>
      </c>
      <c r="H22" s="29">
        <f t="shared" si="1"/>
        <v>0</v>
      </c>
      <c r="I22" s="29">
        <f t="shared" si="2"/>
        <v>0.31016238608679525</v>
      </c>
      <c r="J22" s="30">
        <f t="shared" si="5"/>
        <v>7.4407956422222172</v>
      </c>
      <c r="K22" s="30">
        <f t="shared" si="3"/>
        <v>7.4407956422222172</v>
      </c>
      <c r="L22" s="27">
        <v>40</v>
      </c>
      <c r="M22" s="31">
        <f t="shared" si="6"/>
        <v>2.5000000000000001E-2</v>
      </c>
      <c r="N22" s="27">
        <v>0</v>
      </c>
      <c r="O22" s="32">
        <f t="shared" ref="O22:P22" si="30">D22/7</f>
        <v>0.14285714285714285</v>
      </c>
      <c r="P22" s="32">
        <f t="shared" si="30"/>
        <v>0</v>
      </c>
      <c r="Q22" s="27">
        <f t="shared" si="8"/>
        <v>0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5.0158185185185195E-2</v>
      </c>
      <c r="AD22" s="37">
        <f t="shared" si="12"/>
        <v>-4.8151857777777786E-2</v>
      </c>
      <c r="AE22" s="37">
        <v>-8.64</v>
      </c>
      <c r="AF22" s="37">
        <v>-4.2625525</v>
      </c>
      <c r="AG22" s="37">
        <v>0</v>
      </c>
    </row>
    <row r="23" spans="1:33" ht="15.75" customHeight="1" x14ac:dyDescent="0.2">
      <c r="A23" s="26" t="s">
        <v>68</v>
      </c>
      <c r="B23" s="26" t="s">
        <v>701</v>
      </c>
      <c r="C23" s="14">
        <f t="shared" si="4"/>
        <v>23.99</v>
      </c>
      <c r="D23" s="27">
        <v>1</v>
      </c>
      <c r="E23" s="27">
        <v>0</v>
      </c>
      <c r="F23" s="30">
        <v>23.99</v>
      </c>
      <c r="G23" s="28">
        <v>0</v>
      </c>
      <c r="H23" s="29">
        <f t="shared" si="1"/>
        <v>0</v>
      </c>
      <c r="I23" s="29">
        <f t="shared" si="2"/>
        <v>0.31016238608679525</v>
      </c>
      <c r="J23" s="30">
        <f t="shared" si="5"/>
        <v>7.4407956422222172</v>
      </c>
      <c r="K23" s="30">
        <f t="shared" si="3"/>
        <v>7.4407956422222172</v>
      </c>
      <c r="L23" s="27">
        <v>58</v>
      </c>
      <c r="M23" s="31">
        <f t="shared" si="6"/>
        <v>1.7241379310344827E-2</v>
      </c>
      <c r="N23" s="27">
        <v>0</v>
      </c>
      <c r="O23" s="32">
        <f t="shared" ref="O23:P23" si="31">D23/7</f>
        <v>0.14285714285714285</v>
      </c>
      <c r="P23" s="32">
        <f t="shared" si="31"/>
        <v>0</v>
      </c>
      <c r="Q23" s="27">
        <f t="shared" si="8"/>
        <v>0</v>
      </c>
      <c r="R23" s="27"/>
      <c r="S23" s="33">
        <v>1.84615384615384</v>
      </c>
      <c r="T23" s="26">
        <v>480</v>
      </c>
      <c r="U23" s="34" t="s">
        <v>34</v>
      </c>
      <c r="V23" s="35" t="s">
        <v>704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5.0158185185185195E-2</v>
      </c>
      <c r="AD23" s="37">
        <f t="shared" si="12"/>
        <v>-4.8151857777777786E-2</v>
      </c>
      <c r="AE23" s="37">
        <v>-8.64</v>
      </c>
      <c r="AF23" s="37">
        <v>-4.2625525</v>
      </c>
      <c r="AG23" s="37">
        <v>0</v>
      </c>
    </row>
    <row r="24" spans="1:33" ht="15.75" customHeight="1" x14ac:dyDescent="0.2">
      <c r="A24" s="26" t="s">
        <v>71</v>
      </c>
      <c r="B24" s="26" t="s">
        <v>701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-1.1000000000000001</v>
      </c>
      <c r="H24" s="29" t="e">
        <f t="shared" si="1"/>
        <v>#DIV/0!</v>
      </c>
      <c r="I24" s="29" t="e">
        <f t="shared" si="2"/>
        <v>#DIV/0!</v>
      </c>
      <c r="J24" s="30">
        <f t="shared" si="5"/>
        <v>-1.1000000000000001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416</v>
      </c>
      <c r="U24" s="34">
        <v>176</v>
      </c>
      <c r="V24" s="35" t="s">
        <v>705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5.0158185185185195E-2</v>
      </c>
      <c r="AD24" s="37">
        <f t="shared" si="12"/>
        <v>0</v>
      </c>
      <c r="AE24" s="37">
        <v>-8.64</v>
      </c>
      <c r="AF24" s="37">
        <v>-4.2625525</v>
      </c>
      <c r="AG24" s="37">
        <v>0</v>
      </c>
    </row>
    <row r="25" spans="1:33" ht="15.75" customHeight="1" x14ac:dyDescent="0.2">
      <c r="A25" s="40" t="s">
        <v>73</v>
      </c>
      <c r="B25" s="26" t="s">
        <v>701</v>
      </c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17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416</v>
      </c>
      <c r="U25" s="34">
        <v>176</v>
      </c>
      <c r="V25" s="35" t="s">
        <v>706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5.0158185185185195E-2</v>
      </c>
      <c r="AD25" s="37">
        <f t="shared" si="12"/>
        <v>0</v>
      </c>
      <c r="AE25" s="42">
        <v>-8.64</v>
      </c>
      <c r="AF25" s="42">
        <v>-4.26</v>
      </c>
      <c r="AG25" s="42">
        <v>0</v>
      </c>
    </row>
    <row r="26" spans="1:33" ht="15.75" customHeight="1" x14ac:dyDescent="0.2">
      <c r="A26" s="40" t="s">
        <v>75</v>
      </c>
      <c r="B26" s="26" t="s">
        <v>701</v>
      </c>
      <c r="C26" s="14">
        <f t="shared" si="4"/>
        <v>23.99</v>
      </c>
      <c r="D26" s="15">
        <v>3</v>
      </c>
      <c r="E26" s="15">
        <v>0</v>
      </c>
      <c r="F26" s="16">
        <v>71.97</v>
      </c>
      <c r="G26" s="16">
        <v>-1.22</v>
      </c>
      <c r="H26" s="29">
        <f t="shared" si="1"/>
        <v>1.6951507572599694E-2</v>
      </c>
      <c r="I26" s="29">
        <f t="shared" si="2"/>
        <v>0.27653726450835997</v>
      </c>
      <c r="J26" s="30">
        <f t="shared" si="5"/>
        <v>19.902386926666665</v>
      </c>
      <c r="K26" s="30">
        <f t="shared" si="3"/>
        <v>6.634128975555555</v>
      </c>
      <c r="L26" s="15">
        <v>30</v>
      </c>
      <c r="M26" s="31">
        <f t="shared" si="6"/>
        <v>0.1</v>
      </c>
      <c r="N26" s="15">
        <v>16</v>
      </c>
      <c r="O26" s="32">
        <f t="shared" ref="O26:P26" si="34">D26/7</f>
        <v>0.42857142857142855</v>
      </c>
      <c r="P26" s="32">
        <f t="shared" si="34"/>
        <v>0</v>
      </c>
      <c r="Q26" s="27">
        <f t="shared" si="8"/>
        <v>37</v>
      </c>
      <c r="R26" s="27"/>
      <c r="S26" s="41">
        <v>2.508474576271186</v>
      </c>
      <c r="T26" s="26">
        <v>416</v>
      </c>
      <c r="U26" s="34">
        <v>176</v>
      </c>
      <c r="V26" s="35" t="s">
        <v>707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5.0158185185185195E-2</v>
      </c>
      <c r="AD26" s="37">
        <f t="shared" si="12"/>
        <v>-0.14445557333333336</v>
      </c>
      <c r="AE26" s="42">
        <v>-9.0399999999999991</v>
      </c>
      <c r="AF26" s="42">
        <v>-4.2625525</v>
      </c>
      <c r="AG26" s="42">
        <v>0</v>
      </c>
    </row>
    <row r="27" spans="1:33" ht="15.75" customHeight="1" x14ac:dyDescent="0.2">
      <c r="A27" s="40" t="s">
        <v>77</v>
      </c>
      <c r="B27" s="26" t="s">
        <v>701</v>
      </c>
      <c r="C27" s="14">
        <f t="shared" si="4"/>
        <v>23.99</v>
      </c>
      <c r="D27" s="15">
        <v>2</v>
      </c>
      <c r="E27" s="15">
        <v>0</v>
      </c>
      <c r="F27" s="16">
        <v>47.98</v>
      </c>
      <c r="G27" s="16">
        <v>-1.25</v>
      </c>
      <c r="H27" s="29">
        <f t="shared" si="1"/>
        <v>2.6052521884118385E-2</v>
      </c>
      <c r="I27" s="29">
        <f t="shared" si="2"/>
        <v>0.2674362501968412</v>
      </c>
      <c r="J27" s="30">
        <f t="shared" si="5"/>
        <v>12.831591284444441</v>
      </c>
      <c r="K27" s="30">
        <f t="shared" si="3"/>
        <v>6.4157956422222204</v>
      </c>
      <c r="L27" s="15">
        <v>85</v>
      </c>
      <c r="M27" s="31">
        <f t="shared" si="6"/>
        <v>2.3529411764705882E-2</v>
      </c>
      <c r="N27" s="15">
        <v>15</v>
      </c>
      <c r="O27" s="32">
        <f t="shared" ref="O27:P27" si="35">D27/7</f>
        <v>0.2857142857142857</v>
      </c>
      <c r="P27" s="32">
        <f t="shared" si="35"/>
        <v>0</v>
      </c>
      <c r="Q27" s="27">
        <f t="shared" si="8"/>
        <v>52</v>
      </c>
      <c r="R27" s="27"/>
      <c r="S27" s="41">
        <v>2.4285714285714279</v>
      </c>
      <c r="T27" s="26">
        <v>416</v>
      </c>
      <c r="U27" s="34">
        <v>176</v>
      </c>
      <c r="V27" s="35" t="s">
        <v>708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5.0158185185185195E-2</v>
      </c>
      <c r="AD27" s="37">
        <f t="shared" si="12"/>
        <v>-9.6303715555555572E-2</v>
      </c>
      <c r="AE27" s="42">
        <v>-9.0399999999999991</v>
      </c>
      <c r="AF27" s="42">
        <v>-4.2625525</v>
      </c>
      <c r="AG27" s="42">
        <v>0</v>
      </c>
    </row>
    <row r="28" spans="1:33" ht="15.75" customHeight="1" x14ac:dyDescent="0.2">
      <c r="A28" s="40" t="s">
        <v>79</v>
      </c>
      <c r="B28" s="26" t="s">
        <v>701</v>
      </c>
      <c r="C28" s="14">
        <f t="shared" si="4"/>
        <v>19.991666666666667</v>
      </c>
      <c r="D28" s="15">
        <v>6</v>
      </c>
      <c r="E28" s="15">
        <v>0</v>
      </c>
      <c r="F28" s="16">
        <v>119.95</v>
      </c>
      <c r="G28" s="16">
        <v>-1.2</v>
      </c>
      <c r="H28" s="29">
        <f t="shared" si="1"/>
        <v>1.0004168403501459E-2</v>
      </c>
      <c r="I28" s="29">
        <f t="shared" si="2"/>
        <v>0.1721823580936501</v>
      </c>
      <c r="J28" s="30">
        <f t="shared" si="5"/>
        <v>20.653273853333328</v>
      </c>
      <c r="K28" s="30">
        <f t="shared" si="3"/>
        <v>3.4422123088888879</v>
      </c>
      <c r="L28" s="15">
        <v>63</v>
      </c>
      <c r="M28" s="31">
        <f t="shared" si="6"/>
        <v>9.5238095238095233E-2</v>
      </c>
      <c r="N28" s="15">
        <v>13</v>
      </c>
      <c r="O28" s="32">
        <f t="shared" ref="O28:P28" si="36">D28/7</f>
        <v>0.8571428571428571</v>
      </c>
      <c r="P28" s="32">
        <f t="shared" si="36"/>
        <v>0</v>
      </c>
      <c r="Q28" s="27">
        <f t="shared" si="8"/>
        <v>15</v>
      </c>
      <c r="R28" s="27"/>
      <c r="S28" s="41">
        <v>2.2456140350877192</v>
      </c>
      <c r="T28" s="40" t="s">
        <v>34</v>
      </c>
      <c r="U28" s="22">
        <v>176</v>
      </c>
      <c r="V28" s="1" t="s">
        <v>709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5.0158185185185195E-2</v>
      </c>
      <c r="AD28" s="37">
        <f t="shared" si="12"/>
        <v>-0.28891114666666673</v>
      </c>
      <c r="AE28" s="42">
        <v>-9.0399999999999991</v>
      </c>
      <c r="AF28" s="42">
        <v>-4.2625525</v>
      </c>
      <c r="AG28" s="42">
        <v>0</v>
      </c>
    </row>
    <row r="29" spans="1:33" ht="15.75" customHeight="1" x14ac:dyDescent="0.2">
      <c r="A29" s="26" t="s">
        <v>82</v>
      </c>
      <c r="B29" s="26" t="s">
        <v>701</v>
      </c>
      <c r="C29" s="14">
        <f t="shared" si="4"/>
        <v>23.99</v>
      </c>
      <c r="D29" s="27">
        <v>4</v>
      </c>
      <c r="E29" s="27">
        <v>0</v>
      </c>
      <c r="F29" s="30">
        <v>95.96</v>
      </c>
      <c r="G29" s="30">
        <v>-0.9</v>
      </c>
      <c r="H29" s="29">
        <f t="shared" si="1"/>
        <v>9.3789078782826191E-3</v>
      </c>
      <c r="I29" s="29">
        <f t="shared" si="2"/>
        <v>0.28410986420267692</v>
      </c>
      <c r="J29" s="30">
        <f t="shared" si="5"/>
        <v>27.263182568888876</v>
      </c>
      <c r="K29" s="30">
        <f t="shared" si="3"/>
        <v>6.815795642222219</v>
      </c>
      <c r="L29" s="27">
        <v>32</v>
      </c>
      <c r="M29" s="31">
        <f t="shared" si="6"/>
        <v>0.125</v>
      </c>
      <c r="N29" s="15">
        <v>6</v>
      </c>
      <c r="O29" s="32">
        <f t="shared" ref="O29:P29" si="37">D29/7</f>
        <v>0.5714285714285714</v>
      </c>
      <c r="P29" s="32">
        <f t="shared" si="37"/>
        <v>0</v>
      </c>
      <c r="Q29" s="27">
        <f t="shared" si="8"/>
        <v>10</v>
      </c>
      <c r="R29" s="27"/>
      <c r="S29" s="41">
        <v>3.6363636363636358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5.0158185185185195E-2</v>
      </c>
      <c r="AD29" s="37">
        <f t="shared" si="12"/>
        <v>-0.19260743111111114</v>
      </c>
      <c r="AE29" s="37">
        <v>-9.0399999999999991</v>
      </c>
      <c r="AF29" s="42">
        <v>-4.2625525</v>
      </c>
      <c r="AG29" s="37">
        <v>0</v>
      </c>
    </row>
    <row r="30" spans="1:33" ht="15.75" customHeight="1" x14ac:dyDescent="0.2">
      <c r="A30" s="40" t="s">
        <v>84</v>
      </c>
      <c r="B30" s="40" t="s">
        <v>710</v>
      </c>
      <c r="C30" s="14">
        <f t="shared" si="4"/>
        <v>23.99</v>
      </c>
      <c r="D30" s="15">
        <v>1</v>
      </c>
      <c r="E30" s="15">
        <v>0</v>
      </c>
      <c r="F30" s="16">
        <v>23.99</v>
      </c>
      <c r="G30" s="16">
        <v>-0.67999999999999994</v>
      </c>
      <c r="H30" s="29">
        <f t="shared" si="1"/>
        <v>2.83451438099208E-2</v>
      </c>
      <c r="I30" s="29">
        <f t="shared" si="2"/>
        <v>0.25256932517599923</v>
      </c>
      <c r="J30" s="30">
        <f t="shared" si="5"/>
        <v>6.0591381109722215</v>
      </c>
      <c r="K30" s="30">
        <f t="shared" si="3"/>
        <v>6.0591381109722215</v>
      </c>
      <c r="L30" s="15">
        <v>46</v>
      </c>
      <c r="M30" s="31">
        <f t="shared" si="6"/>
        <v>2.1739130434782608E-2</v>
      </c>
      <c r="N30" s="15">
        <v>150</v>
      </c>
      <c r="O30" s="32">
        <f t="shared" ref="O30:P30" si="38">D30/7</f>
        <v>0.14285714285714285</v>
      </c>
      <c r="P30" s="32">
        <f t="shared" si="38"/>
        <v>0</v>
      </c>
      <c r="Q30" s="27">
        <f t="shared" si="8"/>
        <v>1050</v>
      </c>
      <c r="R30" s="27"/>
      <c r="S30" s="41">
        <v>0.70857142857142852</v>
      </c>
      <c r="T30" s="26">
        <v>590</v>
      </c>
      <c r="U30" s="34">
        <v>176</v>
      </c>
      <c r="V30" s="35" t="s">
        <v>711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5.0158185185185195E-2</v>
      </c>
      <c r="AD30" s="37">
        <f t="shared" si="12"/>
        <v>-4.8151857777777786E-2</v>
      </c>
      <c r="AE30" s="42">
        <v>-9.0399999999999991</v>
      </c>
      <c r="AF30" s="42">
        <v>-4.56421003125</v>
      </c>
      <c r="AG30" s="42">
        <v>0</v>
      </c>
    </row>
    <row r="31" spans="1:33" ht="15.75" customHeight="1" x14ac:dyDescent="0.2">
      <c r="A31" s="40" t="s">
        <v>87</v>
      </c>
      <c r="B31" s="40" t="s">
        <v>523</v>
      </c>
      <c r="C31" s="14">
        <f t="shared" si="4"/>
        <v>15.325555555555553</v>
      </c>
      <c r="D31" s="15">
        <v>9</v>
      </c>
      <c r="E31" s="15">
        <v>0</v>
      </c>
      <c r="F31" s="16">
        <v>137.92999999999998</v>
      </c>
      <c r="G31" s="43">
        <v>-1.78</v>
      </c>
      <c r="H31" s="29">
        <f t="shared" si="1"/>
        <v>1.2905096788225915E-2</v>
      </c>
      <c r="I31" s="29">
        <f t="shared" si="2"/>
        <v>-5.3728391221996644E-2</v>
      </c>
      <c r="J31" s="30">
        <f t="shared" si="5"/>
        <v>-7.4107570012499959</v>
      </c>
      <c r="K31" s="30">
        <f t="shared" si="3"/>
        <v>-0.82341744458333288</v>
      </c>
      <c r="L31" s="15">
        <v>79</v>
      </c>
      <c r="M31" s="31">
        <f t="shared" si="6"/>
        <v>0.11392405063291139</v>
      </c>
      <c r="N31" s="15">
        <v>144</v>
      </c>
      <c r="O31" s="32">
        <f t="shared" ref="O31:P31" si="39">D31/7</f>
        <v>1.2857142857142858</v>
      </c>
      <c r="P31" s="32">
        <f t="shared" si="39"/>
        <v>0</v>
      </c>
      <c r="Q31" s="27">
        <f t="shared" si="8"/>
        <v>112</v>
      </c>
      <c r="R31" s="27"/>
      <c r="S31" s="41">
        <v>0.659574468085106</v>
      </c>
      <c r="T31" s="40">
        <v>414</v>
      </c>
      <c r="U31" s="22" t="s">
        <v>34</v>
      </c>
      <c r="V31" s="1" t="s">
        <v>712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5.0158185185185195E-2</v>
      </c>
      <c r="AD31" s="37">
        <f t="shared" si="12"/>
        <v>-0.43336672000000009</v>
      </c>
      <c r="AE31" s="45">
        <v>-9.0399999999999991</v>
      </c>
      <c r="AF31" s="45">
        <v>-4.56421003125</v>
      </c>
      <c r="AG31" s="42">
        <v>0</v>
      </c>
    </row>
    <row r="32" spans="1:33" ht="15.75" customHeight="1" x14ac:dyDescent="0.2">
      <c r="A32" s="40" t="s">
        <v>90</v>
      </c>
      <c r="B32" s="40" t="s">
        <v>523</v>
      </c>
      <c r="C32" s="14">
        <f t="shared" si="4"/>
        <v>17.989999999999998</v>
      </c>
      <c r="D32" s="15">
        <v>3</v>
      </c>
      <c r="E32" s="15">
        <v>0</v>
      </c>
      <c r="F32" s="16">
        <v>53.97</v>
      </c>
      <c r="G32" s="16">
        <v>-2.39</v>
      </c>
      <c r="H32" s="29">
        <f t="shared" si="1"/>
        <v>4.4283861404483975E-2</v>
      </c>
      <c r="I32" s="29">
        <f t="shared" si="2"/>
        <v>4.6829985786856869E-2</v>
      </c>
      <c r="J32" s="30">
        <f t="shared" si="5"/>
        <v>2.5274143329166652</v>
      </c>
      <c r="K32" s="30">
        <f t="shared" si="3"/>
        <v>0.84247144430555509</v>
      </c>
      <c r="L32" s="15">
        <v>58</v>
      </c>
      <c r="M32" s="31">
        <f t="shared" si="6"/>
        <v>5.1724137931034482E-2</v>
      </c>
      <c r="N32" s="15">
        <v>28</v>
      </c>
      <c r="O32" s="32">
        <f t="shared" ref="O32:P32" si="40">D32/7</f>
        <v>0.42857142857142855</v>
      </c>
      <c r="P32" s="32">
        <f t="shared" si="40"/>
        <v>0</v>
      </c>
      <c r="Q32" s="27">
        <f t="shared" si="8"/>
        <v>65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IFERROR(__xludf.DUMMYFUNCTION("IFERROR(VLOOKUP($B$2,IMPORTRANGE(""https://docs.google.com/spreadsheets/d/1KiWZV1ko8G7lnRucBRBd29jj3Be6ltMfljMDqzOkQmI/edit#gid=1381463014"",""Lookup!A:D""),4,FALSE),"""")"),414)</f>
        <v>414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414 At Factory 50-75 days from Earliest Arrival")</f>
        <v>No Transit, But 414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5.0158185185185195E-2</v>
      </c>
      <c r="AD32" s="37">
        <f t="shared" si="12"/>
        <v>-0.14445557333333336</v>
      </c>
      <c r="AE32" s="42">
        <v>-9.0399999999999991</v>
      </c>
      <c r="AF32" s="42">
        <v>-4.56421003125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1:33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1:33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Gray &amp; Black - Large 47 x 23 Inch Leather Style Computer Pad for Desk")</f>
        <v>Office Desk Mat, Double Sided Gray &amp; Black - Large 47 x 23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Info!B1:BJ5000""),2,FALSE),"""")"),"B085LKR4JH")</f>
        <v>B085LKR4JH</v>
      </c>
      <c r="B2" s="3" t="s">
        <v>713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16.638452977941178</v>
      </c>
      <c r="D3" s="5">
        <f>SUM(D4:D99767)</f>
        <v>248</v>
      </c>
      <c r="E3" s="5"/>
      <c r="F3" s="6">
        <f t="shared" ref="F3:G3" si="0">SUM(F4:F99767)</f>
        <v>5298.7399999999989</v>
      </c>
      <c r="G3" s="6">
        <f t="shared" si="0"/>
        <v>-379.41999999999996</v>
      </c>
      <c r="H3" s="7">
        <f t="shared" ref="H3:H32" si="1">G3/F3*-1</f>
        <v>7.1605702487761255E-2</v>
      </c>
      <c r="I3" s="8">
        <f t="shared" ref="I3:I32" si="2">J3/F3</f>
        <v>0.13204270334751855</v>
      </c>
      <c r="J3" s="6">
        <f>SUM(J4:J99767)</f>
        <v>699.65995393563026</v>
      </c>
      <c r="K3" s="6">
        <f t="shared" ref="K3:K32" si="3">J3/D3</f>
        <v>2.8212094916759285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Sheet!a1:g5000""),2,FALSE),"""")"),"1.0 - March
1.0 - April
1.0 - May
1.0 - June
1.0 - July
1.0 - Aug
1.0 - Sept
1.0 - Oct
1.0 - Nov
1.0 - Dec
1.0 - Jan
1.0 - Feb")</f>
        <v>1.0 - March
1.0 - April
1.0 - May
1.0 - June
1.0 - July
1.0 - Aug
1.0 - Sept
1.0 - Oct
1.0 - Nov
1.0 - Dec
1.0 - Jan
1.0 -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22</v>
      </c>
      <c r="X3" s="7">
        <f>W3/D3</f>
        <v>8.8709677419354843E-2</v>
      </c>
      <c r="Y3" s="6"/>
      <c r="Z3" s="5"/>
      <c r="AA3" s="5"/>
      <c r="AB3" s="5"/>
      <c r="AC3" s="5"/>
      <c r="AD3" s="6">
        <f>SUM(AD4:AD99767)</f>
        <v>-29.479208888888888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Info!B2:BZ3000""),37,FALSE)),"""")*-1"),-4.72268503125)</f>
        <v>-4.7226850312500002</v>
      </c>
      <c r="AG3" s="6">
        <f>SUM(AG4:AG99767)</f>
        <v>0</v>
      </c>
    </row>
    <row r="4" spans="1:33" x14ac:dyDescent="0.2">
      <c r="A4" s="1" t="s">
        <v>32</v>
      </c>
      <c r="B4" s="2" t="s">
        <v>211</v>
      </c>
      <c r="C4" s="14">
        <f t="shared" ref="C4:C32" si="4">IFERROR(F4/D4," - ")</f>
        <v>28.766666666666666</v>
      </c>
      <c r="D4" s="15">
        <v>12</v>
      </c>
      <c r="E4" s="15">
        <v>0</v>
      </c>
      <c r="F4" s="16">
        <v>345.2</v>
      </c>
      <c r="G4" s="16">
        <v>0</v>
      </c>
      <c r="H4" s="17">
        <f t="shared" si="1"/>
        <v>0</v>
      </c>
      <c r="I4" s="17">
        <f t="shared" si="2"/>
        <v>0.38476386858602951</v>
      </c>
      <c r="J4" s="16">
        <f t="shared" ref="J4:J32" si="5">F4*0.85+G4+AF4*D4+D4*AE4+AG4+AD4</f>
        <v>132.82048743589738</v>
      </c>
      <c r="K4" s="16">
        <f t="shared" si="3"/>
        <v>11.068373952991449</v>
      </c>
      <c r="L4" s="15">
        <v>166</v>
      </c>
      <c r="M4" s="18">
        <f t="shared" ref="M4:M32" si="6">IFERROR(D4/L4,"-")</f>
        <v>7.2289156626506021E-2</v>
      </c>
      <c r="N4" s="15">
        <v>20</v>
      </c>
      <c r="O4" s="19">
        <f t="shared" ref="O4:P4" si="7">D4/7</f>
        <v>1.7142857142857142</v>
      </c>
      <c r="P4" s="19">
        <f t="shared" si="7"/>
        <v>0</v>
      </c>
      <c r="Q4" s="15">
        <f t="shared" ref="Q4:Q32" si="8">ROUNDDOWN(N4/(O4+P4),0)</f>
        <v>11</v>
      </c>
      <c r="R4" s="15"/>
      <c r="S4" s="20">
        <v>4.0941176470588196</v>
      </c>
      <c r="T4" s="2">
        <v>428</v>
      </c>
      <c r="U4" s="2" t="s">
        <v>34</v>
      </c>
      <c r="V4" s="21" t="s">
        <v>714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0.12382060185185184</v>
      </c>
      <c r="AD4" s="24">
        <f t="shared" ref="AD4:AD32" si="12">IFERROR(AB4*AC4*D4*2,0)</f>
        <v>-1.4264133333333331</v>
      </c>
      <c r="AE4" s="24">
        <v>-9.02</v>
      </c>
      <c r="AF4" s="24">
        <v>-4.2444249358974355</v>
      </c>
      <c r="AG4" s="24">
        <v>0</v>
      </c>
    </row>
    <row r="5" spans="1:33" ht="15.75" customHeight="1" x14ac:dyDescent="0.2">
      <c r="A5" s="26" t="s">
        <v>35</v>
      </c>
      <c r="B5" s="26" t="s">
        <v>53</v>
      </c>
      <c r="C5" s="14">
        <f t="shared" si="4"/>
        <v>30.246666666666666</v>
      </c>
      <c r="D5" s="27">
        <v>3</v>
      </c>
      <c r="E5" s="27">
        <v>0</v>
      </c>
      <c r="F5" s="28">
        <v>90.74</v>
      </c>
      <c r="G5" s="28">
        <v>0</v>
      </c>
      <c r="H5" s="29">
        <f t="shared" si="1"/>
        <v>0</v>
      </c>
      <c r="I5" s="29">
        <f t="shared" si="2"/>
        <v>0.40752834316700848</v>
      </c>
      <c r="J5" s="30">
        <f t="shared" si="5"/>
        <v>36.979121858974345</v>
      </c>
      <c r="K5" s="30">
        <f t="shared" si="3"/>
        <v>12.326373952991448</v>
      </c>
      <c r="L5" s="27">
        <v>21</v>
      </c>
      <c r="M5" s="31">
        <f t="shared" si="6"/>
        <v>0.14285714285714285</v>
      </c>
      <c r="N5" s="27">
        <v>16</v>
      </c>
      <c r="O5" s="32">
        <f t="shared" ref="O5:P5" si="13">D5/7</f>
        <v>0.42857142857142855</v>
      </c>
      <c r="P5" s="32">
        <f t="shared" si="13"/>
        <v>0</v>
      </c>
      <c r="Q5" s="27">
        <f t="shared" si="8"/>
        <v>37</v>
      </c>
      <c r="R5" s="27"/>
      <c r="S5" s="33" t="e">
        <v>#N/A</v>
      </c>
      <c r="T5" s="26">
        <v>428</v>
      </c>
      <c r="U5" s="34" t="s">
        <v>34</v>
      </c>
      <c r="V5" s="35" t="s">
        <v>714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" t="s">
        <v>250</v>
      </c>
      <c r="AB5" s="24">
        <f t="shared" si="11"/>
        <v>-0.48</v>
      </c>
      <c r="AC5" s="25">
        <v>0.12382060185185184</v>
      </c>
      <c r="AD5" s="24">
        <f t="shared" si="12"/>
        <v>-0.35660333333333327</v>
      </c>
      <c r="AE5" s="24">
        <v>-9.02</v>
      </c>
      <c r="AF5" s="37">
        <v>-4.2444249358974355</v>
      </c>
      <c r="AG5" s="37">
        <v>0</v>
      </c>
    </row>
    <row r="6" spans="1:33" ht="15.75" customHeight="1" x14ac:dyDescent="0.2">
      <c r="A6" s="26" t="s">
        <v>38</v>
      </c>
      <c r="B6" s="26" t="s">
        <v>53</v>
      </c>
      <c r="C6" s="14">
        <f t="shared" si="4"/>
        <v>29.99</v>
      </c>
      <c r="D6" s="27">
        <v>1</v>
      </c>
      <c r="E6" s="27">
        <v>0</v>
      </c>
      <c r="F6" s="28">
        <v>29.99</v>
      </c>
      <c r="G6" s="28">
        <v>0</v>
      </c>
      <c r="H6" s="29">
        <f t="shared" si="1"/>
        <v>0</v>
      </c>
      <c r="I6" s="29">
        <f t="shared" si="2"/>
        <v>0.40374149004083987</v>
      </c>
      <c r="J6" s="30">
        <f t="shared" si="5"/>
        <v>12.108207286324786</v>
      </c>
      <c r="K6" s="30">
        <f t="shared" si="3"/>
        <v>12.108207286324786</v>
      </c>
      <c r="L6" s="27">
        <v>28</v>
      </c>
      <c r="M6" s="31">
        <f t="shared" si="6"/>
        <v>3.5714285714285712E-2</v>
      </c>
      <c r="N6" s="27">
        <v>16</v>
      </c>
      <c r="O6" s="32">
        <f t="shared" ref="O6:P6" si="14">D6/7</f>
        <v>0.14285714285714285</v>
      </c>
      <c r="P6" s="32">
        <f t="shared" si="14"/>
        <v>0</v>
      </c>
      <c r="Q6" s="27">
        <f t="shared" si="8"/>
        <v>112</v>
      </c>
      <c r="R6" s="27"/>
      <c r="S6" s="33" t="e">
        <v>#N/A</v>
      </c>
      <c r="T6" s="26">
        <v>428</v>
      </c>
      <c r="U6" s="34">
        <v>224</v>
      </c>
      <c r="V6" s="35" t="s">
        <v>715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" t="s">
        <v>250</v>
      </c>
      <c r="AB6" s="24">
        <f t="shared" si="11"/>
        <v>-0.48</v>
      </c>
      <c r="AC6" s="25">
        <v>0.12382060185185184</v>
      </c>
      <c r="AD6" s="24">
        <f t="shared" si="12"/>
        <v>-0.11886777777777777</v>
      </c>
      <c r="AE6" s="24">
        <v>-9.02</v>
      </c>
      <c r="AF6" s="37">
        <v>-4.2444249358974355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31.135454545454547</v>
      </c>
      <c r="D7" s="27">
        <v>11</v>
      </c>
      <c r="E7" s="27">
        <v>1</v>
      </c>
      <c r="F7" s="28">
        <v>342.49</v>
      </c>
      <c r="G7" s="28">
        <v>0</v>
      </c>
      <c r="H7" s="29">
        <f t="shared" si="1"/>
        <v>0</v>
      </c>
      <c r="I7" s="29">
        <f t="shared" si="2"/>
        <v>0.42015907077454123</v>
      </c>
      <c r="J7" s="30">
        <f t="shared" si="5"/>
        <v>143.90028014957264</v>
      </c>
      <c r="K7" s="30">
        <f t="shared" si="3"/>
        <v>13.081843649961149</v>
      </c>
      <c r="L7" s="27">
        <v>77</v>
      </c>
      <c r="M7" s="31">
        <f t="shared" si="6"/>
        <v>0.14285714285714285</v>
      </c>
      <c r="N7" s="27">
        <v>3</v>
      </c>
      <c r="O7" s="32">
        <f t="shared" ref="O7:P7" si="15">D7/7</f>
        <v>1.5714285714285714</v>
      </c>
      <c r="P7" s="32">
        <f t="shared" si="15"/>
        <v>0.14285714285714285</v>
      </c>
      <c r="Q7" s="27">
        <f t="shared" si="8"/>
        <v>1</v>
      </c>
      <c r="R7" s="27"/>
      <c r="S7" s="33">
        <v>3.1</v>
      </c>
      <c r="T7" s="26">
        <v>428</v>
      </c>
      <c r="U7" s="34">
        <v>224</v>
      </c>
      <c r="V7" s="35" t="s">
        <v>715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0.12382060185185184</v>
      </c>
      <c r="AD7" s="37">
        <f t="shared" si="12"/>
        <v>-1.3075455555555555</v>
      </c>
      <c r="AE7" s="37">
        <v>-9.02</v>
      </c>
      <c r="AF7" s="37">
        <v>-4.2444249358974355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224</v>
      </c>
      <c r="U8" s="34">
        <v>224</v>
      </c>
      <c r="V8" s="35" t="s">
        <v>715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-4.24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224</v>
      </c>
      <c r="U9" s="34">
        <v>224</v>
      </c>
      <c r="V9" s="35" t="s">
        <v>716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-4.3601300641025604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224</v>
      </c>
      <c r="U10" s="34">
        <v>224</v>
      </c>
      <c r="V10" s="35" t="s">
        <v>717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-4.3601300641025604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224</v>
      </c>
      <c r="U11" s="34">
        <v>224</v>
      </c>
      <c r="V11" s="35" t="s">
        <v>717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-4.3601300641025604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1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>
        <v>3.4680851063829699</v>
      </c>
      <c r="T12" s="26">
        <v>224</v>
      </c>
      <c r="U12" s="34">
        <v>224</v>
      </c>
      <c r="V12" s="35" t="s">
        <v>717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-4.3601300641025604</v>
      </c>
      <c r="AG12" s="37">
        <v>0</v>
      </c>
    </row>
    <row r="13" spans="1:33" ht="15.75" customHeight="1" x14ac:dyDescent="0.2">
      <c r="A13" s="26" t="s">
        <v>54</v>
      </c>
      <c r="B13" s="26" t="s">
        <v>461</v>
      </c>
      <c r="C13" s="14">
        <f t="shared" si="4"/>
        <v>29.99</v>
      </c>
      <c r="D13" s="27">
        <v>1</v>
      </c>
      <c r="E13" s="27">
        <v>0</v>
      </c>
      <c r="F13" s="30">
        <v>29.99</v>
      </c>
      <c r="G13" s="28">
        <v>0</v>
      </c>
      <c r="H13" s="29">
        <f t="shared" si="1"/>
        <v>0</v>
      </c>
      <c r="I13" s="29">
        <f t="shared" si="2"/>
        <v>0.39785277499907373</v>
      </c>
      <c r="J13" s="30">
        <f t="shared" si="5"/>
        <v>11.93160472222222</v>
      </c>
      <c r="K13" s="30">
        <f t="shared" si="3"/>
        <v>11.93160472222222</v>
      </c>
      <c r="L13" s="27">
        <v>6</v>
      </c>
      <c r="M13" s="31">
        <f t="shared" si="6"/>
        <v>0.16666666666666666</v>
      </c>
      <c r="N13" s="27">
        <v>0</v>
      </c>
      <c r="O13" s="32">
        <f t="shared" ref="O13:P13" si="21">D13/7</f>
        <v>0.14285714285714285</v>
      </c>
      <c r="P13" s="32">
        <f t="shared" si="21"/>
        <v>0</v>
      </c>
      <c r="Q13" s="27">
        <f t="shared" si="8"/>
        <v>0</v>
      </c>
      <c r="R13" s="27"/>
      <c r="S13" s="33" t="e">
        <v>#N/A</v>
      </c>
      <c r="T13" s="26">
        <v>224</v>
      </c>
      <c r="U13" s="34">
        <v>224</v>
      </c>
      <c r="V13" s="35" t="s">
        <v>717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0.12382060185185184</v>
      </c>
      <c r="AD13" s="37">
        <f t="shared" si="12"/>
        <v>-0.11886777777777777</v>
      </c>
      <c r="AE13" s="37">
        <v>-9.02</v>
      </c>
      <c r="AF13" s="37">
        <v>-4.4210275000000001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224</v>
      </c>
      <c r="U14" s="34">
        <v>224</v>
      </c>
      <c r="V14" s="35" t="s">
        <v>718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-4.4210275000000001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288</v>
      </c>
      <c r="U15" s="34">
        <v>224</v>
      </c>
      <c r="V15" s="35" t="s">
        <v>716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-4.4210275000000001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64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-4.4210275000000001</v>
      </c>
      <c r="AG16" s="37">
        <v>0</v>
      </c>
    </row>
    <row r="17" spans="1:33" ht="15.75" customHeight="1" x14ac:dyDescent="0.2">
      <c r="A17" s="26" t="s">
        <v>61</v>
      </c>
      <c r="B17" s="26" t="s">
        <v>719</v>
      </c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208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>
        <v>0.38427947598253198</v>
      </c>
      <c r="T17" s="26">
        <v>64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0.12382060185185184</v>
      </c>
      <c r="AD17" s="37">
        <f t="shared" si="12"/>
        <v>0</v>
      </c>
      <c r="AE17" s="37">
        <v>-9.02</v>
      </c>
      <c r="AF17" s="37">
        <v>-4.4210275000000001</v>
      </c>
      <c r="AG17" s="37">
        <v>0</v>
      </c>
    </row>
    <row r="18" spans="1:33" ht="15.75" customHeight="1" x14ac:dyDescent="0.2">
      <c r="A18" s="26" t="s">
        <v>62</v>
      </c>
      <c r="B18" s="26" t="s">
        <v>105</v>
      </c>
      <c r="C18" s="14">
        <f t="shared" si="4"/>
        <v>24.99</v>
      </c>
      <c r="D18" s="27">
        <v>4</v>
      </c>
      <c r="E18" s="27">
        <v>0</v>
      </c>
      <c r="F18" s="30">
        <v>99.96</v>
      </c>
      <c r="G18" s="28">
        <v>-26.23</v>
      </c>
      <c r="H18" s="29">
        <f t="shared" si="1"/>
        <v>0.26240496198479396</v>
      </c>
      <c r="I18" s="29">
        <f t="shared" si="2"/>
        <v>4.4982181761593402E-2</v>
      </c>
      <c r="J18" s="30">
        <f t="shared" si="5"/>
        <v>4.4964188888888765</v>
      </c>
      <c r="K18" s="30">
        <f t="shared" si="3"/>
        <v>1.1241047222222191</v>
      </c>
      <c r="L18" s="27">
        <v>40</v>
      </c>
      <c r="M18" s="31">
        <f t="shared" si="6"/>
        <v>0.1</v>
      </c>
      <c r="N18" s="27">
        <v>205</v>
      </c>
      <c r="O18" s="32">
        <f t="shared" ref="O18:P18" si="26">D18/7</f>
        <v>0.5714285714285714</v>
      </c>
      <c r="P18" s="32">
        <f t="shared" si="26"/>
        <v>0</v>
      </c>
      <c r="Q18" s="27">
        <f t="shared" si="8"/>
        <v>358</v>
      </c>
      <c r="R18" s="27"/>
      <c r="S18" s="33">
        <v>0.269058295964125</v>
      </c>
      <c r="T18" s="26">
        <v>64</v>
      </c>
      <c r="U18" s="34" t="s">
        <v>34</v>
      </c>
      <c r="V18" s="35" t="s">
        <v>34</v>
      </c>
      <c r="W18" s="26">
        <v>2</v>
      </c>
      <c r="X18" s="36">
        <f t="shared" si="9"/>
        <v>0.5</v>
      </c>
      <c r="Y18" s="37">
        <f t="shared" si="10"/>
        <v>13.115</v>
      </c>
      <c r="Z18" s="26">
        <v>0</v>
      </c>
      <c r="AA18" s="26" t="s">
        <v>250</v>
      </c>
      <c r="AB18" s="38">
        <f t="shared" si="11"/>
        <v>-0.48</v>
      </c>
      <c r="AC18" s="39">
        <v>0.12382060185185184</v>
      </c>
      <c r="AD18" s="37">
        <f t="shared" si="12"/>
        <v>-0.47547111111111107</v>
      </c>
      <c r="AE18" s="37">
        <v>-9.02</v>
      </c>
      <c r="AF18" s="37">
        <v>-4.4210275000000001</v>
      </c>
      <c r="AG18" s="37">
        <v>0</v>
      </c>
    </row>
    <row r="19" spans="1:33" ht="15.75" customHeight="1" x14ac:dyDescent="0.2">
      <c r="A19" s="26" t="s">
        <v>64</v>
      </c>
      <c r="B19" s="26" t="s">
        <v>720</v>
      </c>
      <c r="C19" s="14">
        <f t="shared" si="4"/>
        <v>24.990000000000002</v>
      </c>
      <c r="D19" s="27">
        <v>20</v>
      </c>
      <c r="E19" s="27">
        <v>0</v>
      </c>
      <c r="F19" s="30">
        <v>499.80000000000007</v>
      </c>
      <c r="G19" s="28">
        <v>-36.17</v>
      </c>
      <c r="H19" s="29">
        <f t="shared" si="1"/>
        <v>7.2368947579031603E-2</v>
      </c>
      <c r="I19" s="29">
        <f t="shared" si="2"/>
        <v>0.23501819616735592</v>
      </c>
      <c r="J19" s="30">
        <f t="shared" si="5"/>
        <v>117.4620944444445</v>
      </c>
      <c r="K19" s="30">
        <f t="shared" si="3"/>
        <v>5.8731047222222248</v>
      </c>
      <c r="L19" s="27">
        <v>49</v>
      </c>
      <c r="M19" s="31">
        <f t="shared" si="6"/>
        <v>0.40816326530612246</v>
      </c>
      <c r="N19" s="27">
        <v>186</v>
      </c>
      <c r="O19" s="32">
        <f t="shared" ref="O19:P19" si="27">D19/7</f>
        <v>2.8571428571428572</v>
      </c>
      <c r="P19" s="32">
        <f t="shared" si="27"/>
        <v>0</v>
      </c>
      <c r="Q19" s="27">
        <f t="shared" si="8"/>
        <v>65</v>
      </c>
      <c r="R19" s="27"/>
      <c r="S19" s="33">
        <v>0.34862385321100903</v>
      </c>
      <c r="T19" s="26">
        <v>64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36.17</v>
      </c>
      <c r="Z19" s="26">
        <v>1</v>
      </c>
      <c r="AA19" s="26" t="s">
        <v>250</v>
      </c>
      <c r="AB19" s="38">
        <f t="shared" si="11"/>
        <v>-0.48</v>
      </c>
      <c r="AC19" s="39">
        <v>0.12382060185185184</v>
      </c>
      <c r="AD19" s="37">
        <f t="shared" si="12"/>
        <v>-2.3773555555555554</v>
      </c>
      <c r="AE19" s="37">
        <v>-9.02</v>
      </c>
      <c r="AF19" s="37">
        <v>-4.4210275000000001</v>
      </c>
      <c r="AG19" s="37">
        <v>0</v>
      </c>
    </row>
    <row r="20" spans="1:33" ht="15.75" customHeight="1" x14ac:dyDescent="0.2">
      <c r="A20" s="26" t="s">
        <v>65</v>
      </c>
      <c r="B20" s="26" t="s">
        <v>721</v>
      </c>
      <c r="C20" s="14">
        <f t="shared" si="4"/>
        <v>20.497499999999999</v>
      </c>
      <c r="D20" s="27">
        <v>4</v>
      </c>
      <c r="E20" s="27">
        <v>1</v>
      </c>
      <c r="F20" s="30">
        <v>81.99</v>
      </c>
      <c r="G20" s="28">
        <v>-4.87</v>
      </c>
      <c r="H20" s="29">
        <f t="shared" si="1"/>
        <v>5.9397487498475426E-2</v>
      </c>
      <c r="I20" s="29">
        <f t="shared" si="2"/>
        <v>0.12906353078288663</v>
      </c>
      <c r="J20" s="30">
        <f t="shared" si="5"/>
        <v>10.581918888888874</v>
      </c>
      <c r="K20" s="30">
        <f t="shared" si="3"/>
        <v>2.6454797222222184</v>
      </c>
      <c r="L20" s="27">
        <v>36</v>
      </c>
      <c r="M20" s="31">
        <f t="shared" si="6"/>
        <v>0.1111111111111111</v>
      </c>
      <c r="N20" s="27">
        <v>181</v>
      </c>
      <c r="O20" s="32">
        <f t="shared" ref="O20:P20" si="28">D20/7</f>
        <v>0.5714285714285714</v>
      </c>
      <c r="P20" s="32">
        <f t="shared" si="28"/>
        <v>0.14285714285714285</v>
      </c>
      <c r="Q20" s="27">
        <f t="shared" si="8"/>
        <v>253</v>
      </c>
      <c r="R20" s="27"/>
      <c r="S20" s="33">
        <v>0.659574468085106</v>
      </c>
      <c r="T20" s="26">
        <v>64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4.87</v>
      </c>
      <c r="Z20" s="26">
        <v>1</v>
      </c>
      <c r="AA20" s="26" t="s">
        <v>250</v>
      </c>
      <c r="AB20" s="38">
        <f t="shared" si="11"/>
        <v>-0.48</v>
      </c>
      <c r="AC20" s="39">
        <v>0.12382060185185184</v>
      </c>
      <c r="AD20" s="37">
        <f t="shared" si="12"/>
        <v>-0.47547111111111107</v>
      </c>
      <c r="AE20" s="37">
        <v>-9.02</v>
      </c>
      <c r="AF20" s="37">
        <v>-4.4210275000000001</v>
      </c>
      <c r="AG20" s="37">
        <v>0</v>
      </c>
    </row>
    <row r="21" spans="1:33" ht="15.75" customHeight="1" x14ac:dyDescent="0.2">
      <c r="A21" s="26" t="s">
        <v>66</v>
      </c>
      <c r="B21" s="26" t="s">
        <v>722</v>
      </c>
      <c r="C21" s="14">
        <f t="shared" si="4"/>
        <v>24.87</v>
      </c>
      <c r="D21" s="27">
        <v>3</v>
      </c>
      <c r="E21" s="27">
        <v>0</v>
      </c>
      <c r="F21" s="30">
        <v>74.61</v>
      </c>
      <c r="G21" s="28">
        <v>-43.569999999999993</v>
      </c>
      <c r="H21" s="29">
        <f t="shared" si="1"/>
        <v>0.58396997721485044</v>
      </c>
      <c r="I21" s="29">
        <f t="shared" si="2"/>
        <v>-0.27920098959031403</v>
      </c>
      <c r="J21" s="30">
        <f t="shared" si="5"/>
        <v>-20.831185833333329</v>
      </c>
      <c r="K21" s="30">
        <f t="shared" si="3"/>
        <v>-6.9437286111111094</v>
      </c>
      <c r="L21" s="27">
        <v>44</v>
      </c>
      <c r="M21" s="31">
        <f t="shared" si="6"/>
        <v>6.8181818181818177E-2</v>
      </c>
      <c r="N21" s="27">
        <v>177</v>
      </c>
      <c r="O21" s="32">
        <f t="shared" ref="O21:P21" si="29">D21/7</f>
        <v>0.42857142857142855</v>
      </c>
      <c r="P21" s="32">
        <f t="shared" si="29"/>
        <v>0</v>
      </c>
      <c r="Q21" s="27">
        <f t="shared" si="8"/>
        <v>413</v>
      </c>
      <c r="R21" s="27"/>
      <c r="S21" s="33">
        <v>0.31088082901554398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0.33333333333333331</v>
      </c>
      <c r="Y21" s="37">
        <f t="shared" si="10"/>
        <v>14.523333333333332</v>
      </c>
      <c r="Z21" s="26">
        <v>2</v>
      </c>
      <c r="AA21" s="26" t="s">
        <v>250</v>
      </c>
      <c r="AB21" s="38">
        <f t="shared" si="11"/>
        <v>-0.48</v>
      </c>
      <c r="AC21" s="39">
        <v>0.12382060185185184</v>
      </c>
      <c r="AD21" s="37">
        <f t="shared" si="12"/>
        <v>-0.35660333333333327</v>
      </c>
      <c r="AE21" s="37">
        <v>-9.02</v>
      </c>
      <c r="AF21" s="37">
        <v>-4.4210275000000001</v>
      </c>
      <c r="AG21" s="37">
        <v>0</v>
      </c>
    </row>
    <row r="22" spans="1:33" ht="15.75" customHeight="1" x14ac:dyDescent="0.2">
      <c r="A22" s="26" t="s">
        <v>67</v>
      </c>
      <c r="B22" s="26" t="s">
        <v>105</v>
      </c>
      <c r="C22" s="14">
        <f t="shared" si="4"/>
        <v>24.897058823529413</v>
      </c>
      <c r="D22" s="27">
        <v>17</v>
      </c>
      <c r="E22" s="27">
        <v>0</v>
      </c>
      <c r="F22" s="28">
        <v>423.25</v>
      </c>
      <c r="G22" s="28">
        <v>-36.17</v>
      </c>
      <c r="H22" s="29">
        <f t="shared" si="1"/>
        <v>8.5457767277023033E-2</v>
      </c>
      <c r="I22" s="29">
        <f t="shared" si="2"/>
        <v>0.21990379274135322</v>
      </c>
      <c r="J22" s="30">
        <f t="shared" si="5"/>
        <v>93.074280277777746</v>
      </c>
      <c r="K22" s="30">
        <f t="shared" si="3"/>
        <v>5.4749576633986905</v>
      </c>
      <c r="L22" s="27">
        <v>77</v>
      </c>
      <c r="M22" s="31">
        <f t="shared" si="6"/>
        <v>0.22077922077922077</v>
      </c>
      <c r="N22" s="27">
        <v>162</v>
      </c>
      <c r="O22" s="32">
        <f t="shared" ref="O22:P22" si="30">D22/7</f>
        <v>2.4285714285714284</v>
      </c>
      <c r="P22" s="32">
        <f t="shared" si="30"/>
        <v>0</v>
      </c>
      <c r="Q22" s="27">
        <f t="shared" si="8"/>
        <v>66</v>
      </c>
      <c r="R22" s="27"/>
      <c r="S22" s="33">
        <v>0.49729729729729699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5.8823529411764705E-2</v>
      </c>
      <c r="Y22" s="37">
        <f t="shared" si="10"/>
        <v>18.085000000000001</v>
      </c>
      <c r="Z22" s="26">
        <v>1</v>
      </c>
      <c r="AA22" s="26" t="s">
        <v>250</v>
      </c>
      <c r="AB22" s="38">
        <f t="shared" si="11"/>
        <v>-0.48</v>
      </c>
      <c r="AC22" s="39">
        <v>0.12382060185185184</v>
      </c>
      <c r="AD22" s="37">
        <f t="shared" si="12"/>
        <v>-2.0207522222222218</v>
      </c>
      <c r="AE22" s="37">
        <v>-9.02</v>
      </c>
      <c r="AF22" s="37">
        <v>-4.4210275000000001</v>
      </c>
      <c r="AG22" s="37">
        <v>0</v>
      </c>
    </row>
    <row r="23" spans="1:33" ht="15.75" customHeight="1" x14ac:dyDescent="0.2">
      <c r="A23" s="26" t="s">
        <v>68</v>
      </c>
      <c r="B23" s="26" t="s">
        <v>723</v>
      </c>
      <c r="C23" s="14">
        <f t="shared" si="4"/>
        <v>22.994000000000003</v>
      </c>
      <c r="D23" s="27">
        <v>15</v>
      </c>
      <c r="E23" s="27">
        <v>0</v>
      </c>
      <c r="F23" s="30">
        <v>344.91</v>
      </c>
      <c r="G23" s="28">
        <v>-36.700000000000003</v>
      </c>
      <c r="H23" s="29">
        <f t="shared" si="1"/>
        <v>0.1064045693079354</v>
      </c>
      <c r="I23" s="29">
        <f t="shared" si="2"/>
        <v>0.15388092787490457</v>
      </c>
      <c r="J23" s="30">
        <f t="shared" si="5"/>
        <v>53.075070833333342</v>
      </c>
      <c r="K23" s="30">
        <f t="shared" si="3"/>
        <v>3.5383380555555561</v>
      </c>
      <c r="L23" s="27">
        <v>91</v>
      </c>
      <c r="M23" s="31">
        <f t="shared" si="6"/>
        <v>0.16483516483516483</v>
      </c>
      <c r="N23" s="27">
        <v>155</v>
      </c>
      <c r="O23" s="32">
        <f t="shared" ref="O23:P23" si="31">D23/7</f>
        <v>2.1428571428571428</v>
      </c>
      <c r="P23" s="32">
        <f t="shared" si="31"/>
        <v>0</v>
      </c>
      <c r="Q23" s="27">
        <f t="shared" si="8"/>
        <v>72</v>
      </c>
      <c r="R23" s="27"/>
      <c r="S23" s="33">
        <v>0.54945054945054905</v>
      </c>
      <c r="T23" s="26">
        <v>64</v>
      </c>
      <c r="U23" s="34" t="s">
        <v>34</v>
      </c>
      <c r="V23" s="35" t="s">
        <v>34</v>
      </c>
      <c r="W23" s="26">
        <v>3</v>
      </c>
      <c r="X23" s="36">
        <f t="shared" si="9"/>
        <v>0.2</v>
      </c>
      <c r="Y23" s="37">
        <f t="shared" si="10"/>
        <v>7.3400000000000007</v>
      </c>
      <c r="Z23" s="26">
        <v>2</v>
      </c>
      <c r="AA23" s="26" t="s">
        <v>250</v>
      </c>
      <c r="AB23" s="38">
        <f t="shared" si="11"/>
        <v>-0.48</v>
      </c>
      <c r="AC23" s="39">
        <v>0.12382060185185184</v>
      </c>
      <c r="AD23" s="37">
        <f t="shared" si="12"/>
        <v>-1.7830166666666665</v>
      </c>
      <c r="AE23" s="37">
        <v>-9.02</v>
      </c>
      <c r="AF23" s="37">
        <v>-4.4210275000000001</v>
      </c>
      <c r="AG23" s="37">
        <v>0</v>
      </c>
    </row>
    <row r="24" spans="1:33" ht="15.75" customHeight="1" x14ac:dyDescent="0.2">
      <c r="A24" s="26" t="s">
        <v>71</v>
      </c>
      <c r="B24" s="26" t="s">
        <v>724</v>
      </c>
      <c r="C24" s="14">
        <f t="shared" si="4"/>
        <v>20.220769230769232</v>
      </c>
      <c r="D24" s="27">
        <v>13</v>
      </c>
      <c r="E24" s="27">
        <v>0</v>
      </c>
      <c r="F24" s="30">
        <v>262.87</v>
      </c>
      <c r="G24" s="30">
        <v>-36.42</v>
      </c>
      <c r="H24" s="29">
        <f t="shared" si="1"/>
        <v>0.13854757104272075</v>
      </c>
      <c r="I24" s="29">
        <f t="shared" si="2"/>
        <v>4.0859974089431657E-2</v>
      </c>
      <c r="J24" s="30">
        <f t="shared" si="5"/>
        <v>10.7408613888889</v>
      </c>
      <c r="K24" s="30">
        <f t="shared" si="3"/>
        <v>0.82622010683760772</v>
      </c>
      <c r="L24" s="27">
        <v>95</v>
      </c>
      <c r="M24" s="31">
        <f t="shared" si="6"/>
        <v>0.1368421052631579</v>
      </c>
      <c r="N24" s="27">
        <v>152</v>
      </c>
      <c r="O24" s="32">
        <f t="shared" ref="O24:P24" si="32">D24/7</f>
        <v>1.8571428571428572</v>
      </c>
      <c r="P24" s="32">
        <f t="shared" si="32"/>
        <v>0</v>
      </c>
      <c r="Q24" s="27">
        <f t="shared" si="8"/>
        <v>81</v>
      </c>
      <c r="R24" s="27"/>
      <c r="S24" s="33">
        <v>0.75801749271136998</v>
      </c>
      <c r="T24" s="26">
        <v>64</v>
      </c>
      <c r="U24" s="34" t="s">
        <v>34</v>
      </c>
      <c r="V24" s="35" t="s">
        <v>34</v>
      </c>
      <c r="W24" s="26">
        <v>2</v>
      </c>
      <c r="X24" s="36">
        <f t="shared" si="9"/>
        <v>0.15384615384615385</v>
      </c>
      <c r="Y24" s="37">
        <f t="shared" si="10"/>
        <v>12.14</v>
      </c>
      <c r="Z24" s="26">
        <v>1</v>
      </c>
      <c r="AA24" s="26" t="s">
        <v>250</v>
      </c>
      <c r="AB24" s="38">
        <f t="shared" si="11"/>
        <v>-0.48</v>
      </c>
      <c r="AC24" s="39">
        <v>0.12382060185185184</v>
      </c>
      <c r="AD24" s="37">
        <f t="shared" si="12"/>
        <v>-1.5452811111111109</v>
      </c>
      <c r="AE24" s="37">
        <v>-9.02</v>
      </c>
      <c r="AF24" s="37">
        <v>-4.4210275000000001</v>
      </c>
      <c r="AG24" s="37">
        <v>0</v>
      </c>
    </row>
    <row r="25" spans="1:33" ht="15.75" customHeight="1" x14ac:dyDescent="0.2">
      <c r="A25" s="40" t="s">
        <v>73</v>
      </c>
      <c r="B25" s="26" t="s">
        <v>725</v>
      </c>
      <c r="C25" s="14">
        <f t="shared" si="4"/>
        <v>19.989999999999998</v>
      </c>
      <c r="D25" s="15">
        <v>11</v>
      </c>
      <c r="E25" s="15">
        <v>0</v>
      </c>
      <c r="F25" s="16">
        <v>219.89</v>
      </c>
      <c r="G25" s="16">
        <v>-39.200000000000003</v>
      </c>
      <c r="H25" s="29">
        <f t="shared" si="1"/>
        <v>0.17827095365864754</v>
      </c>
      <c r="I25" s="29">
        <f t="shared" si="2"/>
        <v>-6.5534838126133687E-3</v>
      </c>
      <c r="J25" s="30">
        <f t="shared" si="5"/>
        <v>-1.4410455555555535</v>
      </c>
      <c r="K25" s="30">
        <f t="shared" si="3"/>
        <v>-0.13100414141414121</v>
      </c>
      <c r="L25" s="15">
        <v>111</v>
      </c>
      <c r="M25" s="31">
        <f t="shared" si="6"/>
        <v>9.90990990990991E-2</v>
      </c>
      <c r="N25" s="15">
        <v>139</v>
      </c>
      <c r="O25" s="32">
        <f t="shared" ref="O25:P25" si="33">D25/7</f>
        <v>1.5714285714285714</v>
      </c>
      <c r="P25" s="32">
        <f t="shared" si="33"/>
        <v>0</v>
      </c>
      <c r="Q25" s="27">
        <f t="shared" si="8"/>
        <v>88</v>
      </c>
      <c r="R25" s="27"/>
      <c r="S25" s="41">
        <v>0.59287054409005624</v>
      </c>
      <c r="T25" s="26">
        <v>64</v>
      </c>
      <c r="U25" s="34" t="s">
        <v>34</v>
      </c>
      <c r="V25" s="35" t="s">
        <v>34</v>
      </c>
      <c r="W25" s="40">
        <v>2</v>
      </c>
      <c r="X25" s="36">
        <f t="shared" si="9"/>
        <v>0.18181818181818182</v>
      </c>
      <c r="Y25" s="37">
        <f t="shared" si="10"/>
        <v>19.600000000000001</v>
      </c>
      <c r="Z25" s="40">
        <v>0</v>
      </c>
      <c r="AA25" s="26" t="s">
        <v>250</v>
      </c>
      <c r="AB25" s="38">
        <f t="shared" si="11"/>
        <v>-0.48</v>
      </c>
      <c r="AC25" s="39">
        <v>0.12382060185185184</v>
      </c>
      <c r="AD25" s="37">
        <f t="shared" si="12"/>
        <v>-1.3075455555555555</v>
      </c>
      <c r="AE25" s="42">
        <v>-9.02</v>
      </c>
      <c r="AF25" s="42">
        <v>-4.42</v>
      </c>
      <c r="AG25" s="42">
        <v>0</v>
      </c>
    </row>
    <row r="26" spans="1:33" ht="15.75" customHeight="1" x14ac:dyDescent="0.2">
      <c r="A26" s="40" t="s">
        <v>75</v>
      </c>
      <c r="B26" s="40" t="s">
        <v>105</v>
      </c>
      <c r="C26" s="14">
        <f t="shared" si="4"/>
        <v>18.70428571428571</v>
      </c>
      <c r="D26" s="15">
        <v>28</v>
      </c>
      <c r="E26" s="15">
        <v>0</v>
      </c>
      <c r="F26" s="16">
        <v>523.71999999999991</v>
      </c>
      <c r="G26" s="16">
        <v>-39.849999999999987</v>
      </c>
      <c r="H26" s="29">
        <f t="shared" si="1"/>
        <v>7.6090277247384083E-2</v>
      </c>
      <c r="I26" s="29">
        <f t="shared" si="2"/>
        <v>2.7562308527881673E-2</v>
      </c>
      <c r="J26" s="30">
        <f t="shared" si="5"/>
        <v>14.434932222222187</v>
      </c>
      <c r="K26" s="30">
        <f t="shared" si="3"/>
        <v>0.51553329365079237</v>
      </c>
      <c r="L26" s="15">
        <v>121</v>
      </c>
      <c r="M26" s="31">
        <f t="shared" si="6"/>
        <v>0.23140495867768596</v>
      </c>
      <c r="N26" s="15">
        <v>117</v>
      </c>
      <c r="O26" s="32">
        <f t="shared" ref="O26:P26" si="34">D26/7</f>
        <v>4</v>
      </c>
      <c r="P26" s="32">
        <f t="shared" si="34"/>
        <v>0</v>
      </c>
      <c r="Q26" s="27">
        <f t="shared" si="8"/>
        <v>29</v>
      </c>
      <c r="R26" s="27"/>
      <c r="S26" s="41">
        <v>0.79684418145956604</v>
      </c>
      <c r="T26" s="26">
        <v>64</v>
      </c>
      <c r="U26" s="34" t="s">
        <v>34</v>
      </c>
      <c r="V26" s="35" t="s">
        <v>34</v>
      </c>
      <c r="W26" s="40">
        <v>2</v>
      </c>
      <c r="X26" s="36">
        <f t="shared" si="9"/>
        <v>7.1428571428571425E-2</v>
      </c>
      <c r="Y26" s="37">
        <f t="shared" si="10"/>
        <v>9.9624999999999968</v>
      </c>
      <c r="Z26" s="40">
        <v>2</v>
      </c>
      <c r="AA26" s="26" t="s">
        <v>250</v>
      </c>
      <c r="AB26" s="38">
        <f t="shared" si="11"/>
        <v>-0.48</v>
      </c>
      <c r="AC26" s="40">
        <v>0.12382060185185184</v>
      </c>
      <c r="AD26" s="37">
        <f t="shared" si="12"/>
        <v>-3.3282977777777774</v>
      </c>
      <c r="AE26" s="42">
        <v>-9.42</v>
      </c>
      <c r="AF26" s="42">
        <v>-4.4210275000000001</v>
      </c>
      <c r="AG26" s="42">
        <v>0</v>
      </c>
    </row>
    <row r="27" spans="1:33" ht="15.75" customHeight="1" x14ac:dyDescent="0.2">
      <c r="A27" s="40" t="s">
        <v>77</v>
      </c>
      <c r="B27" s="40" t="s">
        <v>105</v>
      </c>
      <c r="C27" s="14">
        <f t="shared" si="4"/>
        <v>17.990000000000002</v>
      </c>
      <c r="D27" s="15">
        <v>21</v>
      </c>
      <c r="E27" s="15">
        <v>0</v>
      </c>
      <c r="F27" s="16">
        <v>377.79</v>
      </c>
      <c r="G27" s="16">
        <v>-31.71</v>
      </c>
      <c r="H27" s="29">
        <f t="shared" si="1"/>
        <v>8.3935519733185096E-2</v>
      </c>
      <c r="I27" s="29">
        <f t="shared" si="2"/>
        <v>-9.9163578531281382E-3</v>
      </c>
      <c r="J27" s="30">
        <f t="shared" si="5"/>
        <v>-3.7463008333332795</v>
      </c>
      <c r="K27" s="30">
        <f t="shared" si="3"/>
        <v>-0.17839527777777522</v>
      </c>
      <c r="L27" s="15">
        <v>92</v>
      </c>
      <c r="M27" s="31">
        <f t="shared" si="6"/>
        <v>0.22826086956521738</v>
      </c>
      <c r="N27" s="15">
        <v>89</v>
      </c>
      <c r="O27" s="32">
        <f t="shared" ref="O27:P27" si="35">D27/7</f>
        <v>3</v>
      </c>
      <c r="P27" s="32">
        <f t="shared" si="35"/>
        <v>0</v>
      </c>
      <c r="Q27" s="27">
        <f t="shared" si="8"/>
        <v>29</v>
      </c>
      <c r="R27" s="27"/>
      <c r="S27" s="41">
        <v>1.1553610503282279</v>
      </c>
      <c r="T27" s="26">
        <v>64</v>
      </c>
      <c r="U27" s="34" t="s">
        <v>34</v>
      </c>
      <c r="V27" s="35" t="s">
        <v>34</v>
      </c>
      <c r="W27" s="40">
        <v>2</v>
      </c>
      <c r="X27" s="36">
        <f t="shared" si="9"/>
        <v>9.5238095238095233E-2</v>
      </c>
      <c r="Y27" s="37">
        <f t="shared" si="10"/>
        <v>7.9275000000000002</v>
      </c>
      <c r="Z27" s="40">
        <v>2</v>
      </c>
      <c r="AA27" s="26" t="s">
        <v>250</v>
      </c>
      <c r="AB27" s="38">
        <f t="shared" si="11"/>
        <v>-0.48</v>
      </c>
      <c r="AC27" s="39">
        <v>0.12382060185185184</v>
      </c>
      <c r="AD27" s="37">
        <f t="shared" si="12"/>
        <v>-2.496223333333333</v>
      </c>
      <c r="AE27" s="42">
        <v>-9.42</v>
      </c>
      <c r="AF27" s="42">
        <v>-4.4210275000000001</v>
      </c>
      <c r="AG27" s="42">
        <v>0</v>
      </c>
    </row>
    <row r="28" spans="1:33" ht="15.75" customHeight="1" x14ac:dyDescent="0.2">
      <c r="A28" s="40" t="s">
        <v>79</v>
      </c>
      <c r="B28" s="40" t="s">
        <v>676</v>
      </c>
      <c r="C28" s="14">
        <f t="shared" si="4"/>
        <v>17.090499999999995</v>
      </c>
      <c r="D28" s="15">
        <v>20</v>
      </c>
      <c r="E28" s="15">
        <v>1</v>
      </c>
      <c r="F28" s="16">
        <v>341.80999999999989</v>
      </c>
      <c r="G28" s="16">
        <v>-26.78</v>
      </c>
      <c r="H28" s="29">
        <f t="shared" si="1"/>
        <v>7.8347620022819725E-2</v>
      </c>
      <c r="I28" s="29">
        <f t="shared" si="2"/>
        <v>-4.5169554885918041E-2</v>
      </c>
      <c r="J28" s="30">
        <f t="shared" si="5"/>
        <v>-15.43940555555564</v>
      </c>
      <c r="K28" s="30">
        <f t="shared" si="3"/>
        <v>-0.77197027777778193</v>
      </c>
      <c r="L28" s="15">
        <v>73</v>
      </c>
      <c r="M28" s="31">
        <f t="shared" si="6"/>
        <v>0.27397260273972601</v>
      </c>
      <c r="N28" s="15">
        <v>72</v>
      </c>
      <c r="O28" s="32">
        <f t="shared" ref="O28:P28" si="36">D28/7</f>
        <v>2.8571428571428572</v>
      </c>
      <c r="P28" s="32">
        <f t="shared" si="36"/>
        <v>0.14285714285714285</v>
      </c>
      <c r="Q28" s="27">
        <f t="shared" si="8"/>
        <v>24</v>
      </c>
      <c r="R28" s="27"/>
      <c r="S28" s="41">
        <v>1.3879518072289161</v>
      </c>
      <c r="T28" s="40" t="s">
        <v>34</v>
      </c>
      <c r="U28" s="22" t="s">
        <v>34</v>
      </c>
      <c r="V28" s="1" t="s">
        <v>726</v>
      </c>
      <c r="W28" s="40">
        <v>6</v>
      </c>
      <c r="X28" s="36">
        <f t="shared" si="9"/>
        <v>0.3</v>
      </c>
      <c r="Y28" s="37">
        <f t="shared" si="10"/>
        <v>3.8257142857142861</v>
      </c>
      <c r="Z28" s="40">
        <v>1</v>
      </c>
      <c r="AA28" s="26" t="s">
        <v>250</v>
      </c>
      <c r="AB28" s="38">
        <f t="shared" si="11"/>
        <v>-0.48</v>
      </c>
      <c r="AC28" s="39">
        <v>0.12382060185185184</v>
      </c>
      <c r="AD28" s="37">
        <f t="shared" si="12"/>
        <v>-2.3773555555555554</v>
      </c>
      <c r="AE28" s="42">
        <v>-9.42</v>
      </c>
      <c r="AF28" s="42">
        <v>-4.4210275000000001</v>
      </c>
      <c r="AG28" s="42">
        <v>0</v>
      </c>
    </row>
    <row r="29" spans="1:33" ht="15.75" customHeight="1" x14ac:dyDescent="0.2">
      <c r="A29" s="26" t="s">
        <v>82</v>
      </c>
      <c r="B29" s="26" t="s">
        <v>727</v>
      </c>
      <c r="C29" s="14">
        <f t="shared" si="4"/>
        <v>17.04315789473684</v>
      </c>
      <c r="D29" s="27">
        <v>19</v>
      </c>
      <c r="E29" s="27">
        <v>0</v>
      </c>
      <c r="F29" s="30">
        <v>323.82</v>
      </c>
      <c r="G29" s="30">
        <v>-13.8</v>
      </c>
      <c r="H29" s="29">
        <f t="shared" si="1"/>
        <v>4.2616268297202151E-2</v>
      </c>
      <c r="I29" s="29">
        <f t="shared" si="2"/>
        <v>-1.1707152979364388E-2</v>
      </c>
      <c r="J29" s="30">
        <f t="shared" si="5"/>
        <v>-3.7910102777777763</v>
      </c>
      <c r="K29" s="30">
        <f t="shared" si="3"/>
        <v>-0.19952685672514611</v>
      </c>
      <c r="L29" s="27">
        <v>97</v>
      </c>
      <c r="M29" s="31">
        <f t="shared" si="6"/>
        <v>0.19587628865979381</v>
      </c>
      <c r="N29" s="15">
        <v>54</v>
      </c>
      <c r="O29" s="32">
        <f t="shared" ref="O29:P29" si="37">D29/7</f>
        <v>2.7142857142857144</v>
      </c>
      <c r="P29" s="32">
        <f t="shared" si="37"/>
        <v>0</v>
      </c>
      <c r="Q29" s="27">
        <f t="shared" si="8"/>
        <v>19</v>
      </c>
      <c r="R29" s="27"/>
      <c r="S29" s="41">
        <v>1.705426356589147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6.9</v>
      </c>
      <c r="Z29" s="40">
        <v>2</v>
      </c>
      <c r="AA29" s="26" t="s">
        <v>250</v>
      </c>
      <c r="AB29" s="38">
        <f t="shared" si="11"/>
        <v>-0.48</v>
      </c>
      <c r="AC29" s="39">
        <v>0.12382060185185184</v>
      </c>
      <c r="AD29" s="37">
        <f t="shared" si="12"/>
        <v>-2.2584877777777774</v>
      </c>
      <c r="AE29" s="37">
        <v>-9.42</v>
      </c>
      <c r="AF29" s="42">
        <v>-4.4210275000000001</v>
      </c>
      <c r="AG29" s="37">
        <v>0</v>
      </c>
    </row>
    <row r="30" spans="1:33" ht="15.75" customHeight="1" x14ac:dyDescent="0.2">
      <c r="A30" s="40" t="s">
        <v>84</v>
      </c>
      <c r="B30" s="26" t="s">
        <v>511</v>
      </c>
      <c r="C30" s="14">
        <f t="shared" si="4"/>
        <v>18.990000000000002</v>
      </c>
      <c r="D30" s="15">
        <v>18</v>
      </c>
      <c r="E30" s="15">
        <v>0</v>
      </c>
      <c r="F30" s="16">
        <v>341.82000000000005</v>
      </c>
      <c r="G30" s="16">
        <v>-1.2</v>
      </c>
      <c r="H30" s="29">
        <f t="shared" si="1"/>
        <v>3.5106196243636996E-3</v>
      </c>
      <c r="I30" s="29">
        <f t="shared" si="2"/>
        <v>9.5486072896553767E-2</v>
      </c>
      <c r="J30" s="30">
        <f t="shared" si="5"/>
        <v>32.639049437500013</v>
      </c>
      <c r="K30" s="30">
        <f t="shared" si="3"/>
        <v>1.8132805243055563</v>
      </c>
      <c r="L30" s="15">
        <v>81</v>
      </c>
      <c r="M30" s="31">
        <f t="shared" si="6"/>
        <v>0.22222222222222221</v>
      </c>
      <c r="N30" s="15">
        <v>32</v>
      </c>
      <c r="O30" s="32">
        <f t="shared" ref="O30:P30" si="38">D30/7</f>
        <v>2.5714285714285716</v>
      </c>
      <c r="P30" s="32">
        <f t="shared" si="38"/>
        <v>0</v>
      </c>
      <c r="Q30" s="27">
        <f t="shared" si="8"/>
        <v>12</v>
      </c>
      <c r="R30" s="27"/>
      <c r="S30" s="41">
        <v>1.208333333333333</v>
      </c>
      <c r="T30" s="26">
        <v>54</v>
      </c>
      <c r="U30" s="34" t="s">
        <v>34</v>
      </c>
      <c r="V30" s="35" t="s">
        <v>34</v>
      </c>
      <c r="W30" s="40">
        <v>1</v>
      </c>
      <c r="X30" s="36">
        <f t="shared" si="9"/>
        <v>5.5555555555555552E-2</v>
      </c>
      <c r="Y30" s="37">
        <f t="shared" si="10"/>
        <v>1.2</v>
      </c>
      <c r="Z30" s="40">
        <v>0</v>
      </c>
      <c r="AA30" s="26" t="s">
        <v>250</v>
      </c>
      <c r="AB30" s="38">
        <f t="shared" si="11"/>
        <v>-0.48</v>
      </c>
      <c r="AC30" s="39">
        <v>0.12382060185185184</v>
      </c>
      <c r="AD30" s="37">
        <f t="shared" si="12"/>
        <v>-2.1396199999999999</v>
      </c>
      <c r="AE30" s="42">
        <v>-9.42</v>
      </c>
      <c r="AF30" s="42">
        <v>-4.7226850312500002</v>
      </c>
      <c r="AG30" s="42">
        <v>0</v>
      </c>
    </row>
    <row r="31" spans="1:33" ht="15.75" customHeight="1" x14ac:dyDescent="0.2">
      <c r="A31" s="40" t="s">
        <v>87</v>
      </c>
      <c r="B31" s="40" t="s">
        <v>728</v>
      </c>
      <c r="C31" s="14">
        <f t="shared" si="4"/>
        <v>19.092727272727274</v>
      </c>
      <c r="D31" s="15">
        <v>22</v>
      </c>
      <c r="E31" s="15">
        <v>0</v>
      </c>
      <c r="F31" s="16">
        <v>420.04</v>
      </c>
      <c r="G31" s="43">
        <v>-5.85</v>
      </c>
      <c r="H31" s="29">
        <f t="shared" si="1"/>
        <v>1.3927245024283399E-2</v>
      </c>
      <c r="I31" s="29">
        <f t="shared" si="2"/>
        <v>8.9110175700859079E-2</v>
      </c>
      <c r="J31" s="30">
        <f t="shared" si="5"/>
        <v>37.429838201388847</v>
      </c>
      <c r="K31" s="30">
        <f t="shared" si="3"/>
        <v>1.7013562818813113</v>
      </c>
      <c r="L31" s="15">
        <v>91</v>
      </c>
      <c r="M31" s="31">
        <f t="shared" si="6"/>
        <v>0.24175824175824176</v>
      </c>
      <c r="N31" s="15">
        <v>7</v>
      </c>
      <c r="O31" s="32">
        <f t="shared" ref="O31:P31" si="39">D31/7</f>
        <v>3.1428571428571428</v>
      </c>
      <c r="P31" s="32">
        <f t="shared" si="39"/>
        <v>0</v>
      </c>
      <c r="Q31" s="27">
        <f t="shared" si="8"/>
        <v>2</v>
      </c>
      <c r="R31" s="27"/>
      <c r="S31" s="41">
        <v>1.5264187866927501</v>
      </c>
      <c r="T31" s="40">
        <v>54</v>
      </c>
      <c r="U31" s="22" t="s">
        <v>34</v>
      </c>
      <c r="V31" s="1" t="s">
        <v>729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0.12382060185185184</v>
      </c>
      <c r="AD31" s="37">
        <f t="shared" si="12"/>
        <v>-2.615091111111111</v>
      </c>
      <c r="AE31" s="45">
        <v>-9.42</v>
      </c>
      <c r="AF31" s="45">
        <v>-4.7226850312500002</v>
      </c>
      <c r="AG31" s="42">
        <v>0</v>
      </c>
    </row>
    <row r="32" spans="1:33" ht="15.75" customHeight="1" x14ac:dyDescent="0.2">
      <c r="A32" s="40" t="s">
        <v>90</v>
      </c>
      <c r="B32" s="50" t="s">
        <v>76</v>
      </c>
      <c r="C32" s="14">
        <f t="shared" si="4"/>
        <v>24.81</v>
      </c>
      <c r="D32" s="15">
        <v>5</v>
      </c>
      <c r="E32" s="15">
        <v>0</v>
      </c>
      <c r="F32" s="16">
        <v>124.05</v>
      </c>
      <c r="G32" s="16">
        <v>-0.89999999999999991</v>
      </c>
      <c r="H32" s="29">
        <f t="shared" si="1"/>
        <v>7.2551390568319218E-3</v>
      </c>
      <c r="I32" s="29">
        <f t="shared" si="2"/>
        <v>0.26791403429956545</v>
      </c>
      <c r="J32" s="30">
        <f t="shared" si="5"/>
        <v>33.234735954861094</v>
      </c>
      <c r="K32" s="30">
        <f t="shared" si="3"/>
        <v>6.6469471909722184</v>
      </c>
      <c r="L32" s="15">
        <v>78</v>
      </c>
      <c r="M32" s="31">
        <f t="shared" si="6"/>
        <v>6.4102564102564097E-2</v>
      </c>
      <c r="N32" s="15">
        <v>3</v>
      </c>
      <c r="O32" s="32">
        <f t="shared" ref="O32:P32" si="40">D32/7</f>
        <v>0.7142857142857143</v>
      </c>
      <c r="P32" s="32">
        <f t="shared" si="40"/>
        <v>0</v>
      </c>
      <c r="Q32" s="27">
        <f t="shared" si="8"/>
        <v>4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1.788018433179724</v>
      </c>
      <c r="T32" s="40">
        <f ca="1">IFERROR(__xludf.DUMMYFUNCTION("IFERROR(VLOOKUP($B$2,IMPORTRANGE(""https://docs.google.com/spreadsheets/d/1KiWZV1ko8G7lnRucBRBd29jj3Be6ltMfljMDqzOkQmI/edit#gid=1381463014"",""Lookup!A:D""),4,FALSE),"""")"),54)</f>
        <v>54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54 At Factory 50-75 days from Earliest Arrival")</f>
        <v>No Transit, But 54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0.12382060185185184</v>
      </c>
      <c r="AD32" s="37">
        <f t="shared" si="12"/>
        <v>-0.59433888888888886</v>
      </c>
      <c r="AE32" s="42">
        <v>-9.42</v>
      </c>
      <c r="AF32" s="42">
        <v>-4.7226850312500002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Gray &amp; Light Blue - Large 47 x 23 Inch Leather Style Computer Pad for Desk")</f>
        <v>Office Desk Mat, Double Sided Gray &amp; Light Blue - Large 47 x 23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Info!B1:BJ5000""),2,FALSE),"""")"),"B085LLDDPL")</f>
        <v>B085LLDDPL</v>
      </c>
      <c r="B2" s="3" t="s">
        <v>730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16.638452977941178</v>
      </c>
      <c r="D3" s="5">
        <f>SUM(D4:D99767)</f>
        <v>187</v>
      </c>
      <c r="E3" s="5"/>
      <c r="F3" s="6">
        <f t="shared" ref="F3:G3" si="0">SUM(F4:F99767)</f>
        <v>4291.1599999999989</v>
      </c>
      <c r="G3" s="6">
        <f t="shared" si="0"/>
        <v>-6.29</v>
      </c>
      <c r="H3" s="7">
        <f t="shared" ref="H3:H32" si="1">G3/F3*-1</f>
        <v>1.4658041182337646E-3</v>
      </c>
      <c r="I3" s="8">
        <f t="shared" ref="I3:I32" si="2">J3/F3</f>
        <v>0.25503643572507451</v>
      </c>
      <c r="J3" s="6">
        <f>SUM(J4:J99767)</f>
        <v>1094.4021515260104</v>
      </c>
      <c r="K3" s="6">
        <f t="shared" ref="K3:K32" si="3">J3/D3</f>
        <v>5.8524179225989856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</v>
      </c>
      <c r="X3" s="7">
        <f>W3/D3</f>
        <v>5.3475935828877002E-3</v>
      </c>
      <c r="Y3" s="6"/>
      <c r="Z3" s="5"/>
      <c r="AA3" s="5"/>
      <c r="AB3" s="5"/>
      <c r="AC3" s="5"/>
      <c r="AD3" s="6">
        <f>SUM(AD4:AD99767)</f>
        <v>-18.661152753637179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Info!B2:BZ3000""),37,FALSE)),"""")*-1"),-4.72268503125)</f>
        <v>-4.7226850312500002</v>
      </c>
      <c r="AG3" s="6">
        <f>SUM(AG4:AG99767)</f>
        <v>0</v>
      </c>
    </row>
    <row r="4" spans="1:33" x14ac:dyDescent="0.2">
      <c r="A4" s="1" t="s">
        <v>32</v>
      </c>
      <c r="B4" s="1" t="s">
        <v>53</v>
      </c>
      <c r="C4" s="14">
        <f t="shared" ref="C4:C32" si="4">IFERROR(F4/D4," - ")</f>
        <v>24.060833333333331</v>
      </c>
      <c r="D4" s="15">
        <v>12</v>
      </c>
      <c r="E4" s="15">
        <v>0</v>
      </c>
      <c r="F4" s="16">
        <v>288.72999999999996</v>
      </c>
      <c r="G4" s="16">
        <v>0</v>
      </c>
      <c r="H4" s="17">
        <f t="shared" si="1"/>
        <v>0</v>
      </c>
      <c r="I4" s="17">
        <f t="shared" si="2"/>
        <v>0.29456587447060362</v>
      </c>
      <c r="J4" s="16">
        <f t="shared" ref="J4:J32" si="5">F4*0.85+G4+AF4*D4+D4*AE4+AG4+AD4</f>
        <v>85.050004935897377</v>
      </c>
      <c r="K4" s="16">
        <f t="shared" si="3"/>
        <v>7.0875004113247817</v>
      </c>
      <c r="L4" s="15">
        <v>107</v>
      </c>
      <c r="M4" s="18">
        <f t="shared" ref="M4:M32" si="6">IFERROR(D4/L4,"-")</f>
        <v>0.11214953271028037</v>
      </c>
      <c r="N4" s="15">
        <v>116</v>
      </c>
      <c r="O4" s="19">
        <f t="shared" ref="O4:P4" si="7">D4/7</f>
        <v>1.7142857142857142</v>
      </c>
      <c r="P4" s="19">
        <f t="shared" si="7"/>
        <v>0</v>
      </c>
      <c r="Q4" s="15">
        <f t="shared" ref="Q4:Q32" si="8">ROUNDDOWN(N4/(O4+P4),0)</f>
        <v>67</v>
      </c>
      <c r="R4" s="15"/>
      <c r="S4" s="20">
        <v>0.96644295302013405</v>
      </c>
      <c r="T4" s="2">
        <v>300</v>
      </c>
      <c r="U4" s="2" t="s">
        <v>34</v>
      </c>
      <c r="V4" s="21" t="s">
        <v>731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0.10394061053240741</v>
      </c>
      <c r="AD4" s="24">
        <f t="shared" ref="AD4:AD32" si="12">IFERROR(AB4*AC4*D4*2,0)</f>
        <v>-1.1973958333333332</v>
      </c>
      <c r="AE4" s="24">
        <v>-9.02</v>
      </c>
      <c r="AF4" s="24">
        <v>-4.2444249358974355</v>
      </c>
      <c r="AG4" s="24">
        <v>0</v>
      </c>
    </row>
    <row r="5" spans="1:33" ht="15.75" customHeight="1" x14ac:dyDescent="0.2">
      <c r="A5" s="26" t="s">
        <v>35</v>
      </c>
      <c r="B5" s="1" t="s">
        <v>53</v>
      </c>
      <c r="C5" s="14">
        <f t="shared" si="4"/>
        <v>24.699333333333335</v>
      </c>
      <c r="D5" s="27">
        <v>15</v>
      </c>
      <c r="E5" s="27">
        <v>0</v>
      </c>
      <c r="F5" s="28">
        <v>370.49</v>
      </c>
      <c r="G5" s="28">
        <v>0</v>
      </c>
      <c r="H5" s="29">
        <f t="shared" si="1"/>
        <v>0</v>
      </c>
      <c r="I5" s="29">
        <f t="shared" si="2"/>
        <v>0.30891966535942239</v>
      </c>
      <c r="J5" s="30">
        <f t="shared" si="5"/>
        <v>114.45164681901241</v>
      </c>
      <c r="K5" s="30">
        <f t="shared" si="3"/>
        <v>7.6301097879341606</v>
      </c>
      <c r="L5" s="27">
        <v>199</v>
      </c>
      <c r="M5" s="31">
        <f t="shared" si="6"/>
        <v>7.5376884422110546E-2</v>
      </c>
      <c r="N5" s="27">
        <v>103</v>
      </c>
      <c r="O5" s="32">
        <f t="shared" ref="O5:P5" si="13">D5/7</f>
        <v>2.1428571428571428</v>
      </c>
      <c r="P5" s="32">
        <f t="shared" si="13"/>
        <v>0</v>
      </c>
      <c r="Q5" s="27">
        <f t="shared" si="8"/>
        <v>48</v>
      </c>
      <c r="R5" s="27"/>
      <c r="S5" s="33">
        <v>1.4841628959276001</v>
      </c>
      <c r="T5" s="26">
        <v>300</v>
      </c>
      <c r="U5" s="34" t="s">
        <v>34</v>
      </c>
      <c r="V5" s="35" t="s">
        <v>731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0.10406105156431054</v>
      </c>
      <c r="AD5" s="37">
        <f t="shared" si="12"/>
        <v>-1.4984791425260719</v>
      </c>
      <c r="AE5" s="37">
        <v>-9.02</v>
      </c>
      <c r="AF5" s="37">
        <v>-4.2444249358974355</v>
      </c>
      <c r="AG5" s="37">
        <v>0</v>
      </c>
    </row>
    <row r="6" spans="1:33" ht="15.75" customHeight="1" x14ac:dyDescent="0.2">
      <c r="A6" s="26" t="s">
        <v>38</v>
      </c>
      <c r="B6" s="26" t="s">
        <v>732</v>
      </c>
      <c r="C6" s="14">
        <f t="shared" si="4"/>
        <v>22.697647058823524</v>
      </c>
      <c r="D6" s="27">
        <v>17</v>
      </c>
      <c r="E6" s="27">
        <v>0</v>
      </c>
      <c r="F6" s="28">
        <v>385.8599999999999</v>
      </c>
      <c r="G6" s="28">
        <v>0</v>
      </c>
      <c r="H6" s="29">
        <f t="shared" si="1"/>
        <v>0</v>
      </c>
      <c r="I6" s="29">
        <f t="shared" si="2"/>
        <v>0.26120734288564401</v>
      </c>
      <c r="J6" s="30">
        <f t="shared" si="5"/>
        <v>100.78946532585458</v>
      </c>
      <c r="K6" s="30">
        <f t="shared" si="3"/>
        <v>5.9287920779914458</v>
      </c>
      <c r="L6" s="27">
        <v>169</v>
      </c>
      <c r="M6" s="31">
        <f t="shared" si="6"/>
        <v>0.10059171597633136</v>
      </c>
      <c r="N6" s="27">
        <v>85</v>
      </c>
      <c r="O6" s="32">
        <f t="shared" ref="O6:P6" si="14">D6/7</f>
        <v>2.4285714285714284</v>
      </c>
      <c r="P6" s="32">
        <f t="shared" si="14"/>
        <v>0</v>
      </c>
      <c r="Q6" s="27">
        <f t="shared" si="8"/>
        <v>35</v>
      </c>
      <c r="R6" s="27"/>
      <c r="S6" s="33">
        <v>1.83636363636363</v>
      </c>
      <c r="T6" s="26">
        <v>300</v>
      </c>
      <c r="U6" s="34">
        <v>96</v>
      </c>
      <c r="V6" s="35" t="s">
        <v>733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0.10394061053240741</v>
      </c>
      <c r="AD6" s="37">
        <f t="shared" si="12"/>
        <v>-1.6963107638888888</v>
      </c>
      <c r="AE6" s="37">
        <v>-9.02</v>
      </c>
      <c r="AF6" s="37">
        <v>-4.2444249358974355</v>
      </c>
      <c r="AG6" s="37">
        <v>0</v>
      </c>
    </row>
    <row r="7" spans="1:33" ht="15.75" customHeight="1" x14ac:dyDescent="0.2">
      <c r="A7" s="26" t="s">
        <v>41</v>
      </c>
      <c r="B7" s="26" t="s">
        <v>734</v>
      </c>
      <c r="C7" s="14">
        <f t="shared" si="4"/>
        <v>23.86214285714286</v>
      </c>
      <c r="D7" s="27">
        <v>14</v>
      </c>
      <c r="E7" s="27">
        <v>0</v>
      </c>
      <c r="F7" s="28">
        <v>334.07000000000005</v>
      </c>
      <c r="G7" s="28">
        <v>0</v>
      </c>
      <c r="H7" s="29">
        <f t="shared" si="1"/>
        <v>0</v>
      </c>
      <c r="I7" s="29">
        <f t="shared" si="2"/>
        <v>0.28994099767078874</v>
      </c>
      <c r="J7" s="30">
        <f t="shared" si="5"/>
        <v>96.860589091880399</v>
      </c>
      <c r="K7" s="30">
        <f t="shared" si="3"/>
        <v>6.9186135065628855</v>
      </c>
      <c r="L7" s="27">
        <v>121</v>
      </c>
      <c r="M7" s="31">
        <f t="shared" si="6"/>
        <v>0.11570247933884298</v>
      </c>
      <c r="N7" s="27">
        <v>72</v>
      </c>
      <c r="O7" s="32">
        <f t="shared" ref="O7:P7" si="15">D7/7</f>
        <v>2</v>
      </c>
      <c r="P7" s="32">
        <f t="shared" si="15"/>
        <v>0</v>
      </c>
      <c r="Q7" s="27">
        <f t="shared" si="8"/>
        <v>36</v>
      </c>
      <c r="R7" s="27"/>
      <c r="S7" s="33">
        <v>1.22994652406417</v>
      </c>
      <c r="T7" s="26">
        <v>300</v>
      </c>
      <c r="U7" s="34">
        <v>96</v>
      </c>
      <c r="V7" s="35" t="s">
        <v>733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0.10394061053240741</v>
      </c>
      <c r="AD7" s="37">
        <f t="shared" si="12"/>
        <v>-1.3969618055555555</v>
      </c>
      <c r="AE7" s="37">
        <v>-9.02</v>
      </c>
      <c r="AF7" s="37">
        <v>-4.2444249358974355</v>
      </c>
      <c r="AG7" s="37">
        <v>0</v>
      </c>
    </row>
    <row r="8" spans="1:33" ht="15.75" customHeight="1" x14ac:dyDescent="0.2">
      <c r="A8" s="26" t="s">
        <v>43</v>
      </c>
      <c r="B8" s="1" t="s">
        <v>53</v>
      </c>
      <c r="C8" s="14">
        <f t="shared" si="4"/>
        <v>25.891000000000002</v>
      </c>
      <c r="D8" s="27">
        <v>10</v>
      </c>
      <c r="E8" s="27">
        <v>0</v>
      </c>
      <c r="F8" s="28">
        <v>258.91000000000003</v>
      </c>
      <c r="G8" s="28">
        <v>0</v>
      </c>
      <c r="H8" s="29">
        <f t="shared" si="1"/>
        <v>0</v>
      </c>
      <c r="I8" s="29">
        <f t="shared" si="2"/>
        <v>0.33399895770302002</v>
      </c>
      <c r="J8" s="30">
        <f t="shared" si="5"/>
        <v>86.475670138888916</v>
      </c>
      <c r="K8" s="30">
        <f t="shared" si="3"/>
        <v>8.6475670138888923</v>
      </c>
      <c r="L8" s="27">
        <v>98</v>
      </c>
      <c r="M8" s="31">
        <f t="shared" si="6"/>
        <v>0.10204081632653061</v>
      </c>
      <c r="N8" s="27">
        <v>64</v>
      </c>
      <c r="O8" s="32">
        <f t="shared" ref="O8:P8" si="16">D8/7</f>
        <v>1.4285714285714286</v>
      </c>
      <c r="P8" s="32">
        <f t="shared" si="16"/>
        <v>0</v>
      </c>
      <c r="Q8" s="27">
        <f t="shared" si="8"/>
        <v>44</v>
      </c>
      <c r="R8" s="27"/>
      <c r="S8" s="33">
        <v>1.3736263736263701</v>
      </c>
      <c r="T8" s="26">
        <v>204</v>
      </c>
      <c r="U8" s="34">
        <v>96</v>
      </c>
      <c r="V8" s="35" t="s">
        <v>733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0.10394061053240741</v>
      </c>
      <c r="AD8" s="37">
        <f t="shared" si="12"/>
        <v>-0.99782986111111116</v>
      </c>
      <c r="AE8" s="37">
        <v>-9.02</v>
      </c>
      <c r="AF8" s="37">
        <v>-4.24</v>
      </c>
      <c r="AG8" s="37">
        <v>0</v>
      </c>
    </row>
    <row r="9" spans="1:33" ht="15.75" customHeight="1" x14ac:dyDescent="0.2">
      <c r="A9" s="26" t="s">
        <v>45</v>
      </c>
      <c r="B9" s="1" t="s">
        <v>343</v>
      </c>
      <c r="C9" s="14">
        <f t="shared" si="4"/>
        <v>25.787499999999998</v>
      </c>
      <c r="D9" s="27">
        <v>4</v>
      </c>
      <c r="E9" s="27">
        <v>0</v>
      </c>
      <c r="F9" s="28">
        <v>103.14999999999999</v>
      </c>
      <c r="G9" s="28">
        <v>0</v>
      </c>
      <c r="H9" s="29">
        <f t="shared" si="1"/>
        <v>0</v>
      </c>
      <c r="I9" s="29">
        <f t="shared" si="2"/>
        <v>0.32726948908526726</v>
      </c>
      <c r="J9" s="30">
        <f t="shared" si="5"/>
        <v>33.757847799145317</v>
      </c>
      <c r="K9" s="30">
        <f t="shared" si="3"/>
        <v>8.4394619497863292</v>
      </c>
      <c r="L9" s="27">
        <v>85</v>
      </c>
      <c r="M9" s="31">
        <f t="shared" si="6"/>
        <v>4.7058823529411764E-2</v>
      </c>
      <c r="N9" s="27">
        <v>58</v>
      </c>
      <c r="O9" s="32">
        <f t="shared" ref="O9:P9" si="17">D9/7</f>
        <v>0.5714285714285714</v>
      </c>
      <c r="P9" s="32">
        <f t="shared" si="17"/>
        <v>0</v>
      </c>
      <c r="Q9" s="27">
        <f t="shared" si="8"/>
        <v>101</v>
      </c>
      <c r="R9" s="27"/>
      <c r="S9" s="33">
        <v>1.85263157894736</v>
      </c>
      <c r="T9" s="26">
        <v>204</v>
      </c>
      <c r="U9" s="34">
        <v>96</v>
      </c>
      <c r="V9" s="35" t="s">
        <v>735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0.10394061053240741</v>
      </c>
      <c r="AD9" s="37">
        <f t="shared" si="12"/>
        <v>-0.39913194444444444</v>
      </c>
      <c r="AE9" s="37">
        <v>-9.02</v>
      </c>
      <c r="AF9" s="37">
        <v>-4.3601300641025604</v>
      </c>
      <c r="AG9" s="37">
        <v>0</v>
      </c>
    </row>
    <row r="10" spans="1:33" ht="15.75" customHeight="1" x14ac:dyDescent="0.2">
      <c r="A10" s="26" t="s">
        <v>48</v>
      </c>
      <c r="B10" s="1" t="s">
        <v>53</v>
      </c>
      <c r="C10" s="14">
        <f t="shared" si="4"/>
        <v>23.990000000000002</v>
      </c>
      <c r="D10" s="27">
        <v>7</v>
      </c>
      <c r="E10" s="27">
        <v>0</v>
      </c>
      <c r="F10" s="28">
        <v>167.93</v>
      </c>
      <c r="G10" s="28">
        <v>0</v>
      </c>
      <c r="H10" s="29">
        <f t="shared" si="1"/>
        <v>0</v>
      </c>
      <c r="I10" s="29">
        <f t="shared" si="2"/>
        <v>0.28810283242127249</v>
      </c>
      <c r="J10" s="30">
        <f t="shared" si="5"/>
        <v>48.381108648504295</v>
      </c>
      <c r="K10" s="30">
        <f t="shared" si="3"/>
        <v>6.9115869497863276</v>
      </c>
      <c r="L10" s="27">
        <v>68</v>
      </c>
      <c r="M10" s="31">
        <f t="shared" si="6"/>
        <v>0.10294117647058823</v>
      </c>
      <c r="N10" s="27">
        <v>50</v>
      </c>
      <c r="O10" s="32">
        <f t="shared" ref="O10:P10" si="18">D10/7</f>
        <v>1</v>
      </c>
      <c r="P10" s="32">
        <f t="shared" si="18"/>
        <v>0</v>
      </c>
      <c r="Q10" s="27">
        <f t="shared" si="8"/>
        <v>50</v>
      </c>
      <c r="R10" s="27"/>
      <c r="S10" s="33">
        <v>2</v>
      </c>
      <c r="T10" s="26">
        <v>204</v>
      </c>
      <c r="U10" s="34">
        <v>96</v>
      </c>
      <c r="V10" s="35" t="s">
        <v>736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0.10394061053240741</v>
      </c>
      <c r="AD10" s="37">
        <f t="shared" si="12"/>
        <v>-0.69848090277777775</v>
      </c>
      <c r="AE10" s="37">
        <v>-9.02</v>
      </c>
      <c r="AF10" s="37">
        <v>-4.3601300641025604</v>
      </c>
      <c r="AG10" s="37">
        <v>0</v>
      </c>
    </row>
    <row r="11" spans="1:33" ht="15.75" customHeight="1" x14ac:dyDescent="0.2">
      <c r="A11" s="26" t="s">
        <v>50</v>
      </c>
      <c r="B11" s="1" t="s">
        <v>53</v>
      </c>
      <c r="C11" s="14">
        <f t="shared" si="4"/>
        <v>24.975714285714286</v>
      </c>
      <c r="D11" s="27">
        <v>7</v>
      </c>
      <c r="E11" s="27">
        <v>0</v>
      </c>
      <c r="F11" s="28">
        <v>174.83</v>
      </c>
      <c r="G11" s="28">
        <v>0</v>
      </c>
      <c r="H11" s="29">
        <f t="shared" si="1"/>
        <v>0</v>
      </c>
      <c r="I11" s="29">
        <f t="shared" si="2"/>
        <v>0.31027917776413833</v>
      </c>
      <c r="J11" s="30">
        <f t="shared" si="5"/>
        <v>54.246108648504304</v>
      </c>
      <c r="K11" s="30">
        <f t="shared" si="3"/>
        <v>7.749444092643472</v>
      </c>
      <c r="L11" s="27">
        <v>52</v>
      </c>
      <c r="M11" s="31">
        <f t="shared" si="6"/>
        <v>0.13461538461538461</v>
      </c>
      <c r="N11" s="27">
        <v>43</v>
      </c>
      <c r="O11" s="32">
        <f t="shared" ref="O11:P11" si="19">D11/7</f>
        <v>1</v>
      </c>
      <c r="P11" s="32">
        <f t="shared" si="19"/>
        <v>0</v>
      </c>
      <c r="Q11" s="27">
        <f t="shared" si="8"/>
        <v>43</v>
      </c>
      <c r="R11" s="27"/>
      <c r="S11" s="33">
        <v>1.40617577197149</v>
      </c>
      <c r="T11" s="26">
        <v>204</v>
      </c>
      <c r="U11" s="34">
        <v>96</v>
      </c>
      <c r="V11" s="35" t="s">
        <v>736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0.10394061053240741</v>
      </c>
      <c r="AD11" s="37">
        <f t="shared" si="12"/>
        <v>-0.69848090277777775</v>
      </c>
      <c r="AE11" s="37">
        <v>-9.02</v>
      </c>
      <c r="AF11" s="37">
        <v>-4.3601300641025604</v>
      </c>
      <c r="AG11" s="37">
        <v>0</v>
      </c>
    </row>
    <row r="12" spans="1:33" ht="15.75" customHeight="1" x14ac:dyDescent="0.2">
      <c r="A12" s="26" t="s">
        <v>52</v>
      </c>
      <c r="B12" s="1" t="s">
        <v>53</v>
      </c>
      <c r="C12" s="14">
        <f t="shared" si="4"/>
        <v>23.99</v>
      </c>
      <c r="D12" s="27">
        <v>2</v>
      </c>
      <c r="E12" s="27">
        <v>0</v>
      </c>
      <c r="F12" s="28">
        <v>47.98</v>
      </c>
      <c r="G12" s="28">
        <v>0</v>
      </c>
      <c r="H12" s="29">
        <f t="shared" si="1"/>
        <v>0</v>
      </c>
      <c r="I12" s="29">
        <f t="shared" si="2"/>
        <v>0.28810283242127249</v>
      </c>
      <c r="J12" s="30">
        <f t="shared" si="5"/>
        <v>13.823173899572653</v>
      </c>
      <c r="K12" s="30">
        <f t="shared" si="3"/>
        <v>6.9115869497863267</v>
      </c>
      <c r="L12" s="27">
        <v>39</v>
      </c>
      <c r="M12" s="31">
        <f t="shared" si="6"/>
        <v>5.128205128205128E-2</v>
      </c>
      <c r="N12" s="27">
        <v>42</v>
      </c>
      <c r="O12" s="32">
        <f t="shared" ref="O12:P12" si="20">D12/7</f>
        <v>0.2857142857142857</v>
      </c>
      <c r="P12" s="32">
        <f t="shared" si="20"/>
        <v>0</v>
      </c>
      <c r="Q12" s="27">
        <f t="shared" si="8"/>
        <v>147</v>
      </c>
      <c r="R12" s="27"/>
      <c r="S12" s="33">
        <v>1.4564102564102499</v>
      </c>
      <c r="T12" s="26">
        <v>204</v>
      </c>
      <c r="U12" s="34">
        <v>96</v>
      </c>
      <c r="V12" s="35" t="s">
        <v>736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0.10394061053240741</v>
      </c>
      <c r="AD12" s="37">
        <f t="shared" si="12"/>
        <v>-0.19956597222222222</v>
      </c>
      <c r="AE12" s="37">
        <v>-9.02</v>
      </c>
      <c r="AF12" s="37">
        <v>-4.3601300641025604</v>
      </c>
      <c r="AG12" s="37">
        <v>0</v>
      </c>
    </row>
    <row r="13" spans="1:33" ht="15.75" customHeight="1" x14ac:dyDescent="0.2">
      <c r="A13" s="26" t="s">
        <v>54</v>
      </c>
      <c r="B13" s="1" t="s">
        <v>53</v>
      </c>
      <c r="C13" s="14">
        <f t="shared" si="4"/>
        <v>26.498333333333335</v>
      </c>
      <c r="D13" s="27">
        <v>6</v>
      </c>
      <c r="E13" s="27">
        <v>0</v>
      </c>
      <c r="F13" s="30">
        <v>158.99</v>
      </c>
      <c r="G13" s="28">
        <v>0</v>
      </c>
      <c r="H13" s="29">
        <f t="shared" si="1"/>
        <v>0</v>
      </c>
      <c r="I13" s="29">
        <f t="shared" si="2"/>
        <v>0.3389938806423885</v>
      </c>
      <c r="J13" s="30">
        <f t="shared" si="5"/>
        <v>53.896637083333353</v>
      </c>
      <c r="K13" s="30">
        <f t="shared" si="3"/>
        <v>8.9827728472222255</v>
      </c>
      <c r="L13" s="27">
        <v>44</v>
      </c>
      <c r="M13" s="31">
        <f t="shared" si="6"/>
        <v>0.13636363636363635</v>
      </c>
      <c r="N13" s="27">
        <v>37</v>
      </c>
      <c r="O13" s="32">
        <f t="shared" ref="O13:P13" si="21">D13/7</f>
        <v>0.8571428571428571</v>
      </c>
      <c r="P13" s="32">
        <f t="shared" si="21"/>
        <v>0</v>
      </c>
      <c r="Q13" s="27">
        <f t="shared" si="8"/>
        <v>43</v>
      </c>
      <c r="R13" s="27"/>
      <c r="S13" s="33">
        <v>1.3697270471464</v>
      </c>
      <c r="T13" s="26">
        <v>204</v>
      </c>
      <c r="U13" s="34">
        <v>96</v>
      </c>
      <c r="V13" s="35" t="s">
        <v>736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0.10394061053240741</v>
      </c>
      <c r="AD13" s="37">
        <f t="shared" si="12"/>
        <v>-0.59869791666666661</v>
      </c>
      <c r="AE13" s="37">
        <v>-9.02</v>
      </c>
      <c r="AF13" s="37">
        <v>-4.4210275000000001</v>
      </c>
      <c r="AG13" s="37">
        <v>0</v>
      </c>
    </row>
    <row r="14" spans="1:33" ht="15.75" customHeight="1" x14ac:dyDescent="0.2">
      <c r="A14" s="26" t="s">
        <v>56</v>
      </c>
      <c r="B14" s="1" t="s">
        <v>53</v>
      </c>
      <c r="C14" s="14">
        <f t="shared" si="4"/>
        <v>27.924999999999997</v>
      </c>
      <c r="D14" s="27">
        <v>8</v>
      </c>
      <c r="E14" s="27">
        <v>0</v>
      </c>
      <c r="F14" s="30">
        <v>223.39999999999998</v>
      </c>
      <c r="G14" s="28">
        <v>0</v>
      </c>
      <c r="H14" s="29">
        <f t="shared" si="1"/>
        <v>0</v>
      </c>
      <c r="I14" s="29">
        <f t="shared" si="2"/>
        <v>0.36510078832189397</v>
      </c>
      <c r="J14" s="30">
        <f t="shared" si="5"/>
        <v>81.563516111111099</v>
      </c>
      <c r="K14" s="30">
        <f t="shared" si="3"/>
        <v>10.195439513888887</v>
      </c>
      <c r="L14" s="27">
        <v>51</v>
      </c>
      <c r="M14" s="31">
        <f t="shared" si="6"/>
        <v>0.15686274509803921</v>
      </c>
      <c r="N14" s="27">
        <v>32</v>
      </c>
      <c r="O14" s="32">
        <f t="shared" ref="O14:P14" si="22">D14/7</f>
        <v>1.1428571428571428</v>
      </c>
      <c r="P14" s="32">
        <f t="shared" si="22"/>
        <v>0</v>
      </c>
      <c r="Q14" s="27">
        <f t="shared" si="8"/>
        <v>28</v>
      </c>
      <c r="R14" s="27"/>
      <c r="S14" s="33">
        <v>1.56065573770491</v>
      </c>
      <c r="T14" s="26">
        <v>204</v>
      </c>
      <c r="U14" s="34">
        <v>96</v>
      </c>
      <c r="V14" s="35" t="s">
        <v>737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0.10394061053240741</v>
      </c>
      <c r="AD14" s="37">
        <f t="shared" si="12"/>
        <v>-0.79826388888888888</v>
      </c>
      <c r="AE14" s="37">
        <v>-9.02</v>
      </c>
      <c r="AF14" s="37">
        <v>-4.4210275000000001</v>
      </c>
      <c r="AG14" s="37">
        <v>0</v>
      </c>
    </row>
    <row r="15" spans="1:33" ht="15.75" customHeight="1" x14ac:dyDescent="0.2">
      <c r="A15" s="26" t="s">
        <v>58</v>
      </c>
      <c r="B15" s="26" t="s">
        <v>738</v>
      </c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29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>
        <v>1.61130742049469</v>
      </c>
      <c r="T15" s="26">
        <v>336</v>
      </c>
      <c r="U15" s="34">
        <v>96</v>
      </c>
      <c r="V15" s="35" t="s">
        <v>735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0.10394061053240741</v>
      </c>
      <c r="AD15" s="37">
        <f t="shared" si="12"/>
        <v>0</v>
      </c>
      <c r="AE15" s="37">
        <v>-9.02</v>
      </c>
      <c r="AF15" s="37">
        <v>-4.4210275000000001</v>
      </c>
      <c r="AG15" s="37">
        <v>0</v>
      </c>
    </row>
    <row r="16" spans="1:33" ht="15.75" customHeight="1" x14ac:dyDescent="0.2">
      <c r="A16" s="26" t="s">
        <v>60</v>
      </c>
      <c r="B16" s="1" t="s">
        <v>53</v>
      </c>
      <c r="C16" s="14">
        <f t="shared" si="4"/>
        <v>26.31</v>
      </c>
      <c r="D16" s="27">
        <v>4</v>
      </c>
      <c r="E16" s="27">
        <v>0</v>
      </c>
      <c r="F16" s="30">
        <v>105.24</v>
      </c>
      <c r="G16" s="28">
        <v>0</v>
      </c>
      <c r="H16" s="29">
        <f t="shared" si="1"/>
        <v>0</v>
      </c>
      <c r="I16" s="29">
        <f t="shared" si="2"/>
        <v>0.33533597544237509</v>
      </c>
      <c r="J16" s="30">
        <f t="shared" si="5"/>
        <v>35.29075805555555</v>
      </c>
      <c r="K16" s="30">
        <f t="shared" si="3"/>
        <v>8.8226895138888874</v>
      </c>
      <c r="L16" s="27">
        <v>55</v>
      </c>
      <c r="M16" s="31">
        <f t="shared" si="6"/>
        <v>7.2727272727272724E-2</v>
      </c>
      <c r="N16" s="27">
        <v>25</v>
      </c>
      <c r="O16" s="32">
        <f t="shared" ref="O16:P16" si="24">D16/7</f>
        <v>0.5714285714285714</v>
      </c>
      <c r="P16" s="32">
        <f t="shared" si="24"/>
        <v>0</v>
      </c>
      <c r="Q16" s="27">
        <f t="shared" si="8"/>
        <v>43</v>
      </c>
      <c r="R16" s="27"/>
      <c r="S16" s="33">
        <v>1.69411764705882</v>
      </c>
      <c r="T16" s="26">
        <v>240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0.10394061053240741</v>
      </c>
      <c r="AD16" s="37">
        <f t="shared" si="12"/>
        <v>-0.39913194444444444</v>
      </c>
      <c r="AE16" s="37">
        <v>-9.02</v>
      </c>
      <c r="AF16" s="37">
        <v>-4.4210275000000001</v>
      </c>
      <c r="AG16" s="37">
        <v>0</v>
      </c>
    </row>
    <row r="17" spans="1:33" ht="15.75" customHeight="1" x14ac:dyDescent="0.2">
      <c r="A17" s="26" t="s">
        <v>61</v>
      </c>
      <c r="B17" s="1" t="s">
        <v>53</v>
      </c>
      <c r="C17" s="14">
        <f t="shared" si="4"/>
        <v>26.31</v>
      </c>
      <c r="D17" s="27">
        <v>1</v>
      </c>
      <c r="E17" s="27">
        <v>0</v>
      </c>
      <c r="F17" s="30">
        <v>26.31</v>
      </c>
      <c r="G17" s="28">
        <v>0</v>
      </c>
      <c r="H17" s="29">
        <f t="shared" si="1"/>
        <v>0</v>
      </c>
      <c r="I17" s="29">
        <f t="shared" si="2"/>
        <v>0.33533597544237509</v>
      </c>
      <c r="J17" s="30">
        <f t="shared" si="5"/>
        <v>8.8226895138888874</v>
      </c>
      <c r="K17" s="30">
        <f t="shared" si="3"/>
        <v>8.8226895138888874</v>
      </c>
      <c r="L17" s="27">
        <v>0</v>
      </c>
      <c r="M17" s="31" t="str">
        <f t="shared" si="6"/>
        <v>-</v>
      </c>
      <c r="N17" s="27">
        <v>25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175</v>
      </c>
      <c r="R17" s="27"/>
      <c r="S17" s="33">
        <v>1.52988047808764</v>
      </c>
      <c r="T17" s="26">
        <v>240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0.10394061053240741</v>
      </c>
      <c r="AD17" s="37">
        <f t="shared" si="12"/>
        <v>-9.978298611111111E-2</v>
      </c>
      <c r="AE17" s="37">
        <v>-9.02</v>
      </c>
      <c r="AF17" s="37">
        <v>-4.4210275000000001</v>
      </c>
      <c r="AG17" s="37">
        <v>0</v>
      </c>
    </row>
    <row r="18" spans="1:33" ht="15.75" customHeight="1" x14ac:dyDescent="0.2">
      <c r="A18" s="26" t="s">
        <v>62</v>
      </c>
      <c r="B18" s="1" t="s">
        <v>218</v>
      </c>
      <c r="C18" s="14">
        <f t="shared" si="4"/>
        <v>26.309999999999995</v>
      </c>
      <c r="D18" s="27">
        <v>5</v>
      </c>
      <c r="E18" s="27">
        <v>0</v>
      </c>
      <c r="F18" s="30">
        <v>131.54999999999998</v>
      </c>
      <c r="G18" s="28">
        <v>0</v>
      </c>
      <c r="H18" s="29">
        <f t="shared" si="1"/>
        <v>0</v>
      </c>
      <c r="I18" s="29">
        <f t="shared" si="2"/>
        <v>0.33533597544237503</v>
      </c>
      <c r="J18" s="30">
        <f t="shared" si="5"/>
        <v>44.113447569444432</v>
      </c>
      <c r="K18" s="30">
        <f t="shared" si="3"/>
        <v>8.8226895138888857</v>
      </c>
      <c r="L18" s="27">
        <v>33</v>
      </c>
      <c r="M18" s="31">
        <f t="shared" si="6"/>
        <v>0.15151515151515152</v>
      </c>
      <c r="N18" s="27">
        <v>20</v>
      </c>
      <c r="O18" s="32">
        <f t="shared" ref="O18:P18" si="26">D18/7</f>
        <v>0.7142857142857143</v>
      </c>
      <c r="P18" s="32">
        <f t="shared" si="26"/>
        <v>0</v>
      </c>
      <c r="Q18" s="27">
        <f t="shared" si="8"/>
        <v>28</v>
      </c>
      <c r="R18" s="27"/>
      <c r="S18" s="33">
        <v>1.55555555555555</v>
      </c>
      <c r="T18" s="26">
        <v>240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0.10394061053240741</v>
      </c>
      <c r="AD18" s="37">
        <f t="shared" si="12"/>
        <v>-0.49891493055555558</v>
      </c>
      <c r="AE18" s="37">
        <v>-9.02</v>
      </c>
      <c r="AF18" s="37">
        <v>-4.4210275000000001</v>
      </c>
      <c r="AG18" s="37">
        <v>0</v>
      </c>
    </row>
    <row r="19" spans="1:33" ht="15.75" customHeight="1" x14ac:dyDescent="0.2">
      <c r="A19" s="26" t="s">
        <v>64</v>
      </c>
      <c r="B19" s="26" t="s">
        <v>739</v>
      </c>
      <c r="C19" s="14">
        <f t="shared" si="4"/>
        <v>26.31</v>
      </c>
      <c r="D19" s="27">
        <v>4</v>
      </c>
      <c r="E19" s="27">
        <v>0</v>
      </c>
      <c r="F19" s="30">
        <v>105.24</v>
      </c>
      <c r="G19" s="28">
        <v>0</v>
      </c>
      <c r="H19" s="29">
        <f t="shared" si="1"/>
        <v>0</v>
      </c>
      <c r="I19" s="29">
        <f t="shared" si="2"/>
        <v>0.33533597544237509</v>
      </c>
      <c r="J19" s="30">
        <f t="shared" si="5"/>
        <v>35.29075805555555</v>
      </c>
      <c r="K19" s="30">
        <f t="shared" si="3"/>
        <v>8.8226895138888874</v>
      </c>
      <c r="L19" s="27">
        <v>43</v>
      </c>
      <c r="M19" s="31">
        <f t="shared" si="6"/>
        <v>9.3023255813953487E-2</v>
      </c>
      <c r="N19" s="27">
        <v>15</v>
      </c>
      <c r="O19" s="32">
        <f t="shared" ref="O19:P19" si="27">D19/7</f>
        <v>0.5714285714285714</v>
      </c>
      <c r="P19" s="32">
        <f t="shared" si="27"/>
        <v>0</v>
      </c>
      <c r="Q19" s="27">
        <f t="shared" si="8"/>
        <v>26</v>
      </c>
      <c r="R19" s="27"/>
      <c r="S19" s="33">
        <v>1.5706806282722501</v>
      </c>
      <c r="T19" s="26">
        <v>240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0.10394061053240741</v>
      </c>
      <c r="AD19" s="37">
        <f t="shared" si="12"/>
        <v>-0.39913194444444444</v>
      </c>
      <c r="AE19" s="37">
        <v>-9.02</v>
      </c>
      <c r="AF19" s="37">
        <v>-4.4210275000000001</v>
      </c>
      <c r="AG19" s="37">
        <v>0</v>
      </c>
    </row>
    <row r="20" spans="1:33" ht="15.75" customHeight="1" x14ac:dyDescent="0.2">
      <c r="A20" s="26" t="s">
        <v>65</v>
      </c>
      <c r="B20" s="1" t="s">
        <v>53</v>
      </c>
      <c r="C20" s="14">
        <f t="shared" si="4"/>
        <v>26.99</v>
      </c>
      <c r="D20" s="27">
        <v>1</v>
      </c>
      <c r="E20" s="27">
        <v>0</v>
      </c>
      <c r="F20" s="30">
        <v>26.99</v>
      </c>
      <c r="G20" s="28">
        <v>0</v>
      </c>
      <c r="H20" s="29">
        <f t="shared" si="1"/>
        <v>0</v>
      </c>
      <c r="I20" s="29">
        <f t="shared" si="2"/>
        <v>0.34830268669466052</v>
      </c>
      <c r="J20" s="30">
        <f t="shared" si="5"/>
        <v>9.4006895138888869</v>
      </c>
      <c r="K20" s="30">
        <f t="shared" si="3"/>
        <v>9.4006895138888869</v>
      </c>
      <c r="L20" s="27">
        <v>0</v>
      </c>
      <c r="M20" s="31" t="str">
        <f t="shared" si="6"/>
        <v>-</v>
      </c>
      <c r="N20" s="27">
        <v>15</v>
      </c>
      <c r="O20" s="32">
        <f t="shared" ref="O20:P20" si="28">D20/7</f>
        <v>0.14285714285714285</v>
      </c>
      <c r="P20" s="32">
        <f t="shared" si="28"/>
        <v>0</v>
      </c>
      <c r="Q20" s="27">
        <f t="shared" si="8"/>
        <v>105</v>
      </c>
      <c r="R20" s="27"/>
      <c r="S20" s="33">
        <v>1.55</v>
      </c>
      <c r="T20" s="26">
        <v>240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0.10394061053240741</v>
      </c>
      <c r="AD20" s="37">
        <f t="shared" si="12"/>
        <v>-9.978298611111111E-2</v>
      </c>
      <c r="AE20" s="37">
        <v>-9.02</v>
      </c>
      <c r="AF20" s="37">
        <v>-4.4210275000000001</v>
      </c>
      <c r="AG20" s="37">
        <v>0</v>
      </c>
    </row>
    <row r="21" spans="1:33" ht="15.75" customHeight="1" x14ac:dyDescent="0.2">
      <c r="A21" s="26" t="s">
        <v>66</v>
      </c>
      <c r="B21" s="1" t="s">
        <v>53</v>
      </c>
      <c r="C21" s="14">
        <f t="shared" si="4"/>
        <v>26.99</v>
      </c>
      <c r="D21" s="27">
        <v>1</v>
      </c>
      <c r="E21" s="27">
        <v>0</v>
      </c>
      <c r="F21" s="30">
        <v>26.99</v>
      </c>
      <c r="G21" s="28">
        <v>0</v>
      </c>
      <c r="H21" s="29">
        <f t="shared" si="1"/>
        <v>0</v>
      </c>
      <c r="I21" s="29">
        <f t="shared" si="2"/>
        <v>0.34830268669466052</v>
      </c>
      <c r="J21" s="30">
        <f t="shared" si="5"/>
        <v>9.4006895138888869</v>
      </c>
      <c r="K21" s="30">
        <f t="shared" si="3"/>
        <v>9.4006895138888869</v>
      </c>
      <c r="L21" s="27">
        <v>14</v>
      </c>
      <c r="M21" s="31">
        <f t="shared" si="6"/>
        <v>7.1428571428571425E-2</v>
      </c>
      <c r="N21" s="27">
        <v>13</v>
      </c>
      <c r="O21" s="32">
        <f t="shared" ref="O21:P21" si="29">D21/7</f>
        <v>0.14285714285714285</v>
      </c>
      <c r="P21" s="32">
        <f t="shared" si="29"/>
        <v>0</v>
      </c>
      <c r="Q21" s="27">
        <f t="shared" si="8"/>
        <v>91</v>
      </c>
      <c r="R21" s="27"/>
      <c r="S21" s="33">
        <v>1.4496644295301999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0.10394061053240741</v>
      </c>
      <c r="AD21" s="37">
        <f t="shared" si="12"/>
        <v>-9.978298611111111E-2</v>
      </c>
      <c r="AE21" s="37">
        <v>-9.02</v>
      </c>
      <c r="AF21" s="37">
        <v>-4.4210275000000001</v>
      </c>
      <c r="AG21" s="37">
        <v>0</v>
      </c>
    </row>
    <row r="22" spans="1:33" ht="15.75" customHeight="1" x14ac:dyDescent="0.2">
      <c r="A22" s="26" t="s">
        <v>67</v>
      </c>
      <c r="B22" s="1" t="s">
        <v>740</v>
      </c>
      <c r="C22" s="14">
        <f t="shared" si="4"/>
        <v>26.99</v>
      </c>
      <c r="D22" s="27">
        <v>6</v>
      </c>
      <c r="E22" s="27">
        <v>0</v>
      </c>
      <c r="F22" s="28">
        <v>161.94</v>
      </c>
      <c r="G22" s="28">
        <v>0</v>
      </c>
      <c r="H22" s="29">
        <f t="shared" si="1"/>
        <v>0</v>
      </c>
      <c r="I22" s="29">
        <f t="shared" si="2"/>
        <v>0.34830268669466063</v>
      </c>
      <c r="J22" s="30">
        <f t="shared" si="5"/>
        <v>56.404137083333346</v>
      </c>
      <c r="K22" s="30">
        <f t="shared" si="3"/>
        <v>9.4006895138888904</v>
      </c>
      <c r="L22" s="27">
        <v>45</v>
      </c>
      <c r="M22" s="31">
        <f t="shared" si="6"/>
        <v>0.13333333333333333</v>
      </c>
      <c r="N22" s="27">
        <v>8</v>
      </c>
      <c r="O22" s="32">
        <f t="shared" ref="O22:P22" si="30">D22/7</f>
        <v>0.8571428571428571</v>
      </c>
      <c r="P22" s="32">
        <f t="shared" si="30"/>
        <v>0</v>
      </c>
      <c r="Q22" s="27">
        <f t="shared" si="8"/>
        <v>9</v>
      </c>
      <c r="R22" s="27"/>
      <c r="S22" s="33">
        <v>1.5939849624060101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0.10394061053240741</v>
      </c>
      <c r="AD22" s="37">
        <f t="shared" si="12"/>
        <v>-0.59869791666666661</v>
      </c>
      <c r="AE22" s="37">
        <v>-9.02</v>
      </c>
      <c r="AF22" s="37">
        <v>-4.4210275000000001</v>
      </c>
      <c r="AG22" s="37">
        <v>0</v>
      </c>
    </row>
    <row r="23" spans="1:33" ht="15.75" customHeight="1" x14ac:dyDescent="0.2">
      <c r="A23" s="26" t="s">
        <v>68</v>
      </c>
      <c r="B23" s="26" t="s">
        <v>741</v>
      </c>
      <c r="C23" s="14">
        <f t="shared" si="4"/>
        <v>26.99</v>
      </c>
      <c r="D23" s="27">
        <v>2</v>
      </c>
      <c r="E23" s="27">
        <v>0</v>
      </c>
      <c r="F23" s="30">
        <v>53.98</v>
      </c>
      <c r="G23" s="28">
        <v>0</v>
      </c>
      <c r="H23" s="29">
        <f t="shared" si="1"/>
        <v>0</v>
      </c>
      <c r="I23" s="29">
        <f t="shared" si="2"/>
        <v>0.34830268669466052</v>
      </c>
      <c r="J23" s="30">
        <f t="shared" si="5"/>
        <v>18.801379027777774</v>
      </c>
      <c r="K23" s="30">
        <f t="shared" si="3"/>
        <v>9.4006895138888869</v>
      </c>
      <c r="L23" s="27">
        <v>40</v>
      </c>
      <c r="M23" s="31">
        <f t="shared" si="6"/>
        <v>0.05</v>
      </c>
      <c r="N23" s="27">
        <v>7</v>
      </c>
      <c r="O23" s="32">
        <f t="shared" ref="O23:P23" si="31">D23/7</f>
        <v>0.2857142857142857</v>
      </c>
      <c r="P23" s="32">
        <f t="shared" si="31"/>
        <v>0</v>
      </c>
      <c r="Q23" s="27">
        <f t="shared" si="8"/>
        <v>24</v>
      </c>
      <c r="R23" s="27"/>
      <c r="S23" s="33">
        <v>1.8245614035087701</v>
      </c>
      <c r="T23" s="26">
        <v>400</v>
      </c>
      <c r="U23" s="34" t="s">
        <v>34</v>
      </c>
      <c r="V23" s="35" t="s">
        <v>742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0.10394061053240741</v>
      </c>
      <c r="AD23" s="37">
        <f t="shared" si="12"/>
        <v>-0.19956597222222222</v>
      </c>
      <c r="AE23" s="37">
        <v>-9.02</v>
      </c>
      <c r="AF23" s="37">
        <v>-4.4210275000000001</v>
      </c>
      <c r="AG23" s="37">
        <v>0</v>
      </c>
    </row>
    <row r="24" spans="1:33" ht="15.75" customHeight="1" x14ac:dyDescent="0.2">
      <c r="A24" s="26" t="s">
        <v>71</v>
      </c>
      <c r="B24" s="1" t="s">
        <v>743</v>
      </c>
      <c r="C24" s="14">
        <f t="shared" si="4"/>
        <v>24.045000000000002</v>
      </c>
      <c r="D24" s="27">
        <v>4</v>
      </c>
      <c r="E24" s="27">
        <v>0</v>
      </c>
      <c r="F24" s="30">
        <v>96.18</v>
      </c>
      <c r="G24" s="30">
        <v>0</v>
      </c>
      <c r="H24" s="29">
        <f t="shared" si="1"/>
        <v>0</v>
      </c>
      <c r="I24" s="29">
        <f t="shared" si="2"/>
        <v>0.28685545909290444</v>
      </c>
      <c r="J24" s="30">
        <f t="shared" si="5"/>
        <v>27.589758055555553</v>
      </c>
      <c r="K24" s="30">
        <f t="shared" si="3"/>
        <v>6.8974395138888882</v>
      </c>
      <c r="L24" s="27">
        <v>32</v>
      </c>
      <c r="M24" s="31">
        <f t="shared" si="6"/>
        <v>0.125</v>
      </c>
      <c r="N24" s="27">
        <v>22</v>
      </c>
      <c r="O24" s="32">
        <f t="shared" ref="O24:P24" si="32">D24/7</f>
        <v>0.5714285714285714</v>
      </c>
      <c r="P24" s="32">
        <f t="shared" si="32"/>
        <v>0</v>
      </c>
      <c r="Q24" s="27">
        <f t="shared" si="8"/>
        <v>38</v>
      </c>
      <c r="R24" s="27"/>
      <c r="S24" s="33">
        <v>1.6603773584905599</v>
      </c>
      <c r="T24" s="26">
        <v>272</v>
      </c>
      <c r="U24" s="34">
        <v>32</v>
      </c>
      <c r="V24" s="35" t="s">
        <v>744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0.10394061053240741</v>
      </c>
      <c r="AD24" s="37">
        <f t="shared" si="12"/>
        <v>-0.39913194444444444</v>
      </c>
      <c r="AE24" s="37">
        <v>-9.02</v>
      </c>
      <c r="AF24" s="37">
        <v>-4.4210275000000001</v>
      </c>
      <c r="AG24" s="37">
        <v>0</v>
      </c>
    </row>
    <row r="25" spans="1:33" ht="15.75" customHeight="1" x14ac:dyDescent="0.2">
      <c r="A25" s="40" t="s">
        <v>73</v>
      </c>
      <c r="B25" s="1" t="s">
        <v>743</v>
      </c>
      <c r="C25" s="14">
        <f t="shared" si="4"/>
        <v>20.43</v>
      </c>
      <c r="D25" s="15">
        <v>3</v>
      </c>
      <c r="E25" s="15">
        <v>0</v>
      </c>
      <c r="F25" s="16">
        <v>61.29</v>
      </c>
      <c r="G25" s="16">
        <v>0</v>
      </c>
      <c r="H25" s="29">
        <f t="shared" si="1"/>
        <v>0</v>
      </c>
      <c r="I25" s="29">
        <f t="shared" si="2"/>
        <v>0.18725976573122319</v>
      </c>
      <c r="J25" s="30">
        <f t="shared" si="5"/>
        <v>11.477151041666669</v>
      </c>
      <c r="K25" s="30">
        <f t="shared" si="3"/>
        <v>3.8257170138888896</v>
      </c>
      <c r="L25" s="15">
        <v>48</v>
      </c>
      <c r="M25" s="31">
        <f t="shared" si="6"/>
        <v>6.25E-2</v>
      </c>
      <c r="N25" s="15">
        <v>9</v>
      </c>
      <c r="O25" s="32">
        <f t="shared" ref="O25:P25" si="33">D25/7</f>
        <v>0.42857142857142855</v>
      </c>
      <c r="P25" s="32">
        <f t="shared" si="33"/>
        <v>0</v>
      </c>
      <c r="Q25" s="27">
        <f t="shared" si="8"/>
        <v>21</v>
      </c>
      <c r="R25" s="27"/>
      <c r="S25" s="41">
        <v>1.742574257425743</v>
      </c>
      <c r="T25" s="26">
        <v>272</v>
      </c>
      <c r="U25" s="34">
        <v>32</v>
      </c>
      <c r="V25" s="35" t="s">
        <v>745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0.10394061053240741</v>
      </c>
      <c r="AD25" s="37">
        <f t="shared" si="12"/>
        <v>-0.2993489583333333</v>
      </c>
      <c r="AE25" s="42">
        <v>-9.02</v>
      </c>
      <c r="AF25" s="42">
        <v>-4.42</v>
      </c>
      <c r="AG25" s="42">
        <v>0</v>
      </c>
    </row>
    <row r="26" spans="1:33" ht="15.75" customHeight="1" x14ac:dyDescent="0.2">
      <c r="A26" s="40" t="s">
        <v>75</v>
      </c>
      <c r="B26" s="40" t="s">
        <v>746</v>
      </c>
      <c r="C26" s="14">
        <f t="shared" si="4"/>
        <v>19.989999999999998</v>
      </c>
      <c r="D26" s="15">
        <v>5</v>
      </c>
      <c r="E26" s="15">
        <v>0</v>
      </c>
      <c r="F26" s="16">
        <v>99.949999999999989</v>
      </c>
      <c r="G26" s="16">
        <v>0</v>
      </c>
      <c r="H26" s="29">
        <f t="shared" si="1"/>
        <v>0</v>
      </c>
      <c r="I26" s="29">
        <f t="shared" si="2"/>
        <v>0.15261078108498677</v>
      </c>
      <c r="J26" s="30">
        <f t="shared" si="5"/>
        <v>15.253447569444427</v>
      </c>
      <c r="K26" s="30">
        <f t="shared" si="3"/>
        <v>3.0506895138888854</v>
      </c>
      <c r="L26" s="15">
        <v>50</v>
      </c>
      <c r="M26" s="31">
        <f t="shared" si="6"/>
        <v>0.1</v>
      </c>
      <c r="N26" s="15">
        <v>86</v>
      </c>
      <c r="O26" s="32">
        <f t="shared" ref="O26:P26" si="34">D26/7</f>
        <v>0.7142857142857143</v>
      </c>
      <c r="P26" s="32">
        <f t="shared" si="34"/>
        <v>0</v>
      </c>
      <c r="Q26" s="27">
        <f t="shared" si="8"/>
        <v>120</v>
      </c>
      <c r="R26" s="27"/>
      <c r="S26" s="41">
        <v>1.0238095238095239</v>
      </c>
      <c r="T26" s="26">
        <v>272</v>
      </c>
      <c r="U26" s="34">
        <v>32</v>
      </c>
      <c r="V26" s="35" t="s">
        <v>747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0.10394061053240741</v>
      </c>
      <c r="AD26" s="37">
        <f t="shared" si="12"/>
        <v>-0.49891493055555558</v>
      </c>
      <c r="AE26" s="42">
        <v>-9.42</v>
      </c>
      <c r="AF26" s="42">
        <v>-4.4210275000000001</v>
      </c>
      <c r="AG26" s="42">
        <v>0</v>
      </c>
    </row>
    <row r="27" spans="1:33" ht="15.75" customHeight="1" x14ac:dyDescent="0.2">
      <c r="A27" s="40" t="s">
        <v>77</v>
      </c>
      <c r="B27" s="40" t="s">
        <v>748</v>
      </c>
      <c r="C27" s="14">
        <f t="shared" si="4"/>
        <v>16.991</v>
      </c>
      <c r="D27" s="15">
        <v>10</v>
      </c>
      <c r="E27" s="15">
        <v>0</v>
      </c>
      <c r="F27" s="16">
        <v>169.91</v>
      </c>
      <c r="G27" s="16">
        <v>0</v>
      </c>
      <c r="H27" s="29">
        <f t="shared" si="1"/>
        <v>0</v>
      </c>
      <c r="I27" s="29">
        <f t="shared" si="2"/>
        <v>2.9517951497197815E-2</v>
      </c>
      <c r="J27" s="30">
        <f t="shared" si="5"/>
        <v>5.0153951388888807</v>
      </c>
      <c r="K27" s="30">
        <f t="shared" si="3"/>
        <v>0.50153951388888807</v>
      </c>
      <c r="L27" s="15">
        <v>54</v>
      </c>
      <c r="M27" s="31">
        <f t="shared" si="6"/>
        <v>0.18518518518518517</v>
      </c>
      <c r="N27" s="15">
        <v>78</v>
      </c>
      <c r="O27" s="32">
        <f t="shared" ref="O27:P27" si="35">D27/7</f>
        <v>1.4285714285714286</v>
      </c>
      <c r="P27" s="32">
        <f t="shared" si="35"/>
        <v>0</v>
      </c>
      <c r="Q27" s="27">
        <f t="shared" si="8"/>
        <v>54</v>
      </c>
      <c r="R27" s="27"/>
      <c r="S27" s="41">
        <v>1.163120567375886</v>
      </c>
      <c r="T27" s="26">
        <v>272</v>
      </c>
      <c r="U27" s="34">
        <v>32</v>
      </c>
      <c r="V27" s="35" t="s">
        <v>749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0.10394061053240741</v>
      </c>
      <c r="AD27" s="37">
        <f t="shared" si="12"/>
        <v>-0.99782986111111116</v>
      </c>
      <c r="AE27" s="42">
        <v>-9.42</v>
      </c>
      <c r="AF27" s="42">
        <v>-4.4210275000000001</v>
      </c>
      <c r="AG27" s="42">
        <v>0</v>
      </c>
    </row>
    <row r="28" spans="1:33" ht="15.75" customHeight="1" x14ac:dyDescent="0.2">
      <c r="A28" s="40" t="s">
        <v>79</v>
      </c>
      <c r="B28" s="40" t="s">
        <v>750</v>
      </c>
      <c r="C28" s="14">
        <f t="shared" si="4"/>
        <v>17.989999999999998</v>
      </c>
      <c r="D28" s="15">
        <v>6</v>
      </c>
      <c r="E28" s="15">
        <v>0</v>
      </c>
      <c r="F28" s="16">
        <v>107.94</v>
      </c>
      <c r="G28" s="16">
        <v>-1.48</v>
      </c>
      <c r="H28" s="29">
        <f t="shared" si="1"/>
        <v>1.3711321104317213E-2</v>
      </c>
      <c r="I28" s="29">
        <f t="shared" si="2"/>
        <v>6.1368696343647673E-2</v>
      </c>
      <c r="J28" s="30">
        <f t="shared" si="5"/>
        <v>6.6241370833333297</v>
      </c>
      <c r="K28" s="30">
        <f t="shared" si="3"/>
        <v>1.1040228472222215</v>
      </c>
      <c r="L28" s="15">
        <v>51</v>
      </c>
      <c r="M28" s="31">
        <f t="shared" si="6"/>
        <v>0.11764705882352941</v>
      </c>
      <c r="N28" s="15">
        <v>70</v>
      </c>
      <c r="O28" s="32">
        <f t="shared" ref="O28:P28" si="36">D28/7</f>
        <v>0.8571428571428571</v>
      </c>
      <c r="P28" s="32">
        <f t="shared" si="36"/>
        <v>0</v>
      </c>
      <c r="Q28" s="27">
        <f t="shared" si="8"/>
        <v>81</v>
      </c>
      <c r="R28" s="27"/>
      <c r="S28" s="41">
        <v>1.4626865671641791</v>
      </c>
      <c r="T28" s="40" t="s">
        <v>34</v>
      </c>
      <c r="U28" s="22">
        <v>32</v>
      </c>
      <c r="V28" s="1" t="s">
        <v>751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0.10394061053240741</v>
      </c>
      <c r="AD28" s="37">
        <f t="shared" si="12"/>
        <v>-0.59869791666666661</v>
      </c>
      <c r="AE28" s="42">
        <v>-9.42</v>
      </c>
      <c r="AF28" s="42">
        <v>-4.4210275000000001</v>
      </c>
      <c r="AG28" s="42">
        <v>0</v>
      </c>
    </row>
    <row r="29" spans="1:33" ht="15.75" customHeight="1" x14ac:dyDescent="0.2">
      <c r="A29" s="26" t="s">
        <v>82</v>
      </c>
      <c r="B29" s="26" t="s">
        <v>727</v>
      </c>
      <c r="C29" s="14">
        <f t="shared" si="4"/>
        <v>18.018333333333334</v>
      </c>
      <c r="D29" s="27">
        <v>12</v>
      </c>
      <c r="E29" s="27">
        <v>0</v>
      </c>
      <c r="F29" s="30">
        <v>216.22</v>
      </c>
      <c r="G29" s="30">
        <v>0</v>
      </c>
      <c r="H29" s="29">
        <f t="shared" si="1"/>
        <v>0</v>
      </c>
      <c r="I29" s="29">
        <f t="shared" si="2"/>
        <v>7.629855779607192E-2</v>
      </c>
      <c r="J29" s="30">
        <f t="shared" si="5"/>
        <v>16.497274166666671</v>
      </c>
      <c r="K29" s="30">
        <f t="shared" si="3"/>
        <v>1.3747728472222225</v>
      </c>
      <c r="L29" s="27">
        <v>53</v>
      </c>
      <c r="M29" s="31">
        <f t="shared" si="6"/>
        <v>0.22641509433962265</v>
      </c>
      <c r="N29" s="15">
        <v>58</v>
      </c>
      <c r="O29" s="32">
        <f t="shared" ref="O29:P29" si="37">D29/7</f>
        <v>1.7142857142857142</v>
      </c>
      <c r="P29" s="32">
        <f t="shared" si="37"/>
        <v>0</v>
      </c>
      <c r="Q29" s="27">
        <f t="shared" si="8"/>
        <v>33</v>
      </c>
      <c r="R29" s="27"/>
      <c r="S29" s="41">
        <v>1.785123966942149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0.10394061053240741</v>
      </c>
      <c r="AD29" s="37">
        <f t="shared" si="12"/>
        <v>-1.1973958333333332</v>
      </c>
      <c r="AE29" s="37">
        <v>-9.42</v>
      </c>
      <c r="AF29" s="42">
        <v>-4.4210275000000001</v>
      </c>
      <c r="AG29" s="37">
        <v>0</v>
      </c>
    </row>
    <row r="30" spans="1:33" ht="15.75" customHeight="1" x14ac:dyDescent="0.2">
      <c r="A30" s="40" t="s">
        <v>84</v>
      </c>
      <c r="B30" s="40" t="s">
        <v>53</v>
      </c>
      <c r="C30" s="14">
        <f t="shared" si="4"/>
        <v>18.989999999999998</v>
      </c>
      <c r="D30" s="15">
        <v>4</v>
      </c>
      <c r="E30" s="15">
        <v>1</v>
      </c>
      <c r="F30" s="16">
        <v>75.959999999999994</v>
      </c>
      <c r="G30" s="16">
        <v>0</v>
      </c>
      <c r="H30" s="29">
        <f t="shared" si="1"/>
        <v>0</v>
      </c>
      <c r="I30" s="29">
        <f t="shared" si="2"/>
        <v>0.10000168418319569</v>
      </c>
      <c r="J30" s="30">
        <f t="shared" si="5"/>
        <v>7.5961279305555438</v>
      </c>
      <c r="K30" s="30">
        <f t="shared" si="3"/>
        <v>1.899031982638886</v>
      </c>
      <c r="L30" s="15">
        <v>36</v>
      </c>
      <c r="M30" s="31">
        <f t="shared" si="6"/>
        <v>0.1111111111111111</v>
      </c>
      <c r="N30" s="15">
        <v>56</v>
      </c>
      <c r="O30" s="32">
        <f t="shared" ref="O30:P30" si="38">D30/7</f>
        <v>0.5714285714285714</v>
      </c>
      <c r="P30" s="32">
        <f t="shared" si="38"/>
        <v>0.14285714285714285</v>
      </c>
      <c r="Q30" s="27">
        <f t="shared" si="8"/>
        <v>78</v>
      </c>
      <c r="R30" s="27"/>
      <c r="S30" s="41">
        <v>2.0884955752212391</v>
      </c>
      <c r="T30" s="26">
        <v>32</v>
      </c>
      <c r="U30" s="34">
        <v>32</v>
      </c>
      <c r="V30" s="35" t="s">
        <v>752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0.10394061053240741</v>
      </c>
      <c r="AD30" s="37">
        <f t="shared" si="12"/>
        <v>-0.39913194444444444</v>
      </c>
      <c r="AE30" s="42">
        <v>-9.42</v>
      </c>
      <c r="AF30" s="42">
        <v>-4.7226850312500002</v>
      </c>
      <c r="AG30" s="42">
        <v>0</v>
      </c>
    </row>
    <row r="31" spans="1:33" ht="15.75" customHeight="1" x14ac:dyDescent="0.2">
      <c r="A31" s="40" t="s">
        <v>87</v>
      </c>
      <c r="B31" s="40" t="s">
        <v>509</v>
      </c>
      <c r="C31" s="14">
        <f t="shared" si="4"/>
        <v>16.898888888888891</v>
      </c>
      <c r="D31" s="15">
        <v>9</v>
      </c>
      <c r="E31" s="15">
        <v>0</v>
      </c>
      <c r="F31" s="16">
        <v>152.09</v>
      </c>
      <c r="G31" s="43">
        <v>-3.01</v>
      </c>
      <c r="H31" s="29">
        <f t="shared" si="1"/>
        <v>1.9790913275034516E-2</v>
      </c>
      <c r="I31" s="29">
        <f t="shared" si="2"/>
        <v>-1.2595911343612359E-2</v>
      </c>
      <c r="J31" s="30">
        <f t="shared" si="5"/>
        <v>-1.9157121562500037</v>
      </c>
      <c r="K31" s="30">
        <f t="shared" si="3"/>
        <v>-0.21285690625000042</v>
      </c>
      <c r="L31" s="15">
        <v>55</v>
      </c>
      <c r="M31" s="31">
        <f t="shared" si="6"/>
        <v>0.16363636363636364</v>
      </c>
      <c r="N31" s="15">
        <v>45</v>
      </c>
      <c r="O31" s="32">
        <f t="shared" ref="O31:P31" si="39">D31/7</f>
        <v>1.2857142857142858</v>
      </c>
      <c r="P31" s="32">
        <f t="shared" si="39"/>
        <v>0</v>
      </c>
      <c r="Q31" s="27">
        <f t="shared" si="8"/>
        <v>35</v>
      </c>
      <c r="R31" s="27"/>
      <c r="S31" s="41">
        <v>1.5714285714285701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0.10394061053240741</v>
      </c>
      <c r="AD31" s="37">
        <f t="shared" si="12"/>
        <v>-0.89804687500000002</v>
      </c>
      <c r="AE31" s="45">
        <v>-9.42</v>
      </c>
      <c r="AF31" s="45">
        <v>-4.7226850312500002</v>
      </c>
      <c r="AG31" s="42">
        <v>0</v>
      </c>
    </row>
    <row r="32" spans="1:33" ht="15.75" customHeight="1" x14ac:dyDescent="0.2">
      <c r="A32" s="40" t="s">
        <v>90</v>
      </c>
      <c r="B32" s="40" t="s">
        <v>53</v>
      </c>
      <c r="C32" s="14">
        <f t="shared" si="4"/>
        <v>19.88</v>
      </c>
      <c r="D32" s="15">
        <v>8</v>
      </c>
      <c r="E32" s="15">
        <v>0</v>
      </c>
      <c r="F32" s="16">
        <v>159.04</v>
      </c>
      <c r="G32" s="16">
        <v>-1.8</v>
      </c>
      <c r="H32" s="29">
        <f t="shared" si="1"/>
        <v>1.1317907444668009E-2</v>
      </c>
      <c r="I32" s="29">
        <f t="shared" si="2"/>
        <v>0.12226016009249935</v>
      </c>
      <c r="J32" s="30">
        <f t="shared" si="5"/>
        <v>19.444255861111095</v>
      </c>
      <c r="K32" s="30">
        <f t="shared" si="3"/>
        <v>2.4305319826388869</v>
      </c>
      <c r="L32" s="15">
        <v>74</v>
      </c>
      <c r="M32" s="31">
        <f t="shared" si="6"/>
        <v>0.10810810810810811</v>
      </c>
      <c r="N32" s="15">
        <v>63</v>
      </c>
      <c r="O32" s="32">
        <f t="shared" ref="O32:P32" si="40">D32/7</f>
        <v>1.1428571428571428</v>
      </c>
      <c r="P32" s="32">
        <f t="shared" si="40"/>
        <v>0</v>
      </c>
      <c r="Q32" s="27">
        <f t="shared" si="8"/>
        <v>55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1.915492957746479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1</v>
      </c>
      <c r="X32" s="36">
        <f t="shared" si="9"/>
        <v>0.125</v>
      </c>
      <c r="Y32" s="37">
        <f t="shared" si="10"/>
        <v>1.8</v>
      </c>
      <c r="Z32" s="40">
        <v>0</v>
      </c>
      <c r="AA32" s="40" t="s">
        <v>250</v>
      </c>
      <c r="AB32" s="38">
        <f t="shared" si="11"/>
        <v>-0.48</v>
      </c>
      <c r="AC32" s="44">
        <v>0.10394061053240741</v>
      </c>
      <c r="AD32" s="37">
        <f t="shared" si="12"/>
        <v>-0.79826388888888888</v>
      </c>
      <c r="AE32" s="42">
        <v>-9.42</v>
      </c>
      <c r="AF32" s="42">
        <v>-4.7226850312500002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Black &amp; Mauve - Large 47 x 23 Inch Leather Style Computer Pad for Desk")</f>
        <v>Office Desk Mat, Double Sided Black &amp; Mauve - Large 47 x 23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Info!B1:BJ5000""),2,FALSE),"""")"),"B085LKP4GP")</f>
        <v>B085LKP4GP</v>
      </c>
      <c r="B2" s="3" t="s">
        <v>753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16.638452977941178</v>
      </c>
      <c r="D3" s="5">
        <f>SUM(D4:D99767)</f>
        <v>148</v>
      </c>
      <c r="E3" s="5"/>
      <c r="F3" s="6">
        <f t="shared" ref="F3:G3" si="0">SUM(F4:F99767)</f>
        <v>3847.3600000000006</v>
      </c>
      <c r="G3" s="6">
        <f t="shared" si="0"/>
        <v>-273.63</v>
      </c>
      <c r="H3" s="7">
        <f t="shared" ref="H3:H32" si="1">G3/F3*-1</f>
        <v>7.1121496298760703E-2</v>
      </c>
      <c r="I3" s="8">
        <f t="shared" ref="I3:I32" si="2">J3/F3</f>
        <v>0.2615188975765122</v>
      </c>
      <c r="J3" s="6">
        <f>SUM(J4:J99767)</f>
        <v>1006.1573457799702</v>
      </c>
      <c r="K3" s="6">
        <f t="shared" ref="K3:K32" si="3">J3/D3</f>
        <v>6.7983604444592585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</v>
      </c>
      <c r="X3" s="7">
        <f>W3/D3</f>
        <v>5.4054054054054057E-2</v>
      </c>
      <c r="Y3" s="6"/>
      <c r="Z3" s="5"/>
      <c r="AA3" s="5"/>
      <c r="AB3" s="5"/>
      <c r="AC3" s="5"/>
      <c r="AD3" s="6">
        <f>SUM(AD4:AD99767)</f>
        <v>-17.207020567786799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Info!B2:BZ3000""),37,FALSE)),"""")*-1"),-4.72268503125)</f>
        <v>-4.7226850312500002</v>
      </c>
      <c r="AG3" s="6">
        <f>SUM(AG4:AG99767)</f>
        <v>0</v>
      </c>
    </row>
    <row r="4" spans="1:33" x14ac:dyDescent="0.2">
      <c r="A4" s="1" t="s">
        <v>32</v>
      </c>
      <c r="B4" s="1" t="s">
        <v>105</v>
      </c>
      <c r="C4" s="14">
        <f t="shared" ref="C4:C32" si="4">IFERROR(F4/D4," - ")</f>
        <v>27.928750000000001</v>
      </c>
      <c r="D4" s="15">
        <v>8</v>
      </c>
      <c r="E4" s="15">
        <v>0</v>
      </c>
      <c r="F4" s="16">
        <v>223.43</v>
      </c>
      <c r="G4" s="16">
        <v>-68.87</v>
      </c>
      <c r="H4" s="17">
        <f t="shared" si="1"/>
        <v>0.30823971713735848</v>
      </c>
      <c r="I4" s="17">
        <f t="shared" si="2"/>
        <v>6.2659895774159827E-2</v>
      </c>
      <c r="J4" s="16">
        <f t="shared" ref="J4:J32" si="5">F4*0.85+G4+AF4*D4+D4*AE4+AG4+AD4</f>
        <v>14.000100512820531</v>
      </c>
      <c r="K4" s="16">
        <f t="shared" si="3"/>
        <v>1.7500125641025663</v>
      </c>
      <c r="L4" s="15">
        <v>126</v>
      </c>
      <c r="M4" s="18">
        <f t="shared" ref="M4:M32" si="6">IFERROR(D4/L4,"-")</f>
        <v>6.3492063492063489E-2</v>
      </c>
      <c r="N4" s="15">
        <v>130</v>
      </c>
      <c r="O4" s="19">
        <f t="shared" ref="O4:P4" si="7">D4/7</f>
        <v>1.1428571428571428</v>
      </c>
      <c r="P4" s="19">
        <f t="shared" si="7"/>
        <v>0</v>
      </c>
      <c r="Q4" s="15">
        <f t="shared" ref="Q4:Q32" si="8">ROUNDDOWN(N4/(O4+P4),0)</f>
        <v>113</v>
      </c>
      <c r="R4" s="15"/>
      <c r="S4" s="20">
        <v>0.73885350318471299</v>
      </c>
      <c r="T4" s="2">
        <v>204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0.25</v>
      </c>
      <c r="Y4" s="24">
        <f t="shared" ref="Y4:Y32" si="10">IFERROR(G4/(W4+Z4)*-1,0)</f>
        <v>9.838571428571429</v>
      </c>
      <c r="Z4" s="22">
        <v>5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0.12109375</v>
      </c>
      <c r="AD4" s="24">
        <f t="shared" ref="AD4:AD32" si="12">IFERROR(AB4*AC4*D4*2,0)</f>
        <v>-0.92999999999999994</v>
      </c>
      <c r="AE4" s="24">
        <v>-9.02</v>
      </c>
      <c r="AF4" s="24">
        <v>-4.2444249358974355</v>
      </c>
      <c r="AG4" s="24">
        <v>0</v>
      </c>
    </row>
    <row r="5" spans="1:33" ht="15.75" customHeight="1" x14ac:dyDescent="0.2">
      <c r="A5" s="26" t="s">
        <v>35</v>
      </c>
      <c r="B5" s="26" t="s">
        <v>46</v>
      </c>
      <c r="C5" s="14">
        <f t="shared" si="4"/>
        <v>26.267333333333333</v>
      </c>
      <c r="D5" s="27">
        <v>15</v>
      </c>
      <c r="E5" s="27">
        <v>0</v>
      </c>
      <c r="F5" s="28">
        <v>394.01</v>
      </c>
      <c r="G5" s="28">
        <v>-66.349999999999994</v>
      </c>
      <c r="H5" s="29">
        <f t="shared" si="1"/>
        <v>0.16839674119946194</v>
      </c>
      <c r="I5" s="29">
        <f t="shared" si="2"/>
        <v>0.17219450113893475</v>
      </c>
      <c r="J5" s="30">
        <f t="shared" si="5"/>
        <v>67.846355393751679</v>
      </c>
      <c r="K5" s="30">
        <f t="shared" si="3"/>
        <v>4.5230903595834455</v>
      </c>
      <c r="L5" s="27">
        <v>235</v>
      </c>
      <c r="M5" s="31">
        <f t="shared" si="6"/>
        <v>6.3829787234042548E-2</v>
      </c>
      <c r="N5" s="27">
        <v>115</v>
      </c>
      <c r="O5" s="32">
        <f t="shared" ref="O5:P5" si="13">D5/7</f>
        <v>2.1428571428571428</v>
      </c>
      <c r="P5" s="32">
        <f t="shared" si="13"/>
        <v>0</v>
      </c>
      <c r="Q5" s="27">
        <f t="shared" si="8"/>
        <v>53</v>
      </c>
      <c r="R5" s="27"/>
      <c r="S5" s="33">
        <v>1.11811023622047</v>
      </c>
      <c r="T5" s="26">
        <v>204</v>
      </c>
      <c r="U5" s="34" t="s">
        <v>34</v>
      </c>
      <c r="V5" s="35"/>
      <c r="W5" s="26">
        <v>4</v>
      </c>
      <c r="X5" s="36">
        <f t="shared" si="9"/>
        <v>0.26666666666666666</v>
      </c>
      <c r="Y5" s="37">
        <f t="shared" si="10"/>
        <v>13.27</v>
      </c>
      <c r="Z5" s="26">
        <v>1</v>
      </c>
      <c r="AA5" s="26" t="s">
        <v>250</v>
      </c>
      <c r="AB5" s="38">
        <f t="shared" si="11"/>
        <v>-0.48</v>
      </c>
      <c r="AC5" s="39">
        <v>0.12123406720741599</v>
      </c>
      <c r="AD5" s="37">
        <f t="shared" si="12"/>
        <v>-1.7457705677867903</v>
      </c>
      <c r="AE5" s="37">
        <v>-9.02</v>
      </c>
      <c r="AF5" s="37">
        <v>-4.2444249358974355</v>
      </c>
      <c r="AG5" s="37">
        <v>0</v>
      </c>
    </row>
    <row r="6" spans="1:33" ht="15.75" customHeight="1" x14ac:dyDescent="0.2">
      <c r="A6" s="26" t="s">
        <v>38</v>
      </c>
      <c r="B6" s="26" t="s">
        <v>754</v>
      </c>
      <c r="C6" s="14">
        <f t="shared" si="4"/>
        <v>24.040526315789485</v>
      </c>
      <c r="D6" s="27">
        <v>19</v>
      </c>
      <c r="E6" s="27">
        <v>0</v>
      </c>
      <c r="F6" s="28">
        <v>456.77000000000021</v>
      </c>
      <c r="G6" s="28">
        <v>-67.3</v>
      </c>
      <c r="H6" s="29">
        <f t="shared" si="1"/>
        <v>0.1473389233093241</v>
      </c>
      <c r="I6" s="29">
        <f t="shared" si="2"/>
        <v>0.14607280736026634</v>
      </c>
      <c r="J6" s="30">
        <f t="shared" si="5"/>
        <v>66.721676217948882</v>
      </c>
      <c r="K6" s="30">
        <f t="shared" si="3"/>
        <v>3.5116671693657309</v>
      </c>
      <c r="L6" s="27">
        <v>196</v>
      </c>
      <c r="M6" s="31">
        <f t="shared" si="6"/>
        <v>9.6938775510204078E-2</v>
      </c>
      <c r="N6" s="27">
        <v>98</v>
      </c>
      <c r="O6" s="32">
        <f t="shared" ref="O6:P6" si="14">D6/7</f>
        <v>2.7142857142857144</v>
      </c>
      <c r="P6" s="32">
        <f t="shared" si="14"/>
        <v>0</v>
      </c>
      <c r="Q6" s="27">
        <f t="shared" si="8"/>
        <v>36</v>
      </c>
      <c r="R6" s="27"/>
      <c r="S6" s="33">
        <v>1.40996168582375</v>
      </c>
      <c r="T6" s="26">
        <v>204</v>
      </c>
      <c r="U6" s="34" t="s">
        <v>34</v>
      </c>
      <c r="V6" s="35"/>
      <c r="W6" s="26">
        <v>1</v>
      </c>
      <c r="X6" s="36">
        <f t="shared" si="9"/>
        <v>5.2631578947368418E-2</v>
      </c>
      <c r="Y6" s="37">
        <f t="shared" si="10"/>
        <v>11.216666666666667</v>
      </c>
      <c r="Z6" s="26">
        <v>5</v>
      </c>
      <c r="AA6" s="26" t="s">
        <v>250</v>
      </c>
      <c r="AB6" s="38">
        <f t="shared" si="11"/>
        <v>-0.48</v>
      </c>
      <c r="AC6" s="39">
        <v>0.12109375</v>
      </c>
      <c r="AD6" s="37">
        <f t="shared" si="12"/>
        <v>-2.2087499999999998</v>
      </c>
      <c r="AE6" s="37">
        <v>-9.02</v>
      </c>
      <c r="AF6" s="37">
        <v>-4.2444249358974355</v>
      </c>
      <c r="AG6" s="37">
        <v>0</v>
      </c>
    </row>
    <row r="7" spans="1:33" ht="15.75" customHeight="1" x14ac:dyDescent="0.2">
      <c r="A7" s="26" t="s">
        <v>41</v>
      </c>
      <c r="B7" s="26" t="s">
        <v>755</v>
      </c>
      <c r="C7" s="14">
        <f t="shared" si="4"/>
        <v>24.267916666666675</v>
      </c>
      <c r="D7" s="27">
        <v>24</v>
      </c>
      <c r="E7" s="27">
        <v>0</v>
      </c>
      <c r="F7" s="28">
        <v>582.43000000000018</v>
      </c>
      <c r="G7" s="28">
        <v>-65.530000000000015</v>
      </c>
      <c r="H7" s="29">
        <f t="shared" si="1"/>
        <v>0.11251137475748157</v>
      </c>
      <c r="I7" s="29">
        <f t="shared" si="2"/>
        <v>0.1861155873469115</v>
      </c>
      <c r="J7" s="30">
        <f t="shared" si="5"/>
        <v>108.3993015384617</v>
      </c>
      <c r="K7" s="30">
        <f t="shared" si="3"/>
        <v>4.5166375641025711</v>
      </c>
      <c r="L7" s="27">
        <v>175</v>
      </c>
      <c r="M7" s="31">
        <f t="shared" si="6"/>
        <v>0.13714285714285715</v>
      </c>
      <c r="N7" s="27">
        <v>76</v>
      </c>
      <c r="O7" s="32">
        <f t="shared" ref="O7:P7" si="15">D7/7</f>
        <v>3.4285714285714284</v>
      </c>
      <c r="P7" s="32">
        <f t="shared" si="15"/>
        <v>0</v>
      </c>
      <c r="Q7" s="27">
        <f t="shared" si="8"/>
        <v>22</v>
      </c>
      <c r="R7" s="27"/>
      <c r="S7" s="33">
        <v>1.1100000000000001</v>
      </c>
      <c r="T7" s="26">
        <v>204</v>
      </c>
      <c r="U7" s="34" t="s">
        <v>34</v>
      </c>
      <c r="V7" s="35"/>
      <c r="W7" s="26">
        <v>1</v>
      </c>
      <c r="X7" s="36">
        <f t="shared" si="9"/>
        <v>4.1666666666666664E-2</v>
      </c>
      <c r="Y7" s="37">
        <f t="shared" si="10"/>
        <v>6.5530000000000017</v>
      </c>
      <c r="Z7" s="26">
        <v>9</v>
      </c>
      <c r="AA7" s="26" t="s">
        <v>250</v>
      </c>
      <c r="AB7" s="38">
        <f t="shared" si="11"/>
        <v>-0.48</v>
      </c>
      <c r="AC7" s="39">
        <v>0.12109375</v>
      </c>
      <c r="AD7" s="37">
        <f t="shared" si="12"/>
        <v>-2.79</v>
      </c>
      <c r="AE7" s="37">
        <v>-9.02</v>
      </c>
      <c r="AF7" s="37">
        <v>-4.2444249358974355</v>
      </c>
      <c r="AG7" s="37">
        <v>0</v>
      </c>
    </row>
    <row r="8" spans="1:33" ht="15.75" customHeight="1" x14ac:dyDescent="0.2">
      <c r="A8" s="26" t="s">
        <v>43</v>
      </c>
      <c r="B8" s="26" t="s">
        <v>196</v>
      </c>
      <c r="C8" s="14">
        <f t="shared" si="4"/>
        <v>27.575294117647069</v>
      </c>
      <c r="D8" s="27">
        <v>17</v>
      </c>
      <c r="E8" s="27">
        <v>0</v>
      </c>
      <c r="F8" s="28">
        <v>468.78000000000014</v>
      </c>
      <c r="G8" s="28">
        <v>0</v>
      </c>
      <c r="H8" s="29">
        <f t="shared" si="1"/>
        <v>0</v>
      </c>
      <c r="I8" s="29">
        <f t="shared" si="2"/>
        <v>0.36491904518110863</v>
      </c>
      <c r="J8" s="30">
        <f t="shared" si="5"/>
        <v>171.06675000000016</v>
      </c>
      <c r="K8" s="30">
        <f t="shared" si="3"/>
        <v>10.062750000000008</v>
      </c>
      <c r="L8" s="27">
        <v>116</v>
      </c>
      <c r="M8" s="31">
        <f t="shared" si="6"/>
        <v>0.14655172413793102</v>
      </c>
      <c r="N8" s="27">
        <v>56</v>
      </c>
      <c r="O8" s="32">
        <f t="shared" ref="O8:P8" si="16">D8/7</f>
        <v>2.4285714285714284</v>
      </c>
      <c r="P8" s="32">
        <f t="shared" si="16"/>
        <v>0</v>
      </c>
      <c r="Q8" s="27">
        <f t="shared" si="8"/>
        <v>23</v>
      </c>
      <c r="R8" s="27"/>
      <c r="S8" s="33">
        <v>1.4623655913978399</v>
      </c>
      <c r="T8" s="26">
        <v>204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0.12109375</v>
      </c>
      <c r="AD8" s="37">
        <f t="shared" si="12"/>
        <v>-1.9762499999999998</v>
      </c>
      <c r="AE8" s="37">
        <v>-9.02</v>
      </c>
      <c r="AF8" s="37">
        <v>-4.24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27.3825</v>
      </c>
      <c r="D9" s="27">
        <v>8</v>
      </c>
      <c r="E9" s="27">
        <v>1</v>
      </c>
      <c r="F9" s="28">
        <v>219.06</v>
      </c>
      <c r="G9" s="28">
        <v>0</v>
      </c>
      <c r="H9" s="29">
        <f t="shared" si="1"/>
        <v>0</v>
      </c>
      <c r="I9" s="29">
        <f t="shared" si="2"/>
        <v>0.35711658672135266</v>
      </c>
      <c r="J9" s="30">
        <f t="shared" si="5"/>
        <v>78.229959487179514</v>
      </c>
      <c r="K9" s="30">
        <f t="shared" si="3"/>
        <v>9.7787449358974392</v>
      </c>
      <c r="L9" s="27">
        <v>102</v>
      </c>
      <c r="M9" s="31">
        <f t="shared" si="6"/>
        <v>7.8431372549019607E-2</v>
      </c>
      <c r="N9" s="27">
        <v>48</v>
      </c>
      <c r="O9" s="32">
        <f t="shared" ref="O9:P9" si="17">D9/7</f>
        <v>1.1428571428571428</v>
      </c>
      <c r="P9" s="32">
        <f t="shared" si="17"/>
        <v>0.14285714285714285</v>
      </c>
      <c r="Q9" s="27">
        <f t="shared" si="8"/>
        <v>37</v>
      </c>
      <c r="R9" s="27"/>
      <c r="S9" s="33">
        <v>1.9147540983606499</v>
      </c>
      <c r="T9" s="26">
        <v>204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0.12109375</v>
      </c>
      <c r="AD9" s="37">
        <f t="shared" si="12"/>
        <v>-0.92999999999999994</v>
      </c>
      <c r="AE9" s="37">
        <v>-9.02</v>
      </c>
      <c r="AF9" s="37">
        <v>-4.3601300641025604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24.671333333333337</v>
      </c>
      <c r="D10" s="27">
        <v>15</v>
      </c>
      <c r="E10" s="27">
        <v>1</v>
      </c>
      <c r="F10" s="28">
        <v>370.07000000000005</v>
      </c>
      <c r="G10" s="28">
        <v>0</v>
      </c>
      <c r="H10" s="29">
        <f t="shared" si="1"/>
        <v>0</v>
      </c>
      <c r="I10" s="29">
        <f t="shared" si="2"/>
        <v>0.30295295224811958</v>
      </c>
      <c r="J10" s="30">
        <f t="shared" si="5"/>
        <v>112.11379903846162</v>
      </c>
      <c r="K10" s="30">
        <f t="shared" si="3"/>
        <v>7.4742532692307746</v>
      </c>
      <c r="L10" s="27">
        <v>109</v>
      </c>
      <c r="M10" s="31">
        <f t="shared" si="6"/>
        <v>0.13761467889908258</v>
      </c>
      <c r="N10" s="27">
        <v>31</v>
      </c>
      <c r="O10" s="32">
        <f t="shared" ref="O10:P10" si="18">D10/7</f>
        <v>2.1428571428571428</v>
      </c>
      <c r="P10" s="32">
        <f t="shared" si="18"/>
        <v>0.14285714285714285</v>
      </c>
      <c r="Q10" s="27">
        <f t="shared" si="8"/>
        <v>13</v>
      </c>
      <c r="R10" s="27"/>
      <c r="S10" s="33">
        <v>2.2614840989399201</v>
      </c>
      <c r="T10" s="26">
        <v>204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0.12109375</v>
      </c>
      <c r="AD10" s="37">
        <f t="shared" si="12"/>
        <v>-1.7437499999999999</v>
      </c>
      <c r="AE10" s="37">
        <v>-9.02</v>
      </c>
      <c r="AF10" s="37">
        <v>-4.3601300641025604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26.707272727272731</v>
      </c>
      <c r="D11" s="27">
        <v>11</v>
      </c>
      <c r="E11" s="27">
        <v>0</v>
      </c>
      <c r="F11" s="28">
        <v>293.78000000000003</v>
      </c>
      <c r="G11" s="28">
        <v>0</v>
      </c>
      <c r="H11" s="29">
        <f t="shared" si="1"/>
        <v>0</v>
      </c>
      <c r="I11" s="29">
        <f t="shared" si="2"/>
        <v>0.34465524982936835</v>
      </c>
      <c r="J11" s="30">
        <f t="shared" si="5"/>
        <v>101.25281929487184</v>
      </c>
      <c r="K11" s="30">
        <f t="shared" si="3"/>
        <v>9.2048017540792575</v>
      </c>
      <c r="L11" s="27">
        <v>65</v>
      </c>
      <c r="M11" s="31">
        <f t="shared" si="6"/>
        <v>0.16923076923076924</v>
      </c>
      <c r="N11" s="27">
        <v>20</v>
      </c>
      <c r="O11" s="32">
        <f t="shared" ref="O11:P11" si="19">D11/7</f>
        <v>1.5714285714285714</v>
      </c>
      <c r="P11" s="32">
        <f t="shared" si="19"/>
        <v>0</v>
      </c>
      <c r="Q11" s="27">
        <f t="shared" si="8"/>
        <v>12</v>
      </c>
      <c r="R11" s="27"/>
      <c r="S11" s="33">
        <v>1.5831381733020999</v>
      </c>
      <c r="T11" s="26">
        <v>204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0.12109375</v>
      </c>
      <c r="AD11" s="37">
        <f t="shared" si="12"/>
        <v>-1.2787499999999998</v>
      </c>
      <c r="AE11" s="37">
        <v>-9.02</v>
      </c>
      <c r="AF11" s="37">
        <v>-4.3601300641025604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26.490000000000002</v>
      </c>
      <c r="D12" s="27">
        <v>10</v>
      </c>
      <c r="E12" s="27">
        <v>0</v>
      </c>
      <c r="F12" s="28">
        <v>264.90000000000003</v>
      </c>
      <c r="G12" s="28">
        <v>0</v>
      </c>
      <c r="H12" s="29">
        <f t="shared" si="1"/>
        <v>0</v>
      </c>
      <c r="I12" s="29">
        <f t="shared" si="2"/>
        <v>0.3405103788560756</v>
      </c>
      <c r="J12" s="30">
        <f t="shared" si="5"/>
        <v>90.201199358974435</v>
      </c>
      <c r="K12" s="30">
        <f t="shared" si="3"/>
        <v>9.0201199358974442</v>
      </c>
      <c r="L12" s="27">
        <v>84</v>
      </c>
      <c r="M12" s="31">
        <f t="shared" si="6"/>
        <v>0.11904761904761904</v>
      </c>
      <c r="N12" s="27">
        <v>12</v>
      </c>
      <c r="O12" s="32">
        <f t="shared" ref="O12:P12" si="20">D12/7</f>
        <v>1.4285714285714286</v>
      </c>
      <c r="P12" s="32">
        <f t="shared" si="20"/>
        <v>0</v>
      </c>
      <c r="Q12" s="27">
        <f t="shared" si="8"/>
        <v>8</v>
      </c>
      <c r="R12" s="27"/>
      <c r="S12" s="33">
        <v>1.8285714285714201</v>
      </c>
      <c r="T12" s="26">
        <v>204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0.12109375</v>
      </c>
      <c r="AD12" s="37">
        <f t="shared" si="12"/>
        <v>-1.1624999999999999</v>
      </c>
      <c r="AE12" s="37">
        <v>-9.02</v>
      </c>
      <c r="AF12" s="37">
        <v>-4.3601300641025604</v>
      </c>
      <c r="AG12" s="37">
        <v>0</v>
      </c>
    </row>
    <row r="13" spans="1:33" ht="15.75" customHeight="1" x14ac:dyDescent="0.2">
      <c r="A13" s="26" t="s">
        <v>54</v>
      </c>
      <c r="B13" s="26" t="s">
        <v>616</v>
      </c>
      <c r="C13" s="14">
        <f t="shared" si="4"/>
        <v>26.310000000000002</v>
      </c>
      <c r="D13" s="27">
        <v>8</v>
      </c>
      <c r="E13" s="27">
        <v>0</v>
      </c>
      <c r="F13" s="30">
        <v>210.48000000000002</v>
      </c>
      <c r="G13" s="28">
        <v>0</v>
      </c>
      <c r="H13" s="29">
        <f t="shared" si="1"/>
        <v>0</v>
      </c>
      <c r="I13" s="29">
        <f t="shared" si="2"/>
        <v>0.3347100912200684</v>
      </c>
      <c r="J13" s="30">
        <f t="shared" si="5"/>
        <v>70.449780000000004</v>
      </c>
      <c r="K13" s="30">
        <f t="shared" si="3"/>
        <v>8.8062225000000005</v>
      </c>
      <c r="L13" s="27">
        <v>72</v>
      </c>
      <c r="M13" s="31">
        <f t="shared" si="6"/>
        <v>0.1111111111111111</v>
      </c>
      <c r="N13" s="27">
        <v>4</v>
      </c>
      <c r="O13" s="32">
        <f t="shared" ref="O13:P13" si="21">D13/7</f>
        <v>1.1428571428571428</v>
      </c>
      <c r="P13" s="32">
        <f t="shared" si="21"/>
        <v>0</v>
      </c>
      <c r="Q13" s="27">
        <f t="shared" si="8"/>
        <v>3</v>
      </c>
      <c r="R13" s="27"/>
      <c r="S13" s="33">
        <v>1.8067885117493401</v>
      </c>
      <c r="T13" s="26">
        <v>204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0.12109375</v>
      </c>
      <c r="AD13" s="37">
        <f t="shared" si="12"/>
        <v>-0.92999999999999994</v>
      </c>
      <c r="AE13" s="37">
        <v>-9.02</v>
      </c>
      <c r="AF13" s="37">
        <v>-4.4210275000000001</v>
      </c>
      <c r="AG13" s="37">
        <v>0</v>
      </c>
    </row>
    <row r="14" spans="1:33" ht="15.75" customHeight="1" x14ac:dyDescent="0.2">
      <c r="A14" s="26" t="s">
        <v>56</v>
      </c>
      <c r="B14" s="26" t="s">
        <v>76</v>
      </c>
      <c r="C14" s="14">
        <f t="shared" si="4"/>
        <v>25.99</v>
      </c>
      <c r="D14" s="27">
        <v>2</v>
      </c>
      <c r="E14" s="27">
        <v>0</v>
      </c>
      <c r="F14" s="30">
        <v>51.98</v>
      </c>
      <c r="G14" s="28">
        <v>0</v>
      </c>
      <c r="H14" s="29">
        <f t="shared" si="1"/>
        <v>0</v>
      </c>
      <c r="I14" s="29">
        <f t="shared" si="2"/>
        <v>0.3283656213928432</v>
      </c>
      <c r="J14" s="30">
        <f t="shared" si="5"/>
        <v>17.06844499999999</v>
      </c>
      <c r="K14" s="30">
        <f t="shared" si="3"/>
        <v>8.5342224999999949</v>
      </c>
      <c r="L14" s="27">
        <v>0</v>
      </c>
      <c r="M14" s="31" t="str">
        <f t="shared" si="6"/>
        <v>-</v>
      </c>
      <c r="N14" s="27">
        <v>2</v>
      </c>
      <c r="O14" s="32">
        <f t="shared" ref="O14:P14" si="22">D14/7</f>
        <v>0.2857142857142857</v>
      </c>
      <c r="P14" s="32">
        <f t="shared" si="22"/>
        <v>0</v>
      </c>
      <c r="Q14" s="27">
        <f t="shared" si="8"/>
        <v>7</v>
      </c>
      <c r="R14" s="27"/>
      <c r="S14" s="33">
        <v>2.0830670926517501</v>
      </c>
      <c r="T14" s="26">
        <v>204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0.12109375</v>
      </c>
      <c r="AD14" s="37">
        <f t="shared" si="12"/>
        <v>-0.23249999999999998</v>
      </c>
      <c r="AE14" s="37">
        <v>-9.02</v>
      </c>
      <c r="AF14" s="37">
        <v>-4.4210275000000001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26.43</v>
      </c>
      <c r="D15" s="27">
        <v>1</v>
      </c>
      <c r="E15" s="27">
        <v>0</v>
      </c>
      <c r="F15" s="30">
        <v>26.43</v>
      </c>
      <c r="G15" s="28">
        <v>0</v>
      </c>
      <c r="H15" s="29">
        <f t="shared" si="1"/>
        <v>0</v>
      </c>
      <c r="I15" s="29">
        <f t="shared" si="2"/>
        <v>0.33704965947786597</v>
      </c>
      <c r="J15" s="30">
        <f t="shared" si="5"/>
        <v>8.9082224999999973</v>
      </c>
      <c r="K15" s="30">
        <f t="shared" si="3"/>
        <v>8.9082224999999973</v>
      </c>
      <c r="L15" s="27">
        <v>14</v>
      </c>
      <c r="M15" s="31">
        <f t="shared" si="6"/>
        <v>7.1428571428571425E-2</v>
      </c>
      <c r="N15" s="27">
        <v>0</v>
      </c>
      <c r="O15" s="32">
        <f t="shared" ref="O15:P15" si="23">D15/7</f>
        <v>0.14285714285714285</v>
      </c>
      <c r="P15" s="32">
        <f t="shared" si="23"/>
        <v>0</v>
      </c>
      <c r="Q15" s="27">
        <f t="shared" si="8"/>
        <v>0</v>
      </c>
      <c r="R15" s="27"/>
      <c r="S15" s="33" t="e">
        <v>#N/A</v>
      </c>
      <c r="T15" s="26">
        <v>220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0.12109375</v>
      </c>
      <c r="AD15" s="37">
        <f t="shared" si="12"/>
        <v>-0.11624999999999999</v>
      </c>
      <c r="AE15" s="37">
        <v>-9.02</v>
      </c>
      <c r="AF15" s="37">
        <v>-4.4210275000000001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1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220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-4.4210275000000001</v>
      </c>
      <c r="AG16" s="37">
        <v>0</v>
      </c>
    </row>
    <row r="17" spans="1:33" ht="15.75" customHeight="1" x14ac:dyDescent="0.2">
      <c r="A17" s="26" t="s">
        <v>61</v>
      </c>
      <c r="B17" s="26" t="s">
        <v>76</v>
      </c>
      <c r="C17" s="14">
        <f t="shared" si="4"/>
        <v>27.27</v>
      </c>
      <c r="D17" s="27">
        <v>2</v>
      </c>
      <c r="E17" s="27">
        <v>0</v>
      </c>
      <c r="F17" s="30">
        <v>54.54</v>
      </c>
      <c r="G17" s="28">
        <v>0</v>
      </c>
      <c r="H17" s="29">
        <f t="shared" si="1"/>
        <v>0</v>
      </c>
      <c r="I17" s="29">
        <f t="shared" si="2"/>
        <v>0.35285011001100097</v>
      </c>
      <c r="J17" s="30">
        <f t="shared" si="5"/>
        <v>19.244444999999992</v>
      </c>
      <c r="K17" s="30">
        <f t="shared" si="3"/>
        <v>9.6222224999999959</v>
      </c>
      <c r="L17" s="27">
        <v>41</v>
      </c>
      <c r="M17" s="31">
        <f t="shared" si="6"/>
        <v>4.878048780487805E-2</v>
      </c>
      <c r="N17" s="27">
        <v>1</v>
      </c>
      <c r="O17" s="32">
        <f t="shared" ref="O17:P17" si="25">D17/7</f>
        <v>0.2857142857142857</v>
      </c>
      <c r="P17" s="32">
        <f t="shared" si="25"/>
        <v>0</v>
      </c>
      <c r="Q17" s="27">
        <f t="shared" si="8"/>
        <v>3</v>
      </c>
      <c r="R17" s="27"/>
      <c r="S17" s="33">
        <v>2.5951219512195101</v>
      </c>
      <c r="T17" s="26">
        <v>220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0.12109375</v>
      </c>
      <c r="AD17" s="37">
        <f t="shared" si="12"/>
        <v>-0.23249999999999998</v>
      </c>
      <c r="AE17" s="37">
        <v>-9.02</v>
      </c>
      <c r="AF17" s="37">
        <v>-4.4210275000000001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1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2.8045977011494201</v>
      </c>
      <c r="T18" s="26">
        <v>220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0.12109375</v>
      </c>
      <c r="AD18" s="37">
        <f t="shared" si="12"/>
        <v>0</v>
      </c>
      <c r="AE18" s="37">
        <v>-9.02</v>
      </c>
      <c r="AF18" s="37">
        <v>-4.4210275000000001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1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>
        <v>2.9041095890410902</v>
      </c>
      <c r="T19" s="26">
        <v>220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0.12109375</v>
      </c>
      <c r="AD19" s="37">
        <f t="shared" si="12"/>
        <v>0</v>
      </c>
      <c r="AE19" s="37">
        <v>-9.02</v>
      </c>
      <c r="AF19" s="37">
        <v>-4.4210275000000001</v>
      </c>
      <c r="AG19" s="37">
        <v>0</v>
      </c>
    </row>
    <row r="20" spans="1:33" ht="15.75" customHeight="1" x14ac:dyDescent="0.2">
      <c r="A20" s="26" t="s">
        <v>65</v>
      </c>
      <c r="B20" s="26" t="s">
        <v>76</v>
      </c>
      <c r="C20" s="14">
        <f t="shared" si="4"/>
        <v>28.06</v>
      </c>
      <c r="D20" s="27">
        <v>1</v>
      </c>
      <c r="E20" s="27">
        <v>0</v>
      </c>
      <c r="F20" s="30">
        <v>28.06</v>
      </c>
      <c r="G20" s="28">
        <v>0</v>
      </c>
      <c r="H20" s="29">
        <f t="shared" si="1"/>
        <v>0</v>
      </c>
      <c r="I20" s="29">
        <f t="shared" si="2"/>
        <v>0.36684684604419093</v>
      </c>
      <c r="J20" s="30">
        <f t="shared" si="5"/>
        <v>10.293722499999998</v>
      </c>
      <c r="K20" s="30">
        <f t="shared" si="3"/>
        <v>10.293722499999998</v>
      </c>
      <c r="L20" s="27">
        <v>15</v>
      </c>
      <c r="M20" s="31">
        <f t="shared" si="6"/>
        <v>6.6666666666666666E-2</v>
      </c>
      <c r="N20" s="27">
        <v>0</v>
      </c>
      <c r="O20" s="32">
        <f t="shared" ref="O20:P20" si="28">D20/7</f>
        <v>0.14285714285714285</v>
      </c>
      <c r="P20" s="32">
        <f t="shared" si="28"/>
        <v>0</v>
      </c>
      <c r="Q20" s="27">
        <f t="shared" si="8"/>
        <v>0</v>
      </c>
      <c r="R20" s="27"/>
      <c r="S20" s="33" t="e">
        <v>#N/A</v>
      </c>
      <c r="T20" s="26">
        <v>220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0.12109375</v>
      </c>
      <c r="AD20" s="37">
        <f t="shared" si="12"/>
        <v>-0.11624999999999999</v>
      </c>
      <c r="AE20" s="37">
        <v>-9.02</v>
      </c>
      <c r="AF20" s="37">
        <v>-4.4210275000000001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0.12109375</v>
      </c>
      <c r="AD21" s="37">
        <f t="shared" si="12"/>
        <v>0</v>
      </c>
      <c r="AE21" s="37">
        <v>-9.02</v>
      </c>
      <c r="AF21" s="37">
        <v>-4.4210275000000001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e">
        <v>#N/A</v>
      </c>
      <c r="AB22" s="38" t="e">
        <f t="shared" si="11"/>
        <v>#N/A</v>
      </c>
      <c r="AC22" s="39" t="e">
        <v>#N/A</v>
      </c>
      <c r="AD22" s="37">
        <f t="shared" si="12"/>
        <v>0</v>
      </c>
      <c r="AE22" s="37">
        <v>0</v>
      </c>
      <c r="AF22" s="37">
        <v>-4.4210275000000001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1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>
        <v>3.0714285714285698</v>
      </c>
      <c r="T23" s="26">
        <v>444</v>
      </c>
      <c r="U23" s="34" t="s">
        <v>34</v>
      </c>
      <c r="V23" s="35" t="s">
        <v>756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0.12109375</v>
      </c>
      <c r="AD23" s="37">
        <f t="shared" si="12"/>
        <v>0</v>
      </c>
      <c r="AE23" s="37">
        <v>-9.02</v>
      </c>
      <c r="AF23" s="37">
        <v>-4.4210275000000001</v>
      </c>
      <c r="AG23" s="37">
        <v>0</v>
      </c>
    </row>
    <row r="24" spans="1:33" ht="15.75" customHeight="1" x14ac:dyDescent="0.2">
      <c r="A24" s="26" t="s">
        <v>71</v>
      </c>
      <c r="B24" s="26" t="s">
        <v>605</v>
      </c>
      <c r="C24" s="14">
        <f t="shared" si="4"/>
        <v>29.164999999999999</v>
      </c>
      <c r="D24" s="27">
        <v>2</v>
      </c>
      <c r="E24" s="27">
        <v>0</v>
      </c>
      <c r="F24" s="30">
        <v>58.33</v>
      </c>
      <c r="G24" s="30">
        <v>0</v>
      </c>
      <c r="H24" s="29">
        <f t="shared" si="1"/>
        <v>0</v>
      </c>
      <c r="I24" s="29">
        <f t="shared" si="2"/>
        <v>0.385152494428253</v>
      </c>
      <c r="J24" s="30">
        <f t="shared" si="5"/>
        <v>22.465944999999998</v>
      </c>
      <c r="K24" s="30">
        <f t="shared" si="3"/>
        <v>11.232972499999999</v>
      </c>
      <c r="L24" s="27">
        <v>32</v>
      </c>
      <c r="M24" s="31">
        <f t="shared" si="6"/>
        <v>6.25E-2</v>
      </c>
      <c r="N24" s="27">
        <v>4</v>
      </c>
      <c r="O24" s="32">
        <f t="shared" ref="O24:P24" si="32">D24/7</f>
        <v>0.2857142857142857</v>
      </c>
      <c r="P24" s="32">
        <f t="shared" si="32"/>
        <v>0</v>
      </c>
      <c r="Q24" s="27">
        <f t="shared" si="8"/>
        <v>14</v>
      </c>
      <c r="R24" s="27"/>
      <c r="S24" s="33">
        <v>2.6976744186046502</v>
      </c>
      <c r="T24" s="26">
        <v>268</v>
      </c>
      <c r="U24" s="34">
        <v>48</v>
      </c>
      <c r="V24" s="35" t="s">
        <v>757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0.12109375</v>
      </c>
      <c r="AD24" s="37">
        <f t="shared" si="12"/>
        <v>-0.23249999999999998</v>
      </c>
      <c r="AE24" s="37">
        <v>-9.02</v>
      </c>
      <c r="AF24" s="37">
        <v>-4.4210275000000001</v>
      </c>
      <c r="AG24" s="37">
        <v>0</v>
      </c>
    </row>
    <row r="25" spans="1:33" ht="15.75" customHeight="1" x14ac:dyDescent="0.2">
      <c r="A25" s="40" t="s">
        <v>73</v>
      </c>
      <c r="B25" s="26" t="s">
        <v>605</v>
      </c>
      <c r="C25" s="14">
        <f t="shared" si="4"/>
        <v>26.14</v>
      </c>
      <c r="D25" s="15">
        <v>1</v>
      </c>
      <c r="E25" s="15">
        <v>0</v>
      </c>
      <c r="F25" s="16">
        <v>26.14</v>
      </c>
      <c r="G25" s="16">
        <v>-1.24</v>
      </c>
      <c r="H25" s="29">
        <f t="shared" si="1"/>
        <v>4.7436878347360364E-2</v>
      </c>
      <c r="I25" s="29">
        <f t="shared" si="2"/>
        <v>0.28396136189747534</v>
      </c>
      <c r="J25" s="30">
        <f t="shared" si="5"/>
        <v>7.4227500000000051</v>
      </c>
      <c r="K25" s="30">
        <f t="shared" si="3"/>
        <v>7.4227500000000051</v>
      </c>
      <c r="L25" s="15">
        <v>44</v>
      </c>
      <c r="M25" s="31">
        <f t="shared" si="6"/>
        <v>2.2727272727272728E-2</v>
      </c>
      <c r="N25" s="15">
        <v>2</v>
      </c>
      <c r="O25" s="32">
        <f t="shared" ref="O25:P25" si="33">D25/7</f>
        <v>0.14285714285714285</v>
      </c>
      <c r="P25" s="32">
        <f t="shared" si="33"/>
        <v>0</v>
      </c>
      <c r="Q25" s="27">
        <f t="shared" si="8"/>
        <v>14</v>
      </c>
      <c r="R25" s="27"/>
      <c r="S25" s="41">
        <v>2.666666666666667</v>
      </c>
      <c r="T25" s="26">
        <v>268</v>
      </c>
      <c r="U25" s="34">
        <v>48</v>
      </c>
      <c r="V25" s="35" t="s">
        <v>758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0.12109375</v>
      </c>
      <c r="AD25" s="37">
        <f t="shared" si="12"/>
        <v>-0.11624999999999999</v>
      </c>
      <c r="AE25" s="42">
        <v>-9.02</v>
      </c>
      <c r="AF25" s="42">
        <v>-4.42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29.99</v>
      </c>
      <c r="D26" s="15">
        <v>2</v>
      </c>
      <c r="E26" s="15">
        <v>0</v>
      </c>
      <c r="F26" s="16">
        <v>59.98</v>
      </c>
      <c r="G26" s="16">
        <v>0</v>
      </c>
      <c r="H26" s="29">
        <f t="shared" si="1"/>
        <v>0</v>
      </c>
      <c r="I26" s="29">
        <f t="shared" si="2"/>
        <v>0.39794006335445142</v>
      </c>
      <c r="J26" s="30">
        <f t="shared" si="5"/>
        <v>23.868444999999994</v>
      </c>
      <c r="K26" s="30">
        <f t="shared" si="3"/>
        <v>11.934222499999997</v>
      </c>
      <c r="L26" s="15">
        <v>44</v>
      </c>
      <c r="M26" s="31">
        <f t="shared" si="6"/>
        <v>4.5454545454545456E-2</v>
      </c>
      <c r="N26" s="15">
        <v>0</v>
      </c>
      <c r="O26" s="32">
        <f t="shared" ref="O26:P26" si="34">D26/7</f>
        <v>0.2857142857142857</v>
      </c>
      <c r="P26" s="32">
        <f t="shared" si="34"/>
        <v>0</v>
      </c>
      <c r="Q26" s="27">
        <f t="shared" si="8"/>
        <v>0</v>
      </c>
      <c r="R26" s="27"/>
      <c r="S26" s="41">
        <v>0</v>
      </c>
      <c r="T26" s="26">
        <v>268</v>
      </c>
      <c r="U26" s="34">
        <v>48</v>
      </c>
      <c r="V26" s="35" t="s">
        <v>759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0.12109375</v>
      </c>
      <c r="AD26" s="37">
        <f t="shared" si="12"/>
        <v>-0.23249999999999998</v>
      </c>
      <c r="AE26" s="42">
        <v>-9.02</v>
      </c>
      <c r="AF26" s="42">
        <v>-4.4210275000000001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268</v>
      </c>
      <c r="U27" s="34">
        <v>48</v>
      </c>
      <c r="V27" s="35" t="s">
        <v>760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0.12109375</v>
      </c>
      <c r="AD27" s="37">
        <f t="shared" si="12"/>
        <v>0</v>
      </c>
      <c r="AE27" s="42">
        <v>-9.02</v>
      </c>
      <c r="AF27" s="42">
        <v>-4.4210275000000001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48</v>
      </c>
      <c r="V28" s="1" t="s">
        <v>761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0.12109375</v>
      </c>
      <c r="AD28" s="37">
        <f t="shared" si="12"/>
        <v>0</v>
      </c>
      <c r="AE28" s="42">
        <v>-9.02</v>
      </c>
      <c r="AF28" s="42">
        <v>-4.4210275000000001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0.12109375</v>
      </c>
      <c r="AD29" s="37">
        <f t="shared" si="12"/>
        <v>0</v>
      </c>
      <c r="AE29" s="37">
        <v>-9.02</v>
      </c>
      <c r="AF29" s="42">
        <v>-4.4210275000000001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48</v>
      </c>
      <c r="U30" s="34">
        <v>48</v>
      </c>
      <c r="V30" s="35" t="s">
        <v>762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0.12109375</v>
      </c>
      <c r="AD30" s="37">
        <f t="shared" si="12"/>
        <v>0</v>
      </c>
      <c r="AE30" s="42">
        <v>-9.02</v>
      </c>
      <c r="AF30" s="42">
        <v>-4.7226850312500002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-4.34</v>
      </c>
      <c r="H31" s="29" t="e">
        <f t="shared" si="1"/>
        <v>#DIV/0!</v>
      </c>
      <c r="I31" s="29" t="e">
        <f t="shared" si="2"/>
        <v>#DIV/0!</v>
      </c>
      <c r="J31" s="30">
        <f t="shared" si="5"/>
        <v>-4.34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2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1.71428571428571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0.12109375</v>
      </c>
      <c r="AD31" s="37">
        <f t="shared" si="12"/>
        <v>0</v>
      </c>
      <c r="AE31" s="45">
        <v>-9.42</v>
      </c>
      <c r="AF31" s="45">
        <v>-4.7226850312500002</v>
      </c>
      <c r="AG31" s="42">
        <v>0</v>
      </c>
    </row>
    <row r="32" spans="1:33" ht="15.75" customHeight="1" x14ac:dyDescent="0.2">
      <c r="A32" s="40" t="s">
        <v>90</v>
      </c>
      <c r="B32" s="50" t="s">
        <v>76</v>
      </c>
      <c r="C32" s="14">
        <f t="shared" si="4"/>
        <v>29.094999999999999</v>
      </c>
      <c r="D32" s="15">
        <v>2</v>
      </c>
      <c r="E32" s="15">
        <v>0</v>
      </c>
      <c r="F32" s="16">
        <v>58.19</v>
      </c>
      <c r="G32" s="16">
        <v>0</v>
      </c>
      <c r="H32" s="29">
        <f t="shared" si="1"/>
        <v>0</v>
      </c>
      <c r="I32" s="29">
        <f t="shared" si="2"/>
        <v>0.35991802607836393</v>
      </c>
      <c r="J32" s="30">
        <f t="shared" si="5"/>
        <v>20.943629937499995</v>
      </c>
      <c r="K32" s="30">
        <f t="shared" si="3"/>
        <v>10.471814968749998</v>
      </c>
      <c r="L32" s="15">
        <v>24</v>
      </c>
      <c r="M32" s="31">
        <f t="shared" si="6"/>
        <v>8.3333333333333329E-2</v>
      </c>
      <c r="N32" s="15">
        <v>0</v>
      </c>
      <c r="O32" s="32">
        <f t="shared" ref="O32:P32" si="40">D32/7</f>
        <v>0.2857142857142857</v>
      </c>
      <c r="P32" s="32">
        <f t="shared" si="40"/>
        <v>0</v>
      </c>
      <c r="Q32" s="27">
        <f t="shared" si="8"/>
        <v>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0.12109375</v>
      </c>
      <c r="AD32" s="37">
        <f t="shared" si="12"/>
        <v>-0.23249999999999998</v>
      </c>
      <c r="AE32" s="42">
        <v>-9.42</v>
      </c>
      <c r="AF32" s="42">
        <v>-4.7226850312500002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ySplit="3" topLeftCell="A4" activePane="bottomLeft" state="frozen"/>
      <selection activeCell="T3" sqref="T3"/>
      <selection pane="bottomLef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40.6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10.5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 Clear Textured - 47 x 23 Inch Plastic Computer Mat for Desk")</f>
        <v>Office Desk Mat Clear Textured - 47 x 23 Inch Plastic Computer Mat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Info!B1:BJ5000""),2,FALSE),"""")"),"B07L51K7SQ")</f>
        <v>B07L51K7SQ</v>
      </c>
      <c r="B2" s="3" t="s">
        <v>763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18.049822551470591</v>
      </c>
      <c r="D3" s="5">
        <f>SUM(D4:D99767)</f>
        <v>562</v>
      </c>
      <c r="E3" s="5"/>
      <c r="F3" s="6">
        <f t="shared" ref="F3:G3" si="0">SUM(F4:F99767)</f>
        <v>15625.420000000002</v>
      </c>
      <c r="G3" s="6">
        <f t="shared" si="0"/>
        <v>-10.700000000000001</v>
      </c>
      <c r="H3" s="7">
        <f t="shared" ref="H3:H32" si="1">G3/F3*-1</f>
        <v>6.8478159307077823E-4</v>
      </c>
      <c r="I3" s="8">
        <f t="shared" ref="I3:I32" si="2">J3/F3</f>
        <v>0.33936186821997444</v>
      </c>
      <c r="J3" s="6">
        <f>SUM(J4:J99767)</f>
        <v>5302.6717229217538</v>
      </c>
      <c r="K3" s="6">
        <f t="shared" ref="K3:K32" si="3">J3/D3</f>
        <v>9.4353589375831923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Sheet!a1:g5000""),2,FALSE),"""")"),"7.0 - March
7.0 - April
7.0 - May
7.0 - June
7.0 - July
7.0 - Aug
7.0 - Sept
7.0 - Oct
7.0 - Nov
7.0 - Dec
7.0 - Jan
7.0 - Feb")</f>
        <v>7.0 - March
7.0 - April
7.0 - May
7.0 - June
7.0 - July
7.0 - Aug
7.0 - Sept
7.0 - Oct
7.0 - Nov
7.0 - Dec
7.0 - Jan
7.0 -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</v>
      </c>
      <c r="X3" s="7">
        <f>W3/D3</f>
        <v>3.5587188612099642E-3</v>
      </c>
      <c r="Y3" s="6"/>
      <c r="Z3" s="5"/>
      <c r="AA3" s="5"/>
      <c r="AB3" s="5"/>
      <c r="AC3" s="5"/>
      <c r="AD3" s="6">
        <f>SUM(AD4:AD99767)</f>
        <v>-127.16497209347237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Info!B2:BZ3000""),37,FALSE)),"""")*-1"),-5.54234916875)</f>
        <v>-5.5423491687500004</v>
      </c>
      <c r="AG3" s="6">
        <f>SUM(AG4:AG99767)</f>
        <v>0</v>
      </c>
    </row>
    <row r="4" spans="1:33" x14ac:dyDescent="0.2">
      <c r="A4" s="1" t="s">
        <v>32</v>
      </c>
      <c r="B4" s="2" t="s">
        <v>734</v>
      </c>
      <c r="C4" s="14">
        <f t="shared" ref="C4:C32" si="4">IFERROR(F4/D4," - ")</f>
        <v>24.085789473684212</v>
      </c>
      <c r="D4" s="15">
        <v>38</v>
      </c>
      <c r="E4" s="15">
        <v>0</v>
      </c>
      <c r="F4" s="16">
        <v>915.2600000000001</v>
      </c>
      <c r="G4" s="16">
        <v>0</v>
      </c>
      <c r="H4" s="17">
        <f t="shared" si="1"/>
        <v>0</v>
      </c>
      <c r="I4" s="17">
        <f t="shared" si="2"/>
        <v>0.28033149134588081</v>
      </c>
      <c r="J4" s="16">
        <f t="shared" ref="J4:J32" si="5">F4*0.85+G4+AF4*D4+D4*AE4+AG4+AD4</f>
        <v>256.57620076923092</v>
      </c>
      <c r="K4" s="16">
        <f t="shared" si="3"/>
        <v>6.7520052834008135</v>
      </c>
      <c r="L4" s="15">
        <v>201</v>
      </c>
      <c r="M4" s="18">
        <f t="shared" ref="M4:M32" si="6">IFERROR(D4/L4,"-")</f>
        <v>0.1890547263681592</v>
      </c>
      <c r="N4" s="15">
        <v>111</v>
      </c>
      <c r="O4" s="19">
        <f t="shared" ref="O4:P4" si="7">D4/7</f>
        <v>5.4285714285714288</v>
      </c>
      <c r="P4" s="19">
        <f t="shared" si="7"/>
        <v>0</v>
      </c>
      <c r="Q4" s="15">
        <f t="shared" ref="Q4:Q32" si="8">ROUNDDOWN(N4/(O4+P4),0)</f>
        <v>20</v>
      </c>
      <c r="R4" s="15"/>
      <c r="S4" s="20">
        <v>2.0878661087866099</v>
      </c>
      <c r="T4" s="2">
        <v>603</v>
      </c>
      <c r="U4" s="2">
        <v>306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0.23567881944444444</v>
      </c>
      <c r="AD4" s="24">
        <f t="shared" ref="AD4:AD32" si="12">IFERROR(AB4*AC4*D4*2,0)</f>
        <v>-8.5975633333333334</v>
      </c>
      <c r="AE4" s="24">
        <v>-9.4</v>
      </c>
      <c r="AF4" s="24">
        <v>-4.0946641025641028</v>
      </c>
      <c r="AG4" s="24">
        <v>0</v>
      </c>
    </row>
    <row r="5" spans="1:33" ht="15.75" customHeight="1" x14ac:dyDescent="0.2">
      <c r="A5" s="26" t="s">
        <v>35</v>
      </c>
      <c r="B5" s="2" t="s">
        <v>196</v>
      </c>
      <c r="C5" s="14">
        <f t="shared" si="4"/>
        <v>24.352954545454544</v>
      </c>
      <c r="D5" s="27">
        <v>44</v>
      </c>
      <c r="E5" s="27">
        <v>0</v>
      </c>
      <c r="F5" s="28">
        <v>1071.53</v>
      </c>
      <c r="G5" s="28">
        <v>0</v>
      </c>
      <c r="H5" s="29">
        <f t="shared" si="1"/>
        <v>0</v>
      </c>
      <c r="I5" s="29">
        <f t="shared" si="2"/>
        <v>0.28657029735708789</v>
      </c>
      <c r="J5" s="30">
        <f t="shared" si="5"/>
        <v>307.0686707270404</v>
      </c>
      <c r="K5" s="30">
        <f t="shared" si="3"/>
        <v>6.9788334256145541</v>
      </c>
      <c r="L5" s="27">
        <v>261</v>
      </c>
      <c r="M5" s="31">
        <f t="shared" si="6"/>
        <v>0.16858237547892721</v>
      </c>
      <c r="N5" s="27">
        <v>61</v>
      </c>
      <c r="O5" s="32">
        <f t="shared" ref="O5:P5" si="13">D5/7</f>
        <v>6.2857142857142856</v>
      </c>
      <c r="P5" s="32">
        <f t="shared" si="13"/>
        <v>0</v>
      </c>
      <c r="Q5" s="27">
        <f t="shared" si="8"/>
        <v>9</v>
      </c>
      <c r="R5" s="27"/>
      <c r="S5" s="33">
        <v>2.43173862310385</v>
      </c>
      <c r="T5" s="26">
        <v>603</v>
      </c>
      <c r="U5" s="34">
        <v>306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0.23595191193511006</v>
      </c>
      <c r="AD5" s="37">
        <f t="shared" si="12"/>
        <v>-9.9666087601390494</v>
      </c>
      <c r="AE5" s="37">
        <v>-9.4</v>
      </c>
      <c r="AF5" s="37">
        <v>-4.0946641025641028</v>
      </c>
      <c r="AG5" s="37">
        <v>0</v>
      </c>
    </row>
    <row r="6" spans="1:33" ht="15.75" customHeight="1" x14ac:dyDescent="0.2">
      <c r="A6" s="26" t="s">
        <v>38</v>
      </c>
      <c r="B6" s="26" t="s">
        <v>764</v>
      </c>
      <c r="C6" s="14">
        <f t="shared" si="4"/>
        <v>25.313783783783791</v>
      </c>
      <c r="D6" s="27">
        <v>37</v>
      </c>
      <c r="E6" s="27">
        <v>0</v>
      </c>
      <c r="F6" s="28">
        <v>936.61000000000024</v>
      </c>
      <c r="G6" s="28">
        <v>-0.06</v>
      </c>
      <c r="H6" s="29">
        <f t="shared" si="1"/>
        <v>6.4060815067103688E-5</v>
      </c>
      <c r="I6" s="29">
        <f t="shared" si="2"/>
        <v>0.30790255980446674</v>
      </c>
      <c r="J6" s="30">
        <f t="shared" si="5"/>
        <v>288.38461653846167</v>
      </c>
      <c r="K6" s="30">
        <f t="shared" si="3"/>
        <v>7.7941788253638293</v>
      </c>
      <c r="L6" s="27">
        <v>237</v>
      </c>
      <c r="M6" s="31">
        <f t="shared" si="6"/>
        <v>0.15611814345991562</v>
      </c>
      <c r="N6" s="27">
        <v>21</v>
      </c>
      <c r="O6" s="32">
        <f t="shared" ref="O6:P6" si="14">D6/7</f>
        <v>5.2857142857142856</v>
      </c>
      <c r="P6" s="32">
        <f t="shared" si="14"/>
        <v>0</v>
      </c>
      <c r="Q6" s="27">
        <f t="shared" si="8"/>
        <v>3</v>
      </c>
      <c r="R6" s="27"/>
      <c r="S6" s="33">
        <v>3.0532212885154002</v>
      </c>
      <c r="T6" s="26">
        <v>603</v>
      </c>
      <c r="U6" s="34">
        <v>306</v>
      </c>
      <c r="V6" s="49" t="s">
        <v>765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0.23567881944444444</v>
      </c>
      <c r="AD6" s="37">
        <f t="shared" si="12"/>
        <v>-8.3713116666666672</v>
      </c>
      <c r="AE6" s="37">
        <v>-9.4</v>
      </c>
      <c r="AF6" s="37">
        <v>-4.0946641025641028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26.027142857142859</v>
      </c>
      <c r="D7" s="27">
        <v>14</v>
      </c>
      <c r="E7" s="27">
        <v>0</v>
      </c>
      <c r="F7" s="28">
        <v>364.38000000000005</v>
      </c>
      <c r="G7" s="28">
        <v>0</v>
      </c>
      <c r="H7" s="29">
        <f t="shared" si="1"/>
        <v>0</v>
      </c>
      <c r="I7" s="29">
        <f t="shared" si="2"/>
        <v>0.3228228202172711</v>
      </c>
      <c r="J7" s="30">
        <f t="shared" si="5"/>
        <v>117.63017923076926</v>
      </c>
      <c r="K7" s="30">
        <f t="shared" si="3"/>
        <v>8.4021556593406608</v>
      </c>
      <c r="L7" s="27">
        <v>188</v>
      </c>
      <c r="M7" s="31">
        <f t="shared" si="6"/>
        <v>7.4468085106382975E-2</v>
      </c>
      <c r="N7" s="27">
        <v>0</v>
      </c>
      <c r="O7" s="32">
        <f t="shared" ref="O7:P7" si="15">D7/7</f>
        <v>2</v>
      </c>
      <c r="P7" s="32">
        <f t="shared" si="15"/>
        <v>0</v>
      </c>
      <c r="Q7" s="27">
        <f t="shared" si="8"/>
        <v>0</v>
      </c>
      <c r="R7" s="27"/>
      <c r="S7" s="33">
        <v>2.10748560460652</v>
      </c>
      <c r="T7" s="26">
        <v>603</v>
      </c>
      <c r="U7" s="34">
        <v>306</v>
      </c>
      <c r="V7" s="49" t="s">
        <v>766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0.23567881944444444</v>
      </c>
      <c r="AD7" s="37">
        <f t="shared" si="12"/>
        <v>-3.167523333333333</v>
      </c>
      <c r="AE7" s="37">
        <v>-9.4</v>
      </c>
      <c r="AF7" s="37">
        <v>-4.0946641025641028</v>
      </c>
      <c r="AG7" s="37">
        <v>0</v>
      </c>
    </row>
    <row r="8" spans="1:33" ht="15.75" customHeight="1" x14ac:dyDescent="0.2">
      <c r="A8" s="26" t="s">
        <v>43</v>
      </c>
      <c r="B8" s="26"/>
      <c r="C8" s="14">
        <f t="shared" si="4"/>
        <v>25.99</v>
      </c>
      <c r="D8" s="27">
        <v>1</v>
      </c>
      <c r="E8" s="27">
        <v>0</v>
      </c>
      <c r="F8" s="28">
        <v>25.99</v>
      </c>
      <c r="G8" s="28">
        <v>0</v>
      </c>
      <c r="H8" s="29">
        <f t="shared" si="1"/>
        <v>0</v>
      </c>
      <c r="I8" s="29">
        <f t="shared" si="2"/>
        <v>0.32224887777350253</v>
      </c>
      <c r="J8" s="30">
        <f t="shared" si="5"/>
        <v>8.3752483333333299</v>
      </c>
      <c r="K8" s="30">
        <f t="shared" si="3"/>
        <v>8.3752483333333299</v>
      </c>
      <c r="L8" s="27">
        <v>147</v>
      </c>
      <c r="M8" s="31">
        <f t="shared" si="6"/>
        <v>6.8027210884353739E-3</v>
      </c>
      <c r="N8" s="27">
        <v>0</v>
      </c>
      <c r="O8" s="32">
        <f t="shared" ref="O8:P8" si="16">D8/7</f>
        <v>0.14285714285714285</v>
      </c>
      <c r="P8" s="32">
        <f t="shared" si="16"/>
        <v>0</v>
      </c>
      <c r="Q8" s="27">
        <f t="shared" si="8"/>
        <v>0</v>
      </c>
      <c r="R8" s="27"/>
      <c r="S8" s="33">
        <v>2.2774694783573799</v>
      </c>
      <c r="T8" s="26">
        <v>297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0.23567881944444444</v>
      </c>
      <c r="AD8" s="37">
        <f t="shared" si="12"/>
        <v>-0.22625166666666666</v>
      </c>
      <c r="AE8" s="37">
        <v>-9.4</v>
      </c>
      <c r="AF8" s="37">
        <v>-4.09</v>
      </c>
      <c r="AG8" s="37">
        <v>0</v>
      </c>
    </row>
    <row r="9" spans="1:33" ht="15.75" customHeight="1" x14ac:dyDescent="0.2">
      <c r="A9" s="26" t="s">
        <v>45</v>
      </c>
      <c r="B9" s="26" t="s">
        <v>683</v>
      </c>
      <c r="C9" s="14">
        <f t="shared" si="4"/>
        <v>26.058000000000003</v>
      </c>
      <c r="D9" s="27">
        <v>45</v>
      </c>
      <c r="E9" s="27">
        <v>1</v>
      </c>
      <c r="F9" s="28">
        <v>1172.6100000000001</v>
      </c>
      <c r="G9" s="28">
        <v>0</v>
      </c>
      <c r="H9" s="29">
        <f t="shared" si="1"/>
        <v>0</v>
      </c>
      <c r="I9" s="29">
        <f t="shared" si="2"/>
        <v>0.31596870196858717</v>
      </c>
      <c r="J9" s="30">
        <f t="shared" si="5"/>
        <v>370.50805961538504</v>
      </c>
      <c r="K9" s="30">
        <f t="shared" si="3"/>
        <v>8.2335124358974454</v>
      </c>
      <c r="L9" s="27">
        <v>234</v>
      </c>
      <c r="M9" s="31">
        <f t="shared" si="6"/>
        <v>0.19230769230769232</v>
      </c>
      <c r="N9" s="27">
        <v>268</v>
      </c>
      <c r="O9" s="32">
        <f t="shared" ref="O9:P9" si="17">D9/7</f>
        <v>6.4285714285714288</v>
      </c>
      <c r="P9" s="32">
        <f t="shared" si="17"/>
        <v>0.14285714285714285</v>
      </c>
      <c r="Q9" s="27">
        <f t="shared" si="8"/>
        <v>40</v>
      </c>
      <c r="R9" s="27"/>
      <c r="S9" s="33">
        <v>1.8201246660730099</v>
      </c>
      <c r="T9" s="26">
        <v>297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0.23567881944444444</v>
      </c>
      <c r="AD9" s="37">
        <f t="shared" si="12"/>
        <v>-10.181324999999999</v>
      </c>
      <c r="AE9" s="37">
        <v>-9.4</v>
      </c>
      <c r="AF9" s="37">
        <v>-4.2895358974358899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26.619629629629635</v>
      </c>
      <c r="D10" s="27">
        <v>27</v>
      </c>
      <c r="E10" s="27">
        <v>0</v>
      </c>
      <c r="F10" s="28">
        <v>718.73000000000013</v>
      </c>
      <c r="G10" s="28">
        <v>-0.08</v>
      </c>
      <c r="H10" s="29">
        <f t="shared" si="1"/>
        <v>1.1130744507673255E-4</v>
      </c>
      <c r="I10" s="29">
        <f t="shared" si="2"/>
        <v>0.32712456105802035</v>
      </c>
      <c r="J10" s="30">
        <f t="shared" si="5"/>
        <v>235.11423576923102</v>
      </c>
      <c r="K10" s="30">
        <f t="shared" si="3"/>
        <v>8.707934658119667</v>
      </c>
      <c r="L10" s="27">
        <v>212</v>
      </c>
      <c r="M10" s="31">
        <f t="shared" si="6"/>
        <v>0.12735849056603774</v>
      </c>
      <c r="N10" s="27">
        <v>240</v>
      </c>
      <c r="O10" s="32">
        <f t="shared" ref="O10:P10" si="18">D10/7</f>
        <v>3.8571428571428572</v>
      </c>
      <c r="P10" s="32">
        <f t="shared" si="18"/>
        <v>0</v>
      </c>
      <c r="Q10" s="27">
        <f t="shared" si="8"/>
        <v>62</v>
      </c>
      <c r="R10" s="27"/>
      <c r="S10" s="33">
        <v>2.1383647798742098</v>
      </c>
      <c r="T10" s="26">
        <v>297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0.23567881944444444</v>
      </c>
      <c r="AD10" s="37">
        <f t="shared" si="12"/>
        <v>-6.1087949999999998</v>
      </c>
      <c r="AE10" s="37">
        <v>-9.4</v>
      </c>
      <c r="AF10" s="37">
        <v>-4.2895358974358899</v>
      </c>
      <c r="AG10" s="37">
        <v>0</v>
      </c>
    </row>
    <row r="11" spans="1:33" ht="15.75" customHeight="1" x14ac:dyDescent="0.2">
      <c r="A11" s="26" t="s">
        <v>50</v>
      </c>
      <c r="B11" s="26" t="s">
        <v>767</v>
      </c>
      <c r="C11" s="14">
        <f t="shared" si="4"/>
        <v>27.017272727272733</v>
      </c>
      <c r="D11" s="27">
        <v>44</v>
      </c>
      <c r="E11" s="27">
        <v>0</v>
      </c>
      <c r="F11" s="28">
        <v>1188.7600000000002</v>
      </c>
      <c r="G11" s="28">
        <v>-0.1</v>
      </c>
      <c r="H11" s="29">
        <f t="shared" si="1"/>
        <v>8.4121269221710006E-5</v>
      </c>
      <c r="I11" s="29">
        <f t="shared" si="2"/>
        <v>0.33484584540150031</v>
      </c>
      <c r="J11" s="30">
        <f t="shared" si="5"/>
        <v>398.05134717948755</v>
      </c>
      <c r="K11" s="30">
        <f t="shared" si="3"/>
        <v>9.0466215268065344</v>
      </c>
      <c r="L11" s="27">
        <v>193</v>
      </c>
      <c r="M11" s="31">
        <f t="shared" si="6"/>
        <v>0.22797927461139897</v>
      </c>
      <c r="N11" s="27">
        <v>198</v>
      </c>
      <c r="O11" s="32">
        <f t="shared" ref="O11:P11" si="19">D11/7</f>
        <v>6.2857142857142856</v>
      </c>
      <c r="P11" s="32">
        <f t="shared" si="19"/>
        <v>0</v>
      </c>
      <c r="Q11" s="27">
        <f t="shared" si="8"/>
        <v>31</v>
      </c>
      <c r="R11" s="27"/>
      <c r="S11" s="33">
        <v>2.5500633713561398</v>
      </c>
      <c r="T11" s="26">
        <v>297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0.23567881944444444</v>
      </c>
      <c r="AD11" s="37">
        <f t="shared" si="12"/>
        <v>-9.955073333333333</v>
      </c>
      <c r="AE11" s="37">
        <v>-9.4</v>
      </c>
      <c r="AF11" s="37">
        <v>-4.2895358974358899</v>
      </c>
      <c r="AG11" s="37">
        <v>0</v>
      </c>
    </row>
    <row r="12" spans="1:33" ht="15.75" customHeight="1" x14ac:dyDescent="0.2">
      <c r="A12" s="26" t="s">
        <v>52</v>
      </c>
      <c r="B12" s="26" t="s">
        <v>768</v>
      </c>
      <c r="C12" s="14">
        <f t="shared" si="4"/>
        <v>28.000000000000007</v>
      </c>
      <c r="D12" s="27">
        <v>40</v>
      </c>
      <c r="E12" s="27">
        <v>0</v>
      </c>
      <c r="F12" s="28">
        <v>1120.0000000000002</v>
      </c>
      <c r="G12" s="28">
        <v>0</v>
      </c>
      <c r="H12" s="29">
        <f t="shared" si="1"/>
        <v>0</v>
      </c>
      <c r="I12" s="29">
        <f t="shared" si="2"/>
        <v>0.35300758699633722</v>
      </c>
      <c r="J12" s="30">
        <f t="shared" si="5"/>
        <v>395.36849743589778</v>
      </c>
      <c r="K12" s="30">
        <f t="shared" si="3"/>
        <v>9.8842124358974441</v>
      </c>
      <c r="L12" s="27">
        <v>164</v>
      </c>
      <c r="M12" s="31">
        <f t="shared" si="6"/>
        <v>0.24390243902439024</v>
      </c>
      <c r="N12" s="27">
        <v>158</v>
      </c>
      <c r="O12" s="32">
        <f t="shared" ref="O12:P12" si="20">D12/7</f>
        <v>5.7142857142857144</v>
      </c>
      <c r="P12" s="32">
        <f t="shared" si="20"/>
        <v>0</v>
      </c>
      <c r="Q12" s="27">
        <f t="shared" si="8"/>
        <v>27</v>
      </c>
      <c r="R12" s="27"/>
      <c r="S12" s="33">
        <v>3.0092879256965901</v>
      </c>
      <c r="T12" s="26">
        <v>297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0.23567881944444444</v>
      </c>
      <c r="AD12" s="37">
        <f t="shared" si="12"/>
        <v>-9.050066666666666</v>
      </c>
      <c r="AE12" s="37">
        <v>-9.4</v>
      </c>
      <c r="AF12" s="37">
        <v>-4.2895358974358899</v>
      </c>
      <c r="AG12" s="37">
        <v>0</v>
      </c>
    </row>
    <row r="13" spans="1:33" ht="15.75" customHeight="1" x14ac:dyDescent="0.2">
      <c r="A13" s="26" t="s">
        <v>54</v>
      </c>
      <c r="B13" s="26" t="s">
        <v>193</v>
      </c>
      <c r="C13" s="14">
        <f t="shared" si="4"/>
        <v>29.750000000000004</v>
      </c>
      <c r="D13" s="27">
        <v>25</v>
      </c>
      <c r="E13" s="27">
        <v>0</v>
      </c>
      <c r="F13" s="30">
        <v>743.75000000000011</v>
      </c>
      <c r="G13" s="28">
        <v>0</v>
      </c>
      <c r="H13" s="29">
        <f t="shared" si="1"/>
        <v>0</v>
      </c>
      <c r="I13" s="29">
        <f t="shared" si="2"/>
        <v>0.37879490196078436</v>
      </c>
      <c r="J13" s="30">
        <f t="shared" si="5"/>
        <v>281.72870833333343</v>
      </c>
      <c r="K13" s="30">
        <f t="shared" si="3"/>
        <v>11.269148333333337</v>
      </c>
      <c r="L13" s="27">
        <v>117</v>
      </c>
      <c r="M13" s="31">
        <f t="shared" si="6"/>
        <v>0.21367521367521367</v>
      </c>
      <c r="N13" s="27">
        <v>130</v>
      </c>
      <c r="O13" s="32">
        <f t="shared" ref="O13:P13" si="21">D13/7</f>
        <v>3.5714285714285716</v>
      </c>
      <c r="P13" s="32">
        <f t="shared" si="21"/>
        <v>0</v>
      </c>
      <c r="Q13" s="27">
        <f t="shared" si="8"/>
        <v>36</v>
      </c>
      <c r="R13" s="27"/>
      <c r="S13" s="33">
        <v>3.23489932885906</v>
      </c>
      <c r="T13" s="26">
        <v>297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0.23567881944444444</v>
      </c>
      <c r="AD13" s="37">
        <f t="shared" si="12"/>
        <v>-5.6562916666666663</v>
      </c>
      <c r="AE13" s="37">
        <v>-9.4</v>
      </c>
      <c r="AF13" s="37">
        <v>-4.3921000000000001</v>
      </c>
      <c r="AG13" s="37">
        <v>0</v>
      </c>
    </row>
    <row r="14" spans="1:33" ht="15.75" customHeight="1" x14ac:dyDescent="0.2">
      <c r="A14" s="26" t="s">
        <v>56</v>
      </c>
      <c r="B14" s="26" t="s">
        <v>769</v>
      </c>
      <c r="C14" s="14">
        <f t="shared" si="4"/>
        <v>30.786774193548389</v>
      </c>
      <c r="D14" s="27">
        <v>31</v>
      </c>
      <c r="E14" s="27">
        <v>0</v>
      </c>
      <c r="F14" s="30">
        <v>954.3900000000001</v>
      </c>
      <c r="G14" s="28">
        <v>0</v>
      </c>
      <c r="H14" s="29">
        <f t="shared" si="1"/>
        <v>0</v>
      </c>
      <c r="I14" s="29">
        <f t="shared" si="2"/>
        <v>0.39466318625858759</v>
      </c>
      <c r="J14" s="30">
        <f t="shared" si="5"/>
        <v>376.66259833333345</v>
      </c>
      <c r="K14" s="30">
        <f t="shared" si="3"/>
        <v>12.150406397849466</v>
      </c>
      <c r="L14" s="27">
        <v>183</v>
      </c>
      <c r="M14" s="31">
        <f t="shared" si="6"/>
        <v>0.16939890710382513</v>
      </c>
      <c r="N14" s="27">
        <v>97</v>
      </c>
      <c r="O14" s="32">
        <f t="shared" ref="O14:P14" si="22">D14/7</f>
        <v>4.4285714285714288</v>
      </c>
      <c r="P14" s="32">
        <f t="shared" si="22"/>
        <v>0</v>
      </c>
      <c r="Q14" s="27">
        <f t="shared" si="8"/>
        <v>21</v>
      </c>
      <c r="R14" s="27"/>
      <c r="S14" s="33">
        <v>2.56135401974612</v>
      </c>
      <c r="T14" s="26">
        <v>297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0.23567881944444444</v>
      </c>
      <c r="AD14" s="37">
        <f t="shared" si="12"/>
        <v>-7.0138016666666667</v>
      </c>
      <c r="AE14" s="37">
        <v>-9.4</v>
      </c>
      <c r="AF14" s="37">
        <v>-4.3921000000000001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32.682307692307695</v>
      </c>
      <c r="D15" s="27">
        <v>13</v>
      </c>
      <c r="E15" s="27">
        <v>0</v>
      </c>
      <c r="F15" s="30">
        <v>424.87000000000006</v>
      </c>
      <c r="G15" s="28">
        <v>0</v>
      </c>
      <c r="H15" s="29">
        <f t="shared" si="1"/>
        <v>0</v>
      </c>
      <c r="I15" s="29">
        <f t="shared" si="2"/>
        <v>0.4210721593271668</v>
      </c>
      <c r="J15" s="30">
        <f t="shared" si="5"/>
        <v>178.90092833333338</v>
      </c>
      <c r="K15" s="30">
        <f t="shared" si="3"/>
        <v>13.761609871794876</v>
      </c>
      <c r="L15" s="27">
        <v>115</v>
      </c>
      <c r="M15" s="31">
        <f t="shared" si="6"/>
        <v>0.11304347826086956</v>
      </c>
      <c r="N15" s="27">
        <v>86</v>
      </c>
      <c r="O15" s="32">
        <f t="shared" ref="O15:P15" si="23">D15/7</f>
        <v>1.8571428571428572</v>
      </c>
      <c r="P15" s="32">
        <f t="shared" si="23"/>
        <v>0</v>
      </c>
      <c r="Q15" s="27">
        <f t="shared" si="8"/>
        <v>46</v>
      </c>
      <c r="R15" s="27"/>
      <c r="S15" s="33">
        <v>2.9309734513274299</v>
      </c>
      <c r="T15" s="26">
        <v>697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0.23567881944444444</v>
      </c>
      <c r="AD15" s="37">
        <f t="shared" si="12"/>
        <v>-2.9412716666666667</v>
      </c>
      <c r="AE15" s="37">
        <v>-9.4</v>
      </c>
      <c r="AF15" s="37">
        <v>-4.3921000000000001</v>
      </c>
      <c r="AG15" s="37">
        <v>0</v>
      </c>
    </row>
    <row r="16" spans="1:33" ht="15.75" customHeight="1" x14ac:dyDescent="0.2">
      <c r="A16" s="26" t="s">
        <v>60</v>
      </c>
      <c r="B16" s="26" t="s">
        <v>770</v>
      </c>
      <c r="C16" s="14">
        <f t="shared" si="4"/>
        <v>32.99</v>
      </c>
      <c r="D16" s="27">
        <v>6</v>
      </c>
      <c r="E16" s="27">
        <v>0</v>
      </c>
      <c r="F16" s="30">
        <v>197.94000000000003</v>
      </c>
      <c r="G16" s="28">
        <v>0</v>
      </c>
      <c r="H16" s="29">
        <f t="shared" si="1"/>
        <v>0</v>
      </c>
      <c r="I16" s="29">
        <f t="shared" si="2"/>
        <v>0.42507269879761544</v>
      </c>
      <c r="J16" s="30">
        <f t="shared" si="5"/>
        <v>84.138890000000018</v>
      </c>
      <c r="K16" s="30">
        <f t="shared" si="3"/>
        <v>14.023148333333337</v>
      </c>
      <c r="L16" s="27">
        <v>99</v>
      </c>
      <c r="M16" s="31">
        <f t="shared" si="6"/>
        <v>6.0606060606060608E-2</v>
      </c>
      <c r="N16" s="27">
        <v>78</v>
      </c>
      <c r="O16" s="32">
        <f t="shared" ref="O16:P16" si="24">D16/7</f>
        <v>0.8571428571428571</v>
      </c>
      <c r="P16" s="32">
        <f t="shared" si="24"/>
        <v>0</v>
      </c>
      <c r="Q16" s="27">
        <f t="shared" si="8"/>
        <v>91</v>
      </c>
      <c r="R16" s="27"/>
      <c r="S16" s="33" t="e">
        <v>#N/A</v>
      </c>
      <c r="T16" s="26">
        <v>697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0.23567881944444444</v>
      </c>
      <c r="AD16" s="37">
        <f t="shared" si="12"/>
        <v>-1.35751</v>
      </c>
      <c r="AE16" s="37">
        <v>-9.4</v>
      </c>
      <c r="AF16" s="37">
        <v>-4.3921000000000001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32.99</v>
      </c>
      <c r="D17" s="27">
        <v>8</v>
      </c>
      <c r="E17" s="27">
        <v>0</v>
      </c>
      <c r="F17" s="30">
        <v>263.92</v>
      </c>
      <c r="G17" s="28">
        <v>-0.27</v>
      </c>
      <c r="H17" s="29">
        <f t="shared" si="1"/>
        <v>1.0230372840254623E-3</v>
      </c>
      <c r="I17" s="29">
        <f t="shared" si="2"/>
        <v>0.42404966151358991</v>
      </c>
      <c r="J17" s="30">
        <f t="shared" si="5"/>
        <v>111.91518666666666</v>
      </c>
      <c r="K17" s="30">
        <f t="shared" si="3"/>
        <v>13.989398333333332</v>
      </c>
      <c r="L17" s="27">
        <v>98</v>
      </c>
      <c r="M17" s="31">
        <f t="shared" si="6"/>
        <v>8.1632653061224483E-2</v>
      </c>
      <c r="N17" s="27">
        <v>70</v>
      </c>
      <c r="O17" s="32">
        <f t="shared" ref="O17:P17" si="25">D17/7</f>
        <v>1.1428571428571428</v>
      </c>
      <c r="P17" s="32">
        <f t="shared" si="25"/>
        <v>0</v>
      </c>
      <c r="Q17" s="27">
        <f t="shared" si="8"/>
        <v>61</v>
      </c>
      <c r="R17" s="27"/>
      <c r="S17" s="33">
        <v>2.0691642651296802</v>
      </c>
      <c r="T17" s="26">
        <v>697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0.23567881944444444</v>
      </c>
      <c r="AD17" s="37">
        <f t="shared" si="12"/>
        <v>-1.8100133333333333</v>
      </c>
      <c r="AE17" s="37">
        <v>-9.4</v>
      </c>
      <c r="AF17" s="37">
        <v>-4.3921000000000001</v>
      </c>
      <c r="AG17" s="37">
        <v>0</v>
      </c>
    </row>
    <row r="18" spans="1:33" ht="15.75" customHeight="1" x14ac:dyDescent="0.2">
      <c r="A18" s="26" t="s">
        <v>62</v>
      </c>
      <c r="B18" s="26" t="s">
        <v>771</v>
      </c>
      <c r="C18" s="14">
        <f t="shared" si="4"/>
        <v>32.99</v>
      </c>
      <c r="D18" s="27">
        <v>12</v>
      </c>
      <c r="E18" s="27">
        <v>0</v>
      </c>
      <c r="F18" s="30">
        <v>395.88000000000005</v>
      </c>
      <c r="G18" s="28">
        <v>0</v>
      </c>
      <c r="H18" s="29">
        <f t="shared" si="1"/>
        <v>0</v>
      </c>
      <c r="I18" s="29">
        <f t="shared" si="2"/>
        <v>0.42507269879761544</v>
      </c>
      <c r="J18" s="30">
        <f t="shared" si="5"/>
        <v>168.27778000000004</v>
      </c>
      <c r="K18" s="30">
        <f t="shared" si="3"/>
        <v>14.023148333333337</v>
      </c>
      <c r="L18" s="27">
        <v>88</v>
      </c>
      <c r="M18" s="31">
        <f t="shared" si="6"/>
        <v>0.13636363636363635</v>
      </c>
      <c r="N18" s="27">
        <v>57</v>
      </c>
      <c r="O18" s="32">
        <f t="shared" ref="O18:P18" si="26">D18/7</f>
        <v>1.7142857142857142</v>
      </c>
      <c r="P18" s="32">
        <f t="shared" si="26"/>
        <v>0</v>
      </c>
      <c r="Q18" s="27">
        <f t="shared" si="8"/>
        <v>33</v>
      </c>
      <c r="R18" s="27"/>
      <c r="S18" s="33">
        <v>2.262118491921</v>
      </c>
      <c r="T18" s="26">
        <v>697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0.23567881944444444</v>
      </c>
      <c r="AD18" s="37">
        <f t="shared" si="12"/>
        <v>-2.71502</v>
      </c>
      <c r="AE18" s="37">
        <v>-9.4</v>
      </c>
      <c r="AF18" s="37">
        <v>-4.3921000000000001</v>
      </c>
      <c r="AG18" s="37">
        <v>0</v>
      </c>
    </row>
    <row r="19" spans="1:33" ht="15.75" customHeight="1" x14ac:dyDescent="0.2">
      <c r="A19" s="26" t="s">
        <v>64</v>
      </c>
      <c r="B19" s="26" t="s">
        <v>772</v>
      </c>
      <c r="C19" s="14">
        <f t="shared" si="4"/>
        <v>34.418571428571433</v>
      </c>
      <c r="D19" s="27">
        <v>21</v>
      </c>
      <c r="E19" s="27">
        <v>0</v>
      </c>
      <c r="F19" s="30">
        <v>722.79000000000008</v>
      </c>
      <c r="G19" s="28">
        <v>0</v>
      </c>
      <c r="H19" s="29">
        <f t="shared" si="1"/>
        <v>0</v>
      </c>
      <c r="I19" s="29">
        <f t="shared" si="2"/>
        <v>0.442709659790534</v>
      </c>
      <c r="J19" s="30">
        <f t="shared" si="5"/>
        <v>319.9861150000001</v>
      </c>
      <c r="K19" s="30">
        <f t="shared" si="3"/>
        <v>15.237434047619052</v>
      </c>
      <c r="L19" s="27">
        <v>92</v>
      </c>
      <c r="M19" s="31">
        <f t="shared" si="6"/>
        <v>0.22826086956521738</v>
      </c>
      <c r="N19" s="27">
        <v>42</v>
      </c>
      <c r="O19" s="32">
        <f t="shared" ref="O19:P19" si="27">D19/7</f>
        <v>3</v>
      </c>
      <c r="P19" s="32">
        <f t="shared" si="27"/>
        <v>0</v>
      </c>
      <c r="Q19" s="27">
        <f t="shared" si="8"/>
        <v>14</v>
      </c>
      <c r="R19" s="27"/>
      <c r="S19" s="33">
        <v>2.47659574468085</v>
      </c>
      <c r="T19" s="26">
        <v>1569</v>
      </c>
      <c r="U19" s="34">
        <v>297</v>
      </c>
      <c r="V19" s="35" t="s">
        <v>773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0.23567881944444444</v>
      </c>
      <c r="AD19" s="37">
        <f t="shared" si="12"/>
        <v>-4.7512850000000002</v>
      </c>
      <c r="AE19" s="37">
        <v>-9.4</v>
      </c>
      <c r="AF19" s="37">
        <v>-4.3921000000000001</v>
      </c>
      <c r="AG19" s="37">
        <v>0</v>
      </c>
    </row>
    <row r="20" spans="1:33" ht="15.75" customHeight="1" x14ac:dyDescent="0.2">
      <c r="A20" s="26" t="s">
        <v>65</v>
      </c>
      <c r="B20" s="26" t="s">
        <v>774</v>
      </c>
      <c r="C20" s="14">
        <f t="shared" si="4"/>
        <v>37.664999999999999</v>
      </c>
      <c r="D20" s="27">
        <v>24</v>
      </c>
      <c r="E20" s="27">
        <v>0</v>
      </c>
      <c r="F20" s="30">
        <v>903.96</v>
      </c>
      <c r="G20" s="28">
        <v>0</v>
      </c>
      <c r="H20" s="29">
        <f t="shared" si="1"/>
        <v>0</v>
      </c>
      <c r="I20" s="29">
        <f t="shared" si="2"/>
        <v>0.47781490331430587</v>
      </c>
      <c r="J20" s="30">
        <f t="shared" si="5"/>
        <v>431.92555999999996</v>
      </c>
      <c r="K20" s="30">
        <f t="shared" si="3"/>
        <v>17.996898333333331</v>
      </c>
      <c r="L20" s="27">
        <v>88</v>
      </c>
      <c r="M20" s="31">
        <f t="shared" si="6"/>
        <v>0.27272727272727271</v>
      </c>
      <c r="N20" s="27">
        <v>12</v>
      </c>
      <c r="O20" s="32">
        <f t="shared" ref="O20:P20" si="28">D20/7</f>
        <v>3.4285714285714284</v>
      </c>
      <c r="P20" s="32">
        <f t="shared" si="28"/>
        <v>0</v>
      </c>
      <c r="Q20" s="27">
        <f t="shared" si="8"/>
        <v>3</v>
      </c>
      <c r="R20" s="27"/>
      <c r="S20" s="33">
        <v>3.4302325581395299</v>
      </c>
      <c r="T20" s="26">
        <v>1569</v>
      </c>
      <c r="U20" s="34">
        <v>297</v>
      </c>
      <c r="V20" s="35" t="s">
        <v>773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0.23567881944444444</v>
      </c>
      <c r="AD20" s="37">
        <f t="shared" si="12"/>
        <v>-5.43004</v>
      </c>
      <c r="AE20" s="37">
        <v>-9.4</v>
      </c>
      <c r="AF20" s="37">
        <v>-4.3921000000000001</v>
      </c>
      <c r="AG20" s="37">
        <v>0</v>
      </c>
    </row>
    <row r="21" spans="1:33" ht="15.75" customHeight="1" x14ac:dyDescent="0.2">
      <c r="A21" s="26" t="s">
        <v>66</v>
      </c>
      <c r="B21" s="26" t="s">
        <v>695</v>
      </c>
      <c r="C21" s="14">
        <f t="shared" si="4"/>
        <v>39.99</v>
      </c>
      <c r="D21" s="27">
        <v>9</v>
      </c>
      <c r="E21" s="27">
        <v>0</v>
      </c>
      <c r="F21" s="30">
        <v>359.91</v>
      </c>
      <c r="G21" s="28">
        <v>0</v>
      </c>
      <c r="H21" s="29">
        <f t="shared" si="1"/>
        <v>0</v>
      </c>
      <c r="I21" s="29">
        <f t="shared" si="2"/>
        <v>0.49945357172626476</v>
      </c>
      <c r="J21" s="30">
        <f t="shared" si="5"/>
        <v>179.75833499999996</v>
      </c>
      <c r="K21" s="30">
        <f t="shared" si="3"/>
        <v>19.973148333333327</v>
      </c>
      <c r="L21" s="27">
        <v>59</v>
      </c>
      <c r="M21" s="31">
        <f t="shared" si="6"/>
        <v>0.15254237288135594</v>
      </c>
      <c r="N21" s="27">
        <v>4</v>
      </c>
      <c r="O21" s="32">
        <f t="shared" ref="O21:P21" si="29">D21/7</f>
        <v>1.2857142857142858</v>
      </c>
      <c r="P21" s="32">
        <f t="shared" si="29"/>
        <v>0</v>
      </c>
      <c r="Q21" s="27">
        <f t="shared" si="8"/>
        <v>3</v>
      </c>
      <c r="R21" s="27"/>
      <c r="S21" s="33">
        <v>4.2989323843416303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0.23567881944444444</v>
      </c>
      <c r="AD21" s="37">
        <f t="shared" si="12"/>
        <v>-2.0362649999999998</v>
      </c>
      <c r="AE21" s="37">
        <v>-9.4</v>
      </c>
      <c r="AF21" s="37">
        <v>-4.3921000000000001</v>
      </c>
      <c r="AG21" s="37">
        <v>0</v>
      </c>
    </row>
    <row r="22" spans="1:33" ht="15.75" customHeight="1" x14ac:dyDescent="0.2">
      <c r="A22" s="26" t="s">
        <v>67</v>
      </c>
      <c r="B22" s="26" t="s">
        <v>76</v>
      </c>
      <c r="C22" s="14">
        <f t="shared" si="4"/>
        <v>39.99</v>
      </c>
      <c r="D22" s="27">
        <v>3</v>
      </c>
      <c r="E22" s="27">
        <v>0</v>
      </c>
      <c r="F22" s="28">
        <v>119.97</v>
      </c>
      <c r="G22" s="28">
        <v>-0.08</v>
      </c>
      <c r="H22" s="29">
        <f t="shared" si="1"/>
        <v>6.6683337501041934E-4</v>
      </c>
      <c r="I22" s="29">
        <f t="shared" si="2"/>
        <v>0.49878673835125442</v>
      </c>
      <c r="J22" s="30">
        <f t="shared" si="5"/>
        <v>59.839444999999991</v>
      </c>
      <c r="K22" s="30">
        <f t="shared" si="3"/>
        <v>19.946481666666664</v>
      </c>
      <c r="L22" s="27">
        <v>66</v>
      </c>
      <c r="M22" s="31">
        <f t="shared" si="6"/>
        <v>4.5454545454545456E-2</v>
      </c>
      <c r="N22" s="27">
        <v>2</v>
      </c>
      <c r="O22" s="32">
        <f t="shared" ref="O22:P22" si="30">D22/7</f>
        <v>0.42857142857142855</v>
      </c>
      <c r="P22" s="32">
        <f t="shared" si="30"/>
        <v>0</v>
      </c>
      <c r="Q22" s="27">
        <f t="shared" si="8"/>
        <v>4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0.23567881944444444</v>
      </c>
      <c r="AD22" s="37">
        <f t="shared" si="12"/>
        <v>-0.678755</v>
      </c>
      <c r="AE22" s="37">
        <v>-9.4</v>
      </c>
      <c r="AF22" s="37">
        <v>-4.3921000000000001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1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1672</v>
      </c>
      <c r="U23" s="34">
        <v>297</v>
      </c>
      <c r="V23" s="35" t="s">
        <v>775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0.23567881944444444</v>
      </c>
      <c r="AD23" s="37">
        <f t="shared" si="12"/>
        <v>0</v>
      </c>
      <c r="AE23" s="37">
        <v>-9.4</v>
      </c>
      <c r="AF23" s="37">
        <v>-4.3921000000000001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1672</v>
      </c>
      <c r="U24" s="34">
        <v>297</v>
      </c>
      <c r="V24" s="35" t="s">
        <v>776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0.23567881944444444</v>
      </c>
      <c r="AD24" s="37">
        <f t="shared" si="12"/>
        <v>0</v>
      </c>
      <c r="AE24" s="37">
        <v>-9.4</v>
      </c>
      <c r="AF24" s="37">
        <v>-4.3921000000000001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1672</v>
      </c>
      <c r="U25" s="34">
        <v>297</v>
      </c>
      <c r="V25" s="35" t="s">
        <v>777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0.23567881944444444</v>
      </c>
      <c r="AD25" s="37">
        <f t="shared" si="12"/>
        <v>0</v>
      </c>
      <c r="AE25" s="42">
        <v>-9.4</v>
      </c>
      <c r="AF25" s="42">
        <v>-4.3899999999999899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1672</v>
      </c>
      <c r="U26" s="34">
        <v>297</v>
      </c>
      <c r="V26" s="35" t="s">
        <v>778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0.23567881944444444</v>
      </c>
      <c r="AD26" s="37">
        <f t="shared" si="12"/>
        <v>0</v>
      </c>
      <c r="AE26" s="42">
        <v>-9.4</v>
      </c>
      <c r="AF26" s="42">
        <v>-4.3921000000000001</v>
      </c>
      <c r="AG26" s="42">
        <v>0</v>
      </c>
    </row>
    <row r="27" spans="1:33" ht="15.75" customHeight="1" x14ac:dyDescent="0.2">
      <c r="A27" s="40" t="s">
        <v>77</v>
      </c>
      <c r="B27" s="40" t="s">
        <v>779</v>
      </c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298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0.80808080808080807</v>
      </c>
      <c r="T27" s="26">
        <v>1375</v>
      </c>
      <c r="U27" s="34">
        <v>400</v>
      </c>
      <c r="V27" s="35" t="s">
        <v>780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0.23567881944444444</v>
      </c>
      <c r="AD27" s="37">
        <f t="shared" si="12"/>
        <v>0</v>
      </c>
      <c r="AE27" s="42">
        <v>-9.4</v>
      </c>
      <c r="AF27" s="42">
        <v>-4.3921000000000001</v>
      </c>
      <c r="AG27" s="42">
        <v>0</v>
      </c>
    </row>
    <row r="28" spans="1:33" ht="15.75" customHeight="1" x14ac:dyDescent="0.2">
      <c r="A28" s="40" t="s">
        <v>79</v>
      </c>
      <c r="B28" s="40" t="s">
        <v>781</v>
      </c>
      <c r="C28" s="14">
        <f t="shared" si="4"/>
        <v>33.615454545454547</v>
      </c>
      <c r="D28" s="15">
        <v>11</v>
      </c>
      <c r="E28" s="15">
        <v>0</v>
      </c>
      <c r="F28" s="16">
        <v>369.77</v>
      </c>
      <c r="G28" s="16">
        <v>-1.43</v>
      </c>
      <c r="H28" s="29">
        <f t="shared" si="1"/>
        <v>3.8672688427941692E-3</v>
      </c>
      <c r="I28" s="29">
        <f t="shared" si="2"/>
        <v>0.41721240681144117</v>
      </c>
      <c r="J28" s="30">
        <f t="shared" si="5"/>
        <v>154.2726316666666</v>
      </c>
      <c r="K28" s="30">
        <f t="shared" si="3"/>
        <v>14.024784696969691</v>
      </c>
      <c r="L28" s="15">
        <v>69</v>
      </c>
      <c r="M28" s="31">
        <f t="shared" si="6"/>
        <v>0.15942028985507245</v>
      </c>
      <c r="N28" s="15">
        <v>290</v>
      </c>
      <c r="O28" s="32">
        <f t="shared" ref="O28:P28" si="36">D28/7</f>
        <v>1.5714285714285714</v>
      </c>
      <c r="P28" s="32">
        <f t="shared" si="36"/>
        <v>0</v>
      </c>
      <c r="Q28" s="27">
        <f t="shared" si="8"/>
        <v>184</v>
      </c>
      <c r="R28" s="27"/>
      <c r="S28" s="41">
        <v>0.79828326180257514</v>
      </c>
      <c r="T28" s="40">
        <v>575</v>
      </c>
      <c r="U28" s="22">
        <v>400</v>
      </c>
      <c r="V28" s="1" t="s">
        <v>782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0.23567881944444444</v>
      </c>
      <c r="AD28" s="37">
        <f t="shared" si="12"/>
        <v>-2.4887683333333332</v>
      </c>
      <c r="AE28" s="42">
        <v>-9.8000000000000007</v>
      </c>
      <c r="AF28" s="42">
        <v>-4.3921000000000001</v>
      </c>
      <c r="AG28" s="42">
        <v>0</v>
      </c>
    </row>
    <row r="29" spans="1:33" ht="15.75" customHeight="1" x14ac:dyDescent="0.2">
      <c r="A29" s="26" t="s">
        <v>82</v>
      </c>
      <c r="B29" s="26" t="s">
        <v>102</v>
      </c>
      <c r="C29" s="14">
        <f t="shared" si="4"/>
        <v>25.718333333333334</v>
      </c>
      <c r="D29" s="27">
        <v>24</v>
      </c>
      <c r="E29" s="27">
        <v>0</v>
      </c>
      <c r="F29" s="30">
        <v>617.24</v>
      </c>
      <c r="G29" s="30">
        <v>-2.5499999999999998</v>
      </c>
      <c r="H29" s="29">
        <f t="shared" si="1"/>
        <v>4.1312941481433472E-3</v>
      </c>
      <c r="I29" s="29">
        <f t="shared" si="2"/>
        <v>0.28524327652128839</v>
      </c>
      <c r="J29" s="30">
        <f t="shared" si="5"/>
        <v>176.06356000000005</v>
      </c>
      <c r="K29" s="30">
        <f t="shared" si="3"/>
        <v>7.3359816666666688</v>
      </c>
      <c r="L29" s="27">
        <v>112</v>
      </c>
      <c r="M29" s="31">
        <f t="shared" si="6"/>
        <v>0.21428571428571427</v>
      </c>
      <c r="N29" s="15">
        <v>214</v>
      </c>
      <c r="O29" s="32">
        <f t="shared" ref="O29:P29" si="37">D29/7</f>
        <v>3.4285714285714284</v>
      </c>
      <c r="P29" s="32">
        <f t="shared" si="37"/>
        <v>0</v>
      </c>
      <c r="Q29" s="27">
        <f t="shared" si="8"/>
        <v>62</v>
      </c>
      <c r="R29" s="27"/>
      <c r="S29" s="41">
        <v>1.0174563591022441</v>
      </c>
      <c r="T29" s="40" t="s">
        <v>34</v>
      </c>
      <c r="U29" s="22" t="s">
        <v>34</v>
      </c>
      <c r="V29" s="1" t="s">
        <v>34</v>
      </c>
      <c r="W29" s="40">
        <v>2</v>
      </c>
      <c r="X29" s="36">
        <f t="shared" si="9"/>
        <v>8.3333333333333329E-2</v>
      </c>
      <c r="Y29" s="37">
        <f t="shared" si="10"/>
        <v>1.2749999999999999</v>
      </c>
      <c r="Z29" s="40">
        <v>0</v>
      </c>
      <c r="AA29" s="26" t="s">
        <v>250</v>
      </c>
      <c r="AB29" s="38">
        <f t="shared" si="11"/>
        <v>-0.48</v>
      </c>
      <c r="AC29" s="39">
        <v>0.23567881944444444</v>
      </c>
      <c r="AD29" s="37">
        <f t="shared" si="12"/>
        <v>-5.43004</v>
      </c>
      <c r="AE29" s="37">
        <v>-9.8000000000000007</v>
      </c>
      <c r="AF29" s="42">
        <v>-4.3921000000000001</v>
      </c>
      <c r="AG29" s="37">
        <v>0</v>
      </c>
    </row>
    <row r="30" spans="1:33" ht="15.75" customHeight="1" x14ac:dyDescent="0.2">
      <c r="A30" s="40" t="s">
        <v>84</v>
      </c>
      <c r="B30" s="26" t="s">
        <v>783</v>
      </c>
      <c r="C30" s="14">
        <f t="shared" si="4"/>
        <v>24.990000000000006</v>
      </c>
      <c r="D30" s="15">
        <v>23</v>
      </c>
      <c r="E30" s="15">
        <v>0</v>
      </c>
      <c r="F30" s="16">
        <v>574.7700000000001</v>
      </c>
      <c r="G30" s="16">
        <v>-1.07</v>
      </c>
      <c r="H30" s="29">
        <f t="shared" si="1"/>
        <v>1.8616142109017517E-3</v>
      </c>
      <c r="I30" s="29">
        <f t="shared" si="2"/>
        <v>0.22514515508014804</v>
      </c>
      <c r="J30" s="30">
        <f t="shared" si="5"/>
        <v>129.40668078541671</v>
      </c>
      <c r="K30" s="30">
        <f t="shared" si="3"/>
        <v>5.6263774254529002</v>
      </c>
      <c r="L30" s="15">
        <v>107</v>
      </c>
      <c r="M30" s="31">
        <f t="shared" si="6"/>
        <v>0.21495327102803738</v>
      </c>
      <c r="N30" s="15">
        <v>220</v>
      </c>
      <c r="O30" s="32">
        <f t="shared" ref="O30:P30" si="38">D30/7</f>
        <v>3.2857142857142856</v>
      </c>
      <c r="P30" s="32">
        <f t="shared" si="38"/>
        <v>0</v>
      </c>
      <c r="Q30" s="27">
        <f t="shared" si="8"/>
        <v>66</v>
      </c>
      <c r="R30" s="27"/>
      <c r="S30" s="41">
        <v>1.4375</v>
      </c>
      <c r="T30" s="26">
        <v>975</v>
      </c>
      <c r="U30" s="34">
        <v>400</v>
      </c>
      <c r="V30" s="35" t="s">
        <v>784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0.23567881944444444</v>
      </c>
      <c r="AD30" s="37">
        <f t="shared" si="12"/>
        <v>-5.2037883333333328</v>
      </c>
      <c r="AE30" s="42">
        <v>-9.8000000000000007</v>
      </c>
      <c r="AF30" s="42">
        <v>-5.5423491687500004</v>
      </c>
      <c r="AG30" s="42">
        <v>0</v>
      </c>
    </row>
    <row r="31" spans="1:33" ht="15.75" customHeight="1" x14ac:dyDescent="0.2">
      <c r="A31" s="40" t="s">
        <v>87</v>
      </c>
      <c r="B31" s="40" t="s">
        <v>785</v>
      </c>
      <c r="C31" s="14">
        <f t="shared" si="4"/>
        <v>24.990000000000006</v>
      </c>
      <c r="D31" s="15">
        <v>28</v>
      </c>
      <c r="E31" s="15">
        <v>0</v>
      </c>
      <c r="F31" s="16">
        <v>699.72000000000014</v>
      </c>
      <c r="G31" s="43">
        <v>-4.16</v>
      </c>
      <c r="H31" s="29">
        <f t="shared" si="1"/>
        <v>5.9452352369519226E-3</v>
      </c>
      <c r="I31" s="29">
        <f t="shared" si="2"/>
        <v>0.2210615340540979</v>
      </c>
      <c r="J31" s="30">
        <f t="shared" si="5"/>
        <v>154.6811766083334</v>
      </c>
      <c r="K31" s="30">
        <f t="shared" si="3"/>
        <v>5.524327736011907</v>
      </c>
      <c r="L31" s="15">
        <v>133</v>
      </c>
      <c r="M31" s="31">
        <f t="shared" si="6"/>
        <v>0.21052631578947367</v>
      </c>
      <c r="N31" s="15">
        <v>204</v>
      </c>
      <c r="O31" s="32">
        <f t="shared" ref="O31:P31" si="39">D31/7</f>
        <v>4</v>
      </c>
      <c r="P31" s="32">
        <f t="shared" si="39"/>
        <v>0</v>
      </c>
      <c r="Q31" s="27">
        <f t="shared" si="8"/>
        <v>51</v>
      </c>
      <c r="R31" s="27"/>
      <c r="S31" s="41">
        <v>1.67088607594936</v>
      </c>
      <c r="T31" s="40">
        <v>575</v>
      </c>
      <c r="U31" s="22">
        <v>400</v>
      </c>
      <c r="V31" s="1" t="s">
        <v>786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0.23567881944444444</v>
      </c>
      <c r="AD31" s="37">
        <f t="shared" si="12"/>
        <v>-6.335046666666666</v>
      </c>
      <c r="AE31" s="45">
        <v>-9.8000000000000007</v>
      </c>
      <c r="AF31" s="45">
        <v>-5.5423491687500004</v>
      </c>
      <c r="AG31" s="42">
        <v>0</v>
      </c>
    </row>
    <row r="32" spans="1:33" ht="15.75" customHeight="1" x14ac:dyDescent="0.2">
      <c r="A32" s="40" t="s">
        <v>90</v>
      </c>
      <c r="B32" s="50" t="s">
        <v>263</v>
      </c>
      <c r="C32" s="14">
        <f t="shared" si="4"/>
        <v>22.431470588235292</v>
      </c>
      <c r="D32" s="15">
        <v>34</v>
      </c>
      <c r="E32" s="15">
        <v>0</v>
      </c>
      <c r="F32" s="16">
        <v>762.67</v>
      </c>
      <c r="G32" s="16">
        <v>-0.89999999999999991</v>
      </c>
      <c r="H32" s="29">
        <f t="shared" si="1"/>
        <v>1.1800647724441763E-3</v>
      </c>
      <c r="I32" s="29">
        <f t="shared" si="2"/>
        <v>0.15476821114745995</v>
      </c>
      <c r="J32" s="30">
        <f t="shared" si="5"/>
        <v>118.03707159583328</v>
      </c>
      <c r="K32" s="30">
        <f t="shared" si="3"/>
        <v>3.4716785763480376</v>
      </c>
      <c r="L32" s="15">
        <v>137</v>
      </c>
      <c r="M32" s="31">
        <f t="shared" si="6"/>
        <v>0.24817518248175183</v>
      </c>
      <c r="N32" s="15">
        <v>174</v>
      </c>
      <c r="O32" s="32">
        <f t="shared" ref="O32:P32" si="40">D32/7</f>
        <v>4.8571428571428568</v>
      </c>
      <c r="P32" s="32">
        <f t="shared" si="40"/>
        <v>0</v>
      </c>
      <c r="Q32" s="27">
        <f t="shared" si="8"/>
        <v>35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1.0465949820788529</v>
      </c>
      <c r="T32" s="40">
        <f ca="1">IFERROR(__xludf.DUMMYFUNCTION("IFERROR(VLOOKUP($B$2,IMPORTRANGE(""https://docs.google.com/spreadsheets/d/1KiWZV1ko8G7lnRucBRBd29jj3Be6ltMfljMDqzOkQmI/edit#gid=1381463014"",""Lookup!A:D""),4,FALSE),"""")"),575)</f>
        <v>575</v>
      </c>
      <c r="U32" s="22">
        <f ca="1">IFERROR(__xludf.DUMMYFUNCTION("IFERROR(VLOOKUP($B$2,IMPORTRANGE(""https://docs.google.com/spreadsheets/d/1KiWZV1ko8G7lnRucBRBd29jj3Be6ltMfljMDqzOkQmI/edit#gid=1381463014"",""Lookup!A:D""),3,FALSE),"""")"),400)</f>
        <v>400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AGL232  - 400 units 07/22")</f>
        <v>| AGL232  - 400 units 07/22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0.23567881944444444</v>
      </c>
      <c r="AD32" s="37">
        <f t="shared" si="12"/>
        <v>-7.6925566666666665</v>
      </c>
      <c r="AE32" s="42">
        <v>-9.8000000000000007</v>
      </c>
      <c r="AF32" s="42">
        <v>-5.5423491687500004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1:33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1:33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1:33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1:33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1:33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1:33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1:33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0.83203125" customWidth="1"/>
    <col min="3" max="3" width="11.1640625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Info!B1:BJ5000""),3,FALSE),"""")"),"PVC Menu 2 view, PVC 30pcs one pack")</f>
        <v>PVC Menu 2 view, PVC 30pcs one pack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Info!B1:BJ5000""),2,FALSE),"""")"),"B01KGF5IWS")</f>
        <v>B01KGF5IWS</v>
      </c>
      <c r="B2" s="3" t="s">
        <v>787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6" customHeight="1" x14ac:dyDescent="0.2">
      <c r="A3" s="68" t="s">
        <v>31</v>
      </c>
      <c r="B3" s="69"/>
      <c r="C3" s="48">
        <f>((AE32+AF32)/0.85)*-1</f>
        <v>23.756488235294121</v>
      </c>
      <c r="D3" s="5">
        <f>SUM(D4:D99767)</f>
        <v>139</v>
      </c>
      <c r="E3" s="5"/>
      <c r="F3" s="6">
        <f t="shared" ref="F3:G3" si="0">SUM(F4:F99767)</f>
        <v>4485.18</v>
      </c>
      <c r="G3" s="6">
        <f t="shared" si="0"/>
        <v>-29</v>
      </c>
      <c r="H3" s="7">
        <f>G3/F3*-1</f>
        <v>6.4657382758328535E-3</v>
      </c>
      <c r="I3" s="8">
        <f>J3/F3</f>
        <v>0.21147662500329792</v>
      </c>
      <c r="J3" s="6">
        <f>SUM(J4:J99767)</f>
        <v>948.51072893229184</v>
      </c>
      <c r="K3" s="6">
        <f>J3/D3</f>
        <v>6.8238181937574955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Sheet!a1:g5000""),2,FALSE),"""")"),"3.0 - March
3.0 - April
3.0 - May
3.0 - June
3.0 - July
3.0 - Aug
3.0 - Sept
3.0 - Oct
3.0 - Nov
3.0 - Dec
3.0 - Jan
3.0 - Feb")</f>
        <v>3.0 - March
3.0 - April
3.0 - May
3.0 - June
3.0 - July
3.0 - Aug
3.0 - Sept
3.0 - Oct
3.0 - Nov
3.0 - Dec
3.0 - Jan
3.0 -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28</v>
      </c>
      <c r="X3" s="7">
        <f>W3/D3</f>
        <v>0.20143884892086331</v>
      </c>
      <c r="Y3" s="6"/>
      <c r="Z3" s="5"/>
      <c r="AA3" s="5"/>
      <c r="AB3" s="5"/>
      <c r="AC3" s="5"/>
      <c r="AD3" s="6">
        <f>SUM(AD4:AD99767)</f>
        <v>-36.698895833333331</v>
      </c>
      <c r="AE3" s="4"/>
      <c r="AF3" s="6">
        <v>-14.213015</v>
      </c>
      <c r="AG3" s="6">
        <f>SUM(AG4:AG99767)</f>
        <v>0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35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35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hidden="1" customHeight="1" x14ac:dyDescent="0.2">
      <c r="A10" s="26"/>
      <c r="B10" s="26"/>
      <c r="C10" s="14"/>
      <c r="D10" s="27"/>
      <c r="E10" s="27"/>
      <c r="F10" s="28"/>
      <c r="G10" s="28"/>
      <c r="H10" s="29"/>
      <c r="I10" s="29"/>
      <c r="J10" s="30"/>
      <c r="K10" s="30"/>
      <c r="L10" s="27"/>
      <c r="M10" s="31"/>
      <c r="N10" s="27"/>
      <c r="O10" s="32"/>
      <c r="P10" s="32"/>
      <c r="Q10" s="27"/>
      <c r="R10" s="27"/>
      <c r="S10" s="33"/>
      <c r="T10" s="26"/>
      <c r="U10" s="34"/>
      <c r="V10" s="35"/>
      <c r="W10" s="26"/>
      <c r="X10" s="36"/>
      <c r="Y10" s="37"/>
      <c r="Z10" s="26"/>
      <c r="AA10" s="26"/>
      <c r="AB10" s="38"/>
      <c r="AC10" s="39"/>
      <c r="AD10" s="37"/>
      <c r="AE10" s="37"/>
      <c r="AF10" s="37"/>
      <c r="AG10" s="37"/>
    </row>
    <row r="11" spans="1:33" ht="15.75" hidden="1" customHeight="1" x14ac:dyDescent="0.2">
      <c r="A11" s="26"/>
      <c r="B11" s="26"/>
      <c r="C11" s="14"/>
      <c r="D11" s="27"/>
      <c r="E11" s="27"/>
      <c r="F11" s="28"/>
      <c r="G11" s="28"/>
      <c r="H11" s="29"/>
      <c r="I11" s="29"/>
      <c r="J11" s="30"/>
      <c r="K11" s="30"/>
      <c r="L11" s="27"/>
      <c r="M11" s="31"/>
      <c r="N11" s="27"/>
      <c r="O11" s="32"/>
      <c r="P11" s="32"/>
      <c r="Q11" s="27"/>
      <c r="R11" s="27"/>
      <c r="S11" s="33"/>
      <c r="T11" s="26"/>
      <c r="U11" s="34"/>
      <c r="V11" s="35"/>
      <c r="W11" s="26"/>
      <c r="X11" s="36"/>
      <c r="Y11" s="37"/>
      <c r="Z11" s="26"/>
      <c r="AA11" s="26"/>
      <c r="AB11" s="38"/>
      <c r="AC11" s="39"/>
      <c r="AD11" s="37"/>
      <c r="AE11" s="37"/>
      <c r="AF11" s="37"/>
      <c r="AG11" s="37"/>
    </row>
    <row r="12" spans="1:33" ht="15.75" hidden="1" customHeight="1" x14ac:dyDescent="0.2">
      <c r="A12" s="26"/>
      <c r="B12" s="26"/>
      <c r="C12" s="14"/>
      <c r="D12" s="27"/>
      <c r="E12" s="27"/>
      <c r="F12" s="28"/>
      <c r="G12" s="28"/>
      <c r="H12" s="29"/>
      <c r="I12" s="29"/>
      <c r="J12" s="30"/>
      <c r="K12" s="30"/>
      <c r="L12" s="27"/>
      <c r="M12" s="31"/>
      <c r="N12" s="27"/>
      <c r="O12" s="32"/>
      <c r="P12" s="32"/>
      <c r="Q12" s="27"/>
      <c r="R12" s="27"/>
      <c r="S12" s="33"/>
      <c r="T12" s="26"/>
      <c r="U12" s="34"/>
      <c r="V12" s="35"/>
      <c r="W12" s="26"/>
      <c r="X12" s="36"/>
      <c r="Y12" s="37"/>
      <c r="Z12" s="26"/>
      <c r="AA12" s="26"/>
      <c r="AB12" s="38"/>
      <c r="AC12" s="39"/>
      <c r="AD12" s="37"/>
      <c r="AE12" s="37"/>
      <c r="AF12" s="37"/>
      <c r="AG12" s="37"/>
    </row>
    <row r="13" spans="1:33" ht="15.75" hidden="1" customHeight="1" x14ac:dyDescent="0.2">
      <c r="A13" s="26"/>
      <c r="B13" s="26"/>
      <c r="C13" s="14"/>
      <c r="D13" s="27"/>
      <c r="E13" s="27"/>
      <c r="F13" s="30"/>
      <c r="G13" s="28"/>
      <c r="H13" s="29"/>
      <c r="I13" s="29"/>
      <c r="J13" s="30"/>
      <c r="K13" s="30"/>
      <c r="L13" s="27"/>
      <c r="M13" s="31"/>
      <c r="N13" s="27"/>
      <c r="O13" s="32"/>
      <c r="P13" s="32"/>
      <c r="Q13" s="27"/>
      <c r="R13" s="27"/>
      <c r="S13" s="33"/>
      <c r="T13" s="26"/>
      <c r="U13" s="34"/>
      <c r="V13" s="35"/>
      <c r="W13" s="26"/>
      <c r="X13" s="36"/>
      <c r="Y13" s="37"/>
      <c r="Z13" s="26"/>
      <c r="AA13" s="26"/>
      <c r="AB13" s="38"/>
      <c r="AC13" s="39"/>
      <c r="AD13" s="37"/>
      <c r="AE13" s="37"/>
      <c r="AF13" s="37"/>
      <c r="AG13" s="37"/>
    </row>
    <row r="14" spans="1:33" ht="15.75" hidden="1" customHeight="1" x14ac:dyDescent="0.2">
      <c r="A14" s="26"/>
      <c r="B14" s="26"/>
      <c r="C14" s="14"/>
      <c r="D14" s="27"/>
      <c r="E14" s="27"/>
      <c r="F14" s="30"/>
      <c r="G14" s="28"/>
      <c r="H14" s="29"/>
      <c r="I14" s="29"/>
      <c r="J14" s="30"/>
      <c r="K14" s="30"/>
      <c r="L14" s="27"/>
      <c r="M14" s="31"/>
      <c r="N14" s="27"/>
      <c r="O14" s="32"/>
      <c r="P14" s="32"/>
      <c r="Q14" s="27"/>
      <c r="R14" s="27"/>
      <c r="S14" s="33"/>
      <c r="T14" s="26"/>
      <c r="U14" s="34"/>
      <c r="V14" s="35"/>
      <c r="W14" s="26"/>
      <c r="X14" s="36"/>
      <c r="Y14" s="37"/>
      <c r="Z14" s="26"/>
      <c r="AA14" s="26"/>
      <c r="AB14" s="38"/>
      <c r="AC14" s="39"/>
      <c r="AD14" s="37"/>
      <c r="AE14" s="37"/>
      <c r="AF14" s="37"/>
      <c r="AG14" s="37"/>
    </row>
    <row r="15" spans="1:33" ht="15.75" hidden="1" customHeight="1" x14ac:dyDescent="0.2">
      <c r="A15" s="26"/>
      <c r="B15" s="26"/>
      <c r="C15" s="14"/>
      <c r="D15" s="27"/>
      <c r="E15" s="27"/>
      <c r="F15" s="30"/>
      <c r="G15" s="28"/>
      <c r="H15" s="29"/>
      <c r="I15" s="29"/>
      <c r="J15" s="30"/>
      <c r="K15" s="30"/>
      <c r="L15" s="27"/>
      <c r="M15" s="31"/>
      <c r="N15" s="27"/>
      <c r="O15" s="32"/>
      <c r="P15" s="32"/>
      <c r="Q15" s="27"/>
      <c r="R15" s="27"/>
      <c r="S15" s="33"/>
      <c r="T15" s="26"/>
      <c r="U15" s="34"/>
      <c r="V15" s="35"/>
      <c r="W15" s="26"/>
      <c r="X15" s="36"/>
      <c r="Y15" s="37"/>
      <c r="Z15" s="26"/>
      <c r="AA15" s="26"/>
      <c r="AB15" s="38"/>
      <c r="AC15" s="39"/>
      <c r="AD15" s="37"/>
      <c r="AE15" s="37"/>
      <c r="AF15" s="37"/>
      <c r="AG15" s="37"/>
    </row>
    <row r="16" spans="1:33" ht="15.75" hidden="1" customHeight="1" x14ac:dyDescent="0.2">
      <c r="A16" s="26"/>
      <c r="B16" s="26"/>
      <c r="C16" s="14"/>
      <c r="D16" s="27"/>
      <c r="E16" s="27"/>
      <c r="F16" s="30"/>
      <c r="G16" s="28"/>
      <c r="H16" s="29"/>
      <c r="I16" s="29"/>
      <c r="J16" s="30"/>
      <c r="K16" s="30"/>
      <c r="L16" s="27"/>
      <c r="M16" s="31"/>
      <c r="N16" s="27"/>
      <c r="O16" s="32"/>
      <c r="P16" s="32"/>
      <c r="Q16" s="27"/>
      <c r="R16" s="27"/>
      <c r="S16" s="33"/>
      <c r="T16" s="26"/>
      <c r="U16" s="34"/>
      <c r="V16" s="35"/>
      <c r="W16" s="26"/>
      <c r="X16" s="36"/>
      <c r="Y16" s="37"/>
      <c r="Z16" s="26"/>
      <c r="AA16" s="26"/>
      <c r="AB16" s="38"/>
      <c r="AC16" s="39"/>
      <c r="AD16" s="37"/>
      <c r="AE16" s="37"/>
      <c r="AF16" s="37"/>
      <c r="AG16" s="37"/>
    </row>
    <row r="17" spans="1:33" ht="15.75" hidden="1" customHeight="1" x14ac:dyDescent="0.2">
      <c r="A17" s="26"/>
      <c r="B17" s="26"/>
      <c r="C17" s="14"/>
      <c r="D17" s="27"/>
      <c r="E17" s="27"/>
      <c r="F17" s="30"/>
      <c r="G17" s="28"/>
      <c r="H17" s="29"/>
      <c r="I17" s="29"/>
      <c r="J17" s="30"/>
      <c r="K17" s="30"/>
      <c r="L17" s="27"/>
      <c r="M17" s="31"/>
      <c r="N17" s="27"/>
      <c r="O17" s="32"/>
      <c r="P17" s="32"/>
      <c r="Q17" s="27"/>
      <c r="R17" s="27"/>
      <c r="S17" s="33"/>
      <c r="T17" s="26"/>
      <c r="U17" s="34"/>
      <c r="V17" s="35"/>
      <c r="W17" s="26"/>
      <c r="X17" s="36"/>
      <c r="Y17" s="37"/>
      <c r="Z17" s="26"/>
      <c r="AA17" s="26"/>
      <c r="AB17" s="38"/>
      <c r="AC17" s="39"/>
      <c r="AD17" s="37"/>
      <c r="AE17" s="37"/>
      <c r="AF17" s="37"/>
      <c r="AG17" s="37"/>
    </row>
    <row r="18" spans="1:33" ht="15.75" hidden="1" customHeight="1" x14ac:dyDescent="0.2">
      <c r="A18" s="26"/>
      <c r="B18" s="26"/>
      <c r="C18" s="14"/>
      <c r="D18" s="27"/>
      <c r="E18" s="27"/>
      <c r="F18" s="30"/>
      <c r="G18" s="28"/>
      <c r="H18" s="29"/>
      <c r="I18" s="29"/>
      <c r="J18" s="30"/>
      <c r="K18" s="30"/>
      <c r="L18" s="27"/>
      <c r="M18" s="31"/>
      <c r="N18" s="27"/>
      <c r="O18" s="32"/>
      <c r="P18" s="32"/>
      <c r="Q18" s="27"/>
      <c r="R18" s="27"/>
      <c r="S18" s="33"/>
      <c r="T18" s="26"/>
      <c r="U18" s="34"/>
      <c r="V18" s="35"/>
      <c r="W18" s="26"/>
      <c r="X18" s="36"/>
      <c r="Y18" s="37"/>
      <c r="Z18" s="26"/>
      <c r="AA18" s="26"/>
      <c r="AB18" s="38"/>
      <c r="AC18" s="39"/>
      <c r="AD18" s="37"/>
      <c r="AE18" s="37"/>
      <c r="AF18" s="37"/>
      <c r="AG18" s="37"/>
    </row>
    <row r="19" spans="1:33" ht="15.75" hidden="1" customHeight="1" x14ac:dyDescent="0.2">
      <c r="A19" s="26"/>
      <c r="B19" s="26"/>
      <c r="C19" s="14"/>
      <c r="D19" s="27"/>
      <c r="E19" s="27"/>
      <c r="F19" s="30"/>
      <c r="G19" s="28"/>
      <c r="H19" s="29"/>
      <c r="I19" s="29"/>
      <c r="J19" s="30"/>
      <c r="K19" s="30"/>
      <c r="L19" s="27"/>
      <c r="M19" s="31"/>
      <c r="N19" s="27"/>
      <c r="O19" s="32"/>
      <c r="P19" s="32"/>
      <c r="Q19" s="27"/>
      <c r="R19" s="27"/>
      <c r="S19" s="33"/>
      <c r="T19" s="26"/>
      <c r="U19" s="34"/>
      <c r="V19" s="35"/>
      <c r="W19" s="26"/>
      <c r="X19" s="36"/>
      <c r="Y19" s="37"/>
      <c r="Z19" s="26"/>
      <c r="AA19" s="26"/>
      <c r="AB19" s="38"/>
      <c r="AC19" s="39"/>
      <c r="AD19" s="37"/>
      <c r="AE19" s="37"/>
      <c r="AF19" s="37"/>
      <c r="AG19" s="37"/>
    </row>
    <row r="20" spans="1:33" ht="15.75" hidden="1" customHeight="1" x14ac:dyDescent="0.2">
      <c r="A20" s="26"/>
      <c r="B20" s="26"/>
      <c r="C20" s="14"/>
      <c r="D20" s="27"/>
      <c r="E20" s="27"/>
      <c r="F20" s="30"/>
      <c r="G20" s="28"/>
      <c r="H20" s="29"/>
      <c r="I20" s="29"/>
      <c r="J20" s="30"/>
      <c r="K20" s="30"/>
      <c r="L20" s="27"/>
      <c r="M20" s="31"/>
      <c r="N20" s="27"/>
      <c r="O20" s="32"/>
      <c r="P20" s="32"/>
      <c r="Q20" s="27"/>
      <c r="R20" s="27"/>
      <c r="S20" s="33"/>
      <c r="T20" s="26"/>
      <c r="U20" s="34"/>
      <c r="V20" s="35"/>
      <c r="W20" s="26"/>
      <c r="X20" s="36"/>
      <c r="Y20" s="37"/>
      <c r="Z20" s="26"/>
      <c r="AA20" s="26"/>
      <c r="AB20" s="38"/>
      <c r="AC20" s="39"/>
      <c r="AD20" s="37"/>
      <c r="AE20" s="37"/>
      <c r="AF20" s="37"/>
      <c r="AG20" s="37"/>
    </row>
    <row r="21" spans="1:33" ht="15.75" hidden="1" customHeight="1" x14ac:dyDescent="0.2">
      <c r="A21" s="26"/>
      <c r="B21" s="26"/>
      <c r="C21" s="14"/>
      <c r="D21" s="27"/>
      <c r="E21" s="27"/>
      <c r="F21" s="30"/>
      <c r="G21" s="28"/>
      <c r="H21" s="29"/>
      <c r="I21" s="29"/>
      <c r="J21" s="30"/>
      <c r="K21" s="30"/>
      <c r="L21" s="27"/>
      <c r="M21" s="31"/>
      <c r="N21" s="27"/>
      <c r="O21" s="32"/>
      <c r="P21" s="32"/>
      <c r="Q21" s="27"/>
      <c r="R21" s="27"/>
      <c r="S21" s="33"/>
      <c r="T21" s="26"/>
      <c r="U21" s="34"/>
      <c r="V21" s="35"/>
      <c r="W21" s="26"/>
      <c r="X21" s="36"/>
      <c r="Y21" s="37"/>
      <c r="Z21" s="26"/>
      <c r="AA21" s="26"/>
      <c r="AB21" s="38"/>
      <c r="AC21" s="39"/>
      <c r="AD21" s="37"/>
      <c r="AE21" s="37"/>
      <c r="AF21" s="37"/>
      <c r="AG21" s="37"/>
    </row>
    <row r="22" spans="1:33" ht="15.75" customHeight="1" x14ac:dyDescent="0.2">
      <c r="A22" s="26" t="s">
        <v>67</v>
      </c>
      <c r="B22" s="26"/>
      <c r="C22" s="14" t="str">
        <f t="shared" ref="C22:C32" si="1">IFERROR(F22/D22," - ")</f>
        <v xml:space="preserve"> - </v>
      </c>
      <c r="D22" s="27">
        <v>0</v>
      </c>
      <c r="E22" s="27">
        <v>0</v>
      </c>
      <c r="F22" s="28">
        <v>0</v>
      </c>
      <c r="G22" s="28">
        <v>-0.02</v>
      </c>
      <c r="H22" s="29" t="e">
        <f t="shared" ref="H22:H32" si="2">G22/F22*-1</f>
        <v>#DIV/0!</v>
      </c>
      <c r="I22" s="29" t="e">
        <f t="shared" ref="I22:I32" si="3">J22/F22</f>
        <v>#DIV/0!</v>
      </c>
      <c r="J22" s="30">
        <f t="shared" ref="J22:J32" si="4">F22*0.85+G22+AF22*D22+D22*AE22+AG22+AD22</f>
        <v>-0.02</v>
      </c>
      <c r="K22" s="30" t="e">
        <f t="shared" ref="K22:K32" si="5">J22/D22</f>
        <v>#DIV/0!</v>
      </c>
      <c r="L22" s="27">
        <v>0</v>
      </c>
      <c r="M22" s="31" t="str">
        <f t="shared" ref="M22:M32" si="6">IFERROR(D22/L22,"-")</f>
        <v>-</v>
      </c>
      <c r="N22" s="27">
        <v>0</v>
      </c>
      <c r="O22" s="32">
        <f t="shared" ref="O22:P22" si="7">D22/7</f>
        <v>0</v>
      </c>
      <c r="P22" s="32">
        <f t="shared" si="7"/>
        <v>0</v>
      </c>
      <c r="Q22" s="27" t="e">
        <f t="shared" ref="Q22:Q32" si="8">ROUNDDOWN(N22/(O22+P22),0)</f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ref="X22:X32" si="9">IFERROR(W22/D22,0)</f>
        <v>0</v>
      </c>
      <c r="Y22" s="37">
        <f t="shared" ref="Y22:Y32" si="10">IFERROR(G22/(W22+Z22)*-1,0)</f>
        <v>0</v>
      </c>
      <c r="Z22" s="26">
        <v>0</v>
      </c>
      <c r="AA22" s="26" t="s">
        <v>37</v>
      </c>
      <c r="AB22" s="38">
        <f t="shared" ref="AB22:AB32" si="11">IF(OR(AA22="UsLargeStandardSize",AA22="UsSmallStandardSize"),-0.69,-0.48)</f>
        <v>-0.69</v>
      </c>
      <c r="AC22" s="39">
        <v>0.19131944444444443</v>
      </c>
      <c r="AD22" s="37">
        <f t="shared" ref="AD22:AD32" si="12">IFERROR(AB22*AC22*D22*2,0)</f>
        <v>0</v>
      </c>
      <c r="AE22" s="37">
        <v>-6.18</v>
      </c>
      <c r="AF22" s="37">
        <v>-14.213015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1"/>
        <v xml:space="preserve"> - </v>
      </c>
      <c r="D23" s="27">
        <v>0</v>
      </c>
      <c r="E23" s="27">
        <v>0</v>
      </c>
      <c r="F23" s="30">
        <v>0</v>
      </c>
      <c r="G23" s="28">
        <v>-0.03</v>
      </c>
      <c r="H23" s="29" t="e">
        <f t="shared" si="2"/>
        <v>#DIV/0!</v>
      </c>
      <c r="I23" s="29" t="e">
        <f t="shared" si="3"/>
        <v>#DIV/0!</v>
      </c>
      <c r="J23" s="30">
        <f t="shared" si="4"/>
        <v>-0.03</v>
      </c>
      <c r="K23" s="30" t="e">
        <f t="shared" si="5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13">D23/7</f>
        <v>0</v>
      </c>
      <c r="P23" s="32">
        <f t="shared" si="13"/>
        <v>0</v>
      </c>
      <c r="Q23" s="27" t="e">
        <f t="shared" si="8"/>
        <v>#DIV/0!</v>
      </c>
      <c r="R23" s="27"/>
      <c r="S23" s="33" t="e">
        <v>#N/A</v>
      </c>
      <c r="T23" s="26">
        <v>900</v>
      </c>
      <c r="U23" s="34" t="s">
        <v>34</v>
      </c>
      <c r="V23" s="35" t="s">
        <v>788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0.19131944444444443</v>
      </c>
      <c r="AD23" s="37">
        <f t="shared" si="12"/>
        <v>0</v>
      </c>
      <c r="AE23" s="37">
        <v>-6.18</v>
      </c>
      <c r="AF23" s="37">
        <v>-14.213015</v>
      </c>
      <c r="AG23" s="37">
        <v>0</v>
      </c>
    </row>
    <row r="24" spans="1:33" ht="15.75" customHeight="1" x14ac:dyDescent="0.2">
      <c r="A24" s="26" t="s">
        <v>71</v>
      </c>
      <c r="B24" s="26"/>
      <c r="C24" s="14">
        <f t="shared" si="1"/>
        <v>28.99</v>
      </c>
      <c r="D24" s="27">
        <v>1</v>
      </c>
      <c r="E24" s="27">
        <v>0</v>
      </c>
      <c r="F24" s="30">
        <v>28.99</v>
      </c>
      <c r="G24" s="30">
        <v>-0.15000000000000002</v>
      </c>
      <c r="H24" s="29">
        <f t="shared" si="2"/>
        <v>5.1741979993101079E-3</v>
      </c>
      <c r="I24" s="29">
        <f t="shared" si="3"/>
        <v>0.13226851213061971</v>
      </c>
      <c r="J24" s="30">
        <f t="shared" si="4"/>
        <v>3.834464166666665</v>
      </c>
      <c r="K24" s="30">
        <f t="shared" si="5"/>
        <v>3.834464166666665</v>
      </c>
      <c r="L24" s="27">
        <v>10</v>
      </c>
      <c r="M24" s="31">
        <f t="shared" si="6"/>
        <v>0.1</v>
      </c>
      <c r="N24" s="27">
        <v>0</v>
      </c>
      <c r="O24" s="32">
        <f t="shared" ref="O24:P24" si="14">D24/7</f>
        <v>0.14285714285714285</v>
      </c>
      <c r="P24" s="32">
        <f t="shared" si="14"/>
        <v>0</v>
      </c>
      <c r="Q24" s="27">
        <f t="shared" si="8"/>
        <v>0</v>
      </c>
      <c r="R24" s="27"/>
      <c r="S24" s="33" t="e">
        <v>#N/A</v>
      </c>
      <c r="T24" s="26">
        <v>900</v>
      </c>
      <c r="U24" s="34" t="s">
        <v>34</v>
      </c>
      <c r="V24" s="35" t="s">
        <v>788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0.19131944444444443</v>
      </c>
      <c r="AD24" s="37">
        <f t="shared" si="12"/>
        <v>-0.26402083333333332</v>
      </c>
      <c r="AE24" s="37">
        <v>-6.18</v>
      </c>
      <c r="AF24" s="37">
        <v>-14.213015</v>
      </c>
      <c r="AG24" s="37">
        <v>0</v>
      </c>
    </row>
    <row r="25" spans="1:33" ht="15.75" customHeight="1" x14ac:dyDescent="0.2">
      <c r="A25" s="40" t="s">
        <v>73</v>
      </c>
      <c r="B25" s="40"/>
      <c r="C25" s="14">
        <f t="shared" si="1"/>
        <v>28.99</v>
      </c>
      <c r="D25" s="15">
        <v>2</v>
      </c>
      <c r="E25" s="15">
        <v>0</v>
      </c>
      <c r="F25" s="16">
        <v>57.98</v>
      </c>
      <c r="G25" s="16">
        <v>-0.06</v>
      </c>
      <c r="H25" s="29">
        <f t="shared" si="2"/>
        <v>1.0348395998620215E-3</v>
      </c>
      <c r="I25" s="29">
        <f t="shared" si="3"/>
        <v>0.13651187190985381</v>
      </c>
      <c r="J25" s="30">
        <f t="shared" si="4"/>
        <v>7.914958333333324</v>
      </c>
      <c r="K25" s="30">
        <f t="shared" si="5"/>
        <v>3.957479166666662</v>
      </c>
      <c r="L25" s="15">
        <v>17</v>
      </c>
      <c r="M25" s="31">
        <f t="shared" si="6"/>
        <v>0.11764705882352941</v>
      </c>
      <c r="N25" s="15">
        <v>0</v>
      </c>
      <c r="O25" s="32">
        <f t="shared" ref="O25:P25" si="15">D25/7</f>
        <v>0.2857142857142857</v>
      </c>
      <c r="P25" s="32">
        <f t="shared" si="15"/>
        <v>0</v>
      </c>
      <c r="Q25" s="27">
        <f t="shared" si="8"/>
        <v>0</v>
      </c>
      <c r="R25" s="27"/>
      <c r="S25" s="41">
        <v>0</v>
      </c>
      <c r="T25" s="26">
        <v>900</v>
      </c>
      <c r="U25" s="34">
        <v>200</v>
      </c>
      <c r="V25" s="35" t="s">
        <v>789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0.19131944444444443</v>
      </c>
      <c r="AD25" s="37">
        <f t="shared" si="12"/>
        <v>-0.52804166666666663</v>
      </c>
      <c r="AE25" s="42">
        <v>-6.18</v>
      </c>
      <c r="AF25" s="42">
        <v>-14.21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1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2"/>
        <v>#DIV/0!</v>
      </c>
      <c r="I26" s="29" t="e">
        <f t="shared" si="3"/>
        <v>#DIV/0!</v>
      </c>
      <c r="J26" s="30">
        <f t="shared" si="4"/>
        <v>0</v>
      </c>
      <c r="K26" s="30" t="e">
        <f t="shared" si="5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16">D26/7</f>
        <v>0</v>
      </c>
      <c r="P26" s="32">
        <f t="shared" si="16"/>
        <v>0</v>
      </c>
      <c r="Q26" s="27" t="e">
        <f t="shared" si="8"/>
        <v>#DIV/0!</v>
      </c>
      <c r="R26" s="27"/>
      <c r="S26" s="41">
        <v>0</v>
      </c>
      <c r="T26" s="26">
        <v>900</v>
      </c>
      <c r="U26" s="34">
        <v>200</v>
      </c>
      <c r="V26" s="35" t="s">
        <v>789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0.19131944444444443</v>
      </c>
      <c r="AD26" s="37">
        <f t="shared" si="12"/>
        <v>0</v>
      </c>
      <c r="AE26" s="42">
        <v>-6.18</v>
      </c>
      <c r="AF26" s="42">
        <v>-14.213015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1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2"/>
        <v>#DIV/0!</v>
      </c>
      <c r="I27" s="29" t="e">
        <f t="shared" si="3"/>
        <v>#DIV/0!</v>
      </c>
      <c r="J27" s="30">
        <f t="shared" si="4"/>
        <v>0</v>
      </c>
      <c r="K27" s="30" t="e">
        <f t="shared" si="5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17">D27/7</f>
        <v>0</v>
      </c>
      <c r="P27" s="32">
        <f t="shared" si="17"/>
        <v>0</v>
      </c>
      <c r="Q27" s="27" t="e">
        <f t="shared" si="8"/>
        <v>#DIV/0!</v>
      </c>
      <c r="R27" s="27"/>
      <c r="S27" s="41">
        <v>0</v>
      </c>
      <c r="T27" s="26">
        <v>900</v>
      </c>
      <c r="U27" s="34">
        <v>200</v>
      </c>
      <c r="V27" s="35" t="s">
        <v>790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0.19131944444444443</v>
      </c>
      <c r="AD27" s="37">
        <f t="shared" si="12"/>
        <v>0</v>
      </c>
      <c r="AE27" s="42">
        <v>-6.18</v>
      </c>
      <c r="AF27" s="42">
        <v>-14.213015</v>
      </c>
      <c r="AG27" s="42">
        <v>0</v>
      </c>
    </row>
    <row r="28" spans="1:33" ht="15.75" customHeight="1" x14ac:dyDescent="0.2">
      <c r="A28" s="40" t="s">
        <v>79</v>
      </c>
      <c r="B28" s="40" t="s">
        <v>791</v>
      </c>
      <c r="C28" s="14">
        <f t="shared" si="1"/>
        <v>25.99</v>
      </c>
      <c r="D28" s="15">
        <v>4</v>
      </c>
      <c r="E28" s="15">
        <v>0</v>
      </c>
      <c r="F28" s="16">
        <v>103.96</v>
      </c>
      <c r="G28" s="16">
        <v>-0.09</v>
      </c>
      <c r="H28" s="29">
        <f t="shared" si="2"/>
        <v>8.6571758368603311E-4</v>
      </c>
      <c r="I28" s="29">
        <f t="shared" si="3"/>
        <v>6.2022476593561422E-2</v>
      </c>
      <c r="J28" s="30">
        <f t="shared" si="4"/>
        <v>6.4478566666666453</v>
      </c>
      <c r="K28" s="30">
        <f t="shared" si="5"/>
        <v>1.6119641666666613</v>
      </c>
      <c r="L28" s="15">
        <v>7</v>
      </c>
      <c r="M28" s="31">
        <f t="shared" si="6"/>
        <v>0.5714285714285714</v>
      </c>
      <c r="N28" s="15">
        <v>196</v>
      </c>
      <c r="O28" s="32">
        <f t="shared" ref="O28:P28" si="18">D28/7</f>
        <v>0.5714285714285714</v>
      </c>
      <c r="P28" s="32">
        <f t="shared" si="18"/>
        <v>0</v>
      </c>
      <c r="Q28" s="27">
        <f t="shared" si="8"/>
        <v>343</v>
      </c>
      <c r="R28" s="27"/>
      <c r="S28" s="41">
        <v>0</v>
      </c>
      <c r="T28" s="40" t="s">
        <v>34</v>
      </c>
      <c r="U28" s="22" t="s">
        <v>34</v>
      </c>
      <c r="V28" s="1" t="s">
        <v>792</v>
      </c>
      <c r="W28" s="40">
        <v>1</v>
      </c>
      <c r="X28" s="36">
        <f t="shared" si="9"/>
        <v>0.25</v>
      </c>
      <c r="Y28" s="37">
        <f t="shared" si="10"/>
        <v>0.09</v>
      </c>
      <c r="Z28" s="40">
        <v>0</v>
      </c>
      <c r="AA28" s="26" t="s">
        <v>37</v>
      </c>
      <c r="AB28" s="38">
        <f t="shared" si="11"/>
        <v>-0.69</v>
      </c>
      <c r="AC28" s="39">
        <v>0.19131944444444443</v>
      </c>
      <c r="AD28" s="37">
        <f t="shared" si="12"/>
        <v>-1.0560833333333333</v>
      </c>
      <c r="AE28" s="42">
        <v>-5.98</v>
      </c>
      <c r="AF28" s="42">
        <v>-14.213015</v>
      </c>
      <c r="AG28" s="42">
        <v>0</v>
      </c>
    </row>
    <row r="29" spans="1:33" ht="15.75" customHeight="1" x14ac:dyDescent="0.2">
      <c r="A29" s="26" t="s">
        <v>82</v>
      </c>
      <c r="B29" s="26" t="s">
        <v>793</v>
      </c>
      <c r="C29" s="14">
        <f t="shared" si="1"/>
        <v>27.871836734693879</v>
      </c>
      <c r="D29" s="27">
        <v>49</v>
      </c>
      <c r="E29" s="27">
        <v>0</v>
      </c>
      <c r="F29" s="30">
        <v>1365.72</v>
      </c>
      <c r="G29" s="30">
        <v>-26.98</v>
      </c>
      <c r="H29" s="29">
        <f t="shared" si="2"/>
        <v>1.9755147468002224E-2</v>
      </c>
      <c r="I29" s="29">
        <f t="shared" si="3"/>
        <v>9.6276868001249682E-2</v>
      </c>
      <c r="J29" s="30">
        <f t="shared" si="4"/>
        <v>131.48724416666673</v>
      </c>
      <c r="K29" s="30">
        <f t="shared" si="5"/>
        <v>2.6834131462585047</v>
      </c>
      <c r="L29" s="27">
        <v>62</v>
      </c>
      <c r="M29" s="31">
        <f t="shared" si="6"/>
        <v>0.79032258064516125</v>
      </c>
      <c r="N29" s="15">
        <v>156</v>
      </c>
      <c r="O29" s="32">
        <f t="shared" ref="O29:P29" si="19">D29/7</f>
        <v>7</v>
      </c>
      <c r="P29" s="32">
        <f t="shared" si="19"/>
        <v>0</v>
      </c>
      <c r="Q29" s="27">
        <f t="shared" si="8"/>
        <v>22</v>
      </c>
      <c r="R29" s="27"/>
      <c r="S29" s="41">
        <v>0.87804878048780488</v>
      </c>
      <c r="T29" s="40" t="s">
        <v>34</v>
      </c>
      <c r="U29" s="22" t="s">
        <v>34</v>
      </c>
      <c r="V29" s="1" t="s">
        <v>34</v>
      </c>
      <c r="W29" s="40">
        <v>13</v>
      </c>
      <c r="X29" s="36">
        <f t="shared" si="9"/>
        <v>0.26530612244897961</v>
      </c>
      <c r="Y29" s="37">
        <f t="shared" si="10"/>
        <v>2.0753846153846154</v>
      </c>
      <c r="Z29" s="40">
        <v>0</v>
      </c>
      <c r="AA29" s="26" t="s">
        <v>37</v>
      </c>
      <c r="AB29" s="38">
        <f t="shared" si="11"/>
        <v>-0.69</v>
      </c>
      <c r="AC29" s="39">
        <v>0.19131944444444443</v>
      </c>
      <c r="AD29" s="37">
        <f t="shared" si="12"/>
        <v>-12.937020833333332</v>
      </c>
      <c r="AE29" s="37">
        <v>-5.98</v>
      </c>
      <c r="AF29" s="42">
        <v>-14.213015</v>
      </c>
      <c r="AG29" s="37">
        <v>0</v>
      </c>
    </row>
    <row r="30" spans="1:33" ht="15.75" customHeight="1" x14ac:dyDescent="0.2">
      <c r="A30" s="40" t="s">
        <v>84</v>
      </c>
      <c r="B30" s="40" t="s">
        <v>794</v>
      </c>
      <c r="C30" s="14">
        <f t="shared" si="1"/>
        <v>34.692820512820525</v>
      </c>
      <c r="D30" s="15">
        <v>39</v>
      </c>
      <c r="E30" s="15">
        <v>1</v>
      </c>
      <c r="F30" s="16">
        <v>1353.0200000000004</v>
      </c>
      <c r="G30" s="16">
        <v>-1.1499999999999999</v>
      </c>
      <c r="H30" s="29">
        <f t="shared" si="2"/>
        <v>8.4995048114588077E-4</v>
      </c>
      <c r="I30" s="29">
        <f t="shared" si="3"/>
        <v>0.25948810993185617</v>
      </c>
      <c r="J30" s="30">
        <f t="shared" si="4"/>
        <v>351.09260250000011</v>
      </c>
      <c r="K30" s="30">
        <f t="shared" si="5"/>
        <v>9.002374423076926</v>
      </c>
      <c r="L30" s="15">
        <v>35</v>
      </c>
      <c r="M30" s="31">
        <f t="shared" si="6"/>
        <v>1.1142857142857143</v>
      </c>
      <c r="N30" s="15">
        <v>98</v>
      </c>
      <c r="O30" s="32">
        <f t="shared" ref="O30:P30" si="20">D30/7</f>
        <v>5.5714285714285712</v>
      </c>
      <c r="P30" s="32">
        <f t="shared" si="20"/>
        <v>0.14285714285714285</v>
      </c>
      <c r="Q30" s="27">
        <f t="shared" si="8"/>
        <v>17</v>
      </c>
      <c r="R30" s="27"/>
      <c r="S30" s="41">
        <v>2.1538461538461542</v>
      </c>
      <c r="T30" s="26">
        <v>500</v>
      </c>
      <c r="U30" s="34" t="s">
        <v>34</v>
      </c>
      <c r="V30" s="35" t="s">
        <v>34</v>
      </c>
      <c r="W30" s="40">
        <v>11</v>
      </c>
      <c r="X30" s="36">
        <f t="shared" si="9"/>
        <v>0.28205128205128205</v>
      </c>
      <c r="Y30" s="37">
        <f t="shared" si="10"/>
        <v>0.10454545454545454</v>
      </c>
      <c r="Z30" s="40">
        <v>0</v>
      </c>
      <c r="AA30" s="26" t="s">
        <v>37</v>
      </c>
      <c r="AB30" s="38">
        <f t="shared" si="11"/>
        <v>-0.69</v>
      </c>
      <c r="AC30" s="39">
        <v>0.19131944444444443</v>
      </c>
      <c r="AD30" s="37">
        <f t="shared" si="12"/>
        <v>-10.2968125</v>
      </c>
      <c r="AE30" s="42">
        <v>-5.98</v>
      </c>
      <c r="AF30" s="42">
        <v>-14.213015</v>
      </c>
      <c r="AG30" s="42">
        <v>0</v>
      </c>
    </row>
    <row r="31" spans="1:33" ht="15.75" customHeight="1" x14ac:dyDescent="0.2">
      <c r="A31" s="40" t="s">
        <v>87</v>
      </c>
      <c r="B31" s="40" t="s">
        <v>795</v>
      </c>
      <c r="C31" s="14">
        <f t="shared" si="1"/>
        <v>32.811818181818182</v>
      </c>
      <c r="D31" s="15">
        <v>22</v>
      </c>
      <c r="E31" s="15">
        <v>0</v>
      </c>
      <c r="F31" s="16">
        <v>721.86</v>
      </c>
      <c r="G31" s="43">
        <v>-0.31999999999999995</v>
      </c>
      <c r="H31" s="29">
        <f t="shared" si="2"/>
        <v>4.4329925470312797E-4</v>
      </c>
      <c r="I31" s="29">
        <f t="shared" si="3"/>
        <v>0.23887719423751369</v>
      </c>
      <c r="J31" s="30">
        <f t="shared" si="4"/>
        <v>172.43589143229164</v>
      </c>
      <c r="K31" s="30">
        <f t="shared" si="5"/>
        <v>7.8379950651041659</v>
      </c>
      <c r="L31" s="15">
        <v>49</v>
      </c>
      <c r="M31" s="31">
        <f t="shared" si="6"/>
        <v>0.44897959183673469</v>
      </c>
      <c r="N31" s="15">
        <v>65</v>
      </c>
      <c r="O31" s="32">
        <f t="shared" ref="O31:P31" si="21">D31/7</f>
        <v>3.1428571428571428</v>
      </c>
      <c r="P31" s="32">
        <f t="shared" si="21"/>
        <v>0</v>
      </c>
      <c r="Q31" s="27">
        <f t="shared" si="8"/>
        <v>20</v>
      </c>
      <c r="R31" s="27"/>
      <c r="S31" s="41">
        <v>5.0864197530864201</v>
      </c>
      <c r="T31" s="40">
        <v>260</v>
      </c>
      <c r="U31" s="22">
        <v>240</v>
      </c>
      <c r="V31" s="1" t="s">
        <v>796</v>
      </c>
      <c r="W31" s="40">
        <v>3</v>
      </c>
      <c r="X31" s="36">
        <f t="shared" si="9"/>
        <v>0.13636363636363635</v>
      </c>
      <c r="Y31" s="37">
        <f t="shared" si="10"/>
        <v>0.10666666666666665</v>
      </c>
      <c r="Z31" s="40">
        <v>0</v>
      </c>
      <c r="AA31" s="40" t="s">
        <v>37</v>
      </c>
      <c r="AB31" s="38">
        <f t="shared" si="11"/>
        <v>-0.69</v>
      </c>
      <c r="AC31" s="44">
        <v>0.19131944444444443</v>
      </c>
      <c r="AD31" s="37">
        <f t="shared" si="12"/>
        <v>-5.8084583333333333</v>
      </c>
      <c r="AE31" s="45">
        <v>-5.98</v>
      </c>
      <c r="AF31" s="45">
        <v>-13.7934841015625</v>
      </c>
      <c r="AG31" s="42">
        <v>0</v>
      </c>
    </row>
    <row r="32" spans="1:33" ht="15.75" customHeight="1" x14ac:dyDescent="0.2">
      <c r="A32" s="40" t="s">
        <v>90</v>
      </c>
      <c r="B32" s="50" t="s">
        <v>797</v>
      </c>
      <c r="C32" s="14">
        <f t="shared" si="1"/>
        <v>38.802272727272729</v>
      </c>
      <c r="D32" s="15">
        <v>22</v>
      </c>
      <c r="E32" s="15">
        <v>3</v>
      </c>
      <c r="F32" s="16">
        <v>853.65</v>
      </c>
      <c r="G32" s="16">
        <v>-0.2</v>
      </c>
      <c r="H32" s="29">
        <f t="shared" si="2"/>
        <v>2.3428805716628598E-4</v>
      </c>
      <c r="I32" s="29">
        <f t="shared" si="3"/>
        <v>0.32255340205783006</v>
      </c>
      <c r="J32" s="30">
        <f t="shared" si="4"/>
        <v>275.34771166666661</v>
      </c>
      <c r="K32" s="30">
        <f t="shared" si="5"/>
        <v>12.515805075757573</v>
      </c>
      <c r="L32" s="15">
        <v>44</v>
      </c>
      <c r="M32" s="31">
        <f t="shared" si="6"/>
        <v>0.5</v>
      </c>
      <c r="N32" s="15">
        <v>55</v>
      </c>
      <c r="O32" s="32">
        <f t="shared" ref="O32:P32" si="22">D32/7</f>
        <v>3.1428571428571428</v>
      </c>
      <c r="P32" s="32">
        <f t="shared" si="22"/>
        <v>0.42857142857142855</v>
      </c>
      <c r="Q32" s="27">
        <f t="shared" si="8"/>
        <v>15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2.1003861003861002</v>
      </c>
      <c r="T32" s="40">
        <f ca="1">IFERROR(__xludf.DUMMYFUNCTION("IFERROR(VLOOKUP($B$2,IMPORTRANGE(""https://docs.google.com/spreadsheets/d/1KiWZV1ko8G7lnRucBRBd29jj3Be6ltMfljMDqzOkQmI/edit#gid=1381463014"",""Lookup!A:D""),4,FALSE),"""")"),260)</f>
        <v>260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S210706  - 240 units 09/17")</f>
        <v>| S210706  - 240 units 09/17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0.19131944444444443</v>
      </c>
      <c r="AD32" s="37">
        <f t="shared" si="12"/>
        <v>-5.8084583333333333</v>
      </c>
      <c r="AE32" s="42">
        <v>-5.98</v>
      </c>
      <c r="AF32" s="42">
        <v>-14.213015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8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Info!B1:BJ5000""),3,FALSE),"""")"),"Ilyapa 3 Tier Serving - 3 Bowl/2 Plates")</f>
        <v>Ilyapa 3 Tier Serving - 3 Bowl/2 Plates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Info!B1:BJ5000""),2,FALSE),"""")"),"B01IC3FLGE")</f>
        <v>B01IC3FLGE</v>
      </c>
      <c r="B2" s="3" t="s">
        <v>798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49.25" customHeight="1" x14ac:dyDescent="0.2">
      <c r="A3" s="68" t="s">
        <v>31</v>
      </c>
      <c r="B3" s="69"/>
      <c r="C3" s="48">
        <f>((AE32+AF32)/0.85)*-1</f>
        <v>20.019248941176354</v>
      </c>
      <c r="D3" s="5">
        <f>SUM(D4:D99767)</f>
        <v>715</v>
      </c>
      <c r="E3" s="5"/>
      <c r="F3" s="6">
        <f t="shared" ref="F3:G3" si="0">SUM(F4:F99767)</f>
        <v>24104.469999999994</v>
      </c>
      <c r="G3" s="6">
        <f t="shared" si="0"/>
        <v>-321.19</v>
      </c>
      <c r="H3" s="7">
        <f>G3/F3*-1</f>
        <v>1.3324914424585983E-2</v>
      </c>
      <c r="I3" s="8">
        <f>J3/F3</f>
        <v>0.32059851802176126</v>
      </c>
      <c r="J3" s="6">
        <f>SUM(J4:J99767)</f>
        <v>7727.8573597000013</v>
      </c>
      <c r="K3" s="6">
        <f>J3/D3</f>
        <v>10.808192111468534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8 - April
10 - May
10 - June
8 - July
8 - Aug
6 - Sept
6 - Oct
8 - Nov
11 - Dec
6 - Jan
6 - Feb")</f>
        <v>6 - March
8 - April
10 - May
10 - June
8 - July
8 - Aug
6 - Sept
6 - Oct
8 - Nov
11 - Dec
6 -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97</v>
      </c>
      <c r="X3" s="7">
        <f>W3/D3</f>
        <v>0.13566433566433567</v>
      </c>
      <c r="Y3" s="6"/>
      <c r="Z3" s="5"/>
      <c r="AA3" s="5"/>
      <c r="AB3" s="5"/>
      <c r="AC3" s="5"/>
      <c r="AD3" s="6">
        <f>SUM(AD4:AD99767)</f>
        <v>-507.20157749999998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Info!B2:BZ3000""),37,FALSE)),"""")*-1"),-10.1363615999999)</f>
        <v>-10.136361599999899</v>
      </c>
      <c r="AG3" s="6">
        <f>SUM(AG4:AG99767)</f>
        <v>0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35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35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customHeight="1" x14ac:dyDescent="0.2">
      <c r="A10" s="26" t="s">
        <v>48</v>
      </c>
      <c r="B10" s="26" t="s">
        <v>461</v>
      </c>
      <c r="C10" s="14">
        <f t="shared" ref="C10:C32" si="1">IFERROR(F10/D10," - ")</f>
        <v>41.99</v>
      </c>
      <c r="D10" s="27">
        <v>1</v>
      </c>
      <c r="E10" s="27">
        <v>0</v>
      </c>
      <c r="F10" s="28">
        <v>41.99</v>
      </c>
      <c r="G10" s="28">
        <v>-7.0000000000000007E-2</v>
      </c>
      <c r="H10" s="29">
        <f t="shared" ref="H10:H32" si="2">G10/F10*-1</f>
        <v>1.6670635865682307E-3</v>
      </c>
      <c r="I10" s="29">
        <f t="shared" ref="I10:I32" si="3">J10/F10</f>
        <v>0.44067426227023759</v>
      </c>
      <c r="J10" s="30">
        <f t="shared" ref="J10:J32" si="4">F10*0.85+G10+AF10*D10+D10*AE10+AG10+AD10</f>
        <v>18.503912272727277</v>
      </c>
      <c r="K10" s="30">
        <f t="shared" ref="K10:K32" si="5">J10/D10</f>
        <v>18.503912272727277</v>
      </c>
      <c r="L10" s="27">
        <v>3</v>
      </c>
      <c r="M10" s="31">
        <f t="shared" ref="M10:M32" si="6">IFERROR(D10/L10,"-")</f>
        <v>0.33333333333333331</v>
      </c>
      <c r="N10" s="27">
        <v>0</v>
      </c>
      <c r="O10" s="32">
        <f t="shared" ref="O10:P10" si="7">D10/7</f>
        <v>0.14285714285714285</v>
      </c>
      <c r="P10" s="32">
        <f t="shared" si="7"/>
        <v>0</v>
      </c>
      <c r="Q10" s="27">
        <f t="shared" ref="Q10:Q32" si="8">ROUNDDOWN(N10/(O10+P10),0)</f>
        <v>0</v>
      </c>
      <c r="R10" s="27"/>
      <c r="S10" s="33">
        <v>3.1843575418994399</v>
      </c>
      <c r="T10" s="26">
        <v>1000</v>
      </c>
      <c r="U10" s="34">
        <v>320</v>
      </c>
      <c r="V10" s="35" t="s">
        <v>799</v>
      </c>
      <c r="W10" s="26">
        <v>0</v>
      </c>
      <c r="X10" s="36">
        <f t="shared" ref="X10:X32" si="9">IFERROR(W10/D10,0)</f>
        <v>0</v>
      </c>
      <c r="Y10" s="37">
        <f t="shared" ref="Y10:Y32" si="10">IFERROR(G10/(W10+Z10)*-1,0)</f>
        <v>0</v>
      </c>
      <c r="Z10" s="26">
        <v>0</v>
      </c>
      <c r="AA10" s="26" t="s">
        <v>37</v>
      </c>
      <c r="AB10" s="38">
        <f t="shared" ref="AB10:AB32" si="11">IF(OR(AA10="UsLargeStandardSize",AA10="UsSmallStandardSize"),-0.69,-0.48)</f>
        <v>-0.69</v>
      </c>
      <c r="AC10" s="39">
        <v>0.51400000000000001</v>
      </c>
      <c r="AD10" s="37">
        <f t="shared" ref="AD10:AD32" si="12">IFERROR(AB10*AC10*D10*2,0)</f>
        <v>-0.70931999999999995</v>
      </c>
      <c r="AE10" s="37">
        <v>-6.94</v>
      </c>
      <c r="AF10" s="37">
        <v>-9.4682677272727194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1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2"/>
        <v>#DIV/0!</v>
      </c>
      <c r="I11" s="29" t="e">
        <f t="shared" si="3"/>
        <v>#DIV/0!</v>
      </c>
      <c r="J11" s="30">
        <f t="shared" si="4"/>
        <v>0</v>
      </c>
      <c r="K11" s="30" t="e">
        <f t="shared" si="5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3">D11/7</f>
        <v>0</v>
      </c>
      <c r="P11" s="32">
        <f t="shared" si="13"/>
        <v>0</v>
      </c>
      <c r="Q11" s="27" t="e">
        <f t="shared" si="8"/>
        <v>#DIV/0!</v>
      </c>
      <c r="R11" s="27"/>
      <c r="S11" s="33" t="e">
        <v>#N/A</v>
      </c>
      <c r="T11" s="26">
        <v>1000</v>
      </c>
      <c r="U11" s="34">
        <v>320</v>
      </c>
      <c r="V11" s="35" t="s">
        <v>799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0.51400000000000001</v>
      </c>
      <c r="AD11" s="37">
        <f t="shared" si="12"/>
        <v>0</v>
      </c>
      <c r="AE11" s="37">
        <v>-6.94</v>
      </c>
      <c r="AF11" s="37">
        <v>-9.4682677272727194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1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2"/>
        <v>#DIV/0!</v>
      </c>
      <c r="I12" s="29" t="e">
        <f t="shared" si="3"/>
        <v>#DIV/0!</v>
      </c>
      <c r="J12" s="30">
        <f t="shared" si="4"/>
        <v>0</v>
      </c>
      <c r="K12" s="30" t="e">
        <f t="shared" si="5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14">D12/7</f>
        <v>0</v>
      </c>
      <c r="P12" s="32">
        <f t="shared" si="14"/>
        <v>0</v>
      </c>
      <c r="Q12" s="27" t="e">
        <f t="shared" si="8"/>
        <v>#DIV/0!</v>
      </c>
      <c r="R12" s="27"/>
      <c r="S12" s="33" t="e">
        <v>#N/A</v>
      </c>
      <c r="T12" s="26">
        <v>1000</v>
      </c>
      <c r="U12" s="34">
        <v>320</v>
      </c>
      <c r="V12" s="35" t="s">
        <v>799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0.51400000000000001</v>
      </c>
      <c r="AD12" s="37">
        <f t="shared" si="12"/>
        <v>0</v>
      </c>
      <c r="AE12" s="37">
        <v>-6.94</v>
      </c>
      <c r="AF12" s="37">
        <v>-9.4682677272727194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1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2"/>
        <v>#DIV/0!</v>
      </c>
      <c r="I13" s="29" t="e">
        <f t="shared" si="3"/>
        <v>#DIV/0!</v>
      </c>
      <c r="J13" s="30">
        <f t="shared" si="4"/>
        <v>0</v>
      </c>
      <c r="K13" s="30" t="e">
        <f t="shared" si="5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15">D13/7</f>
        <v>0</v>
      </c>
      <c r="P13" s="32">
        <f t="shared" si="15"/>
        <v>0</v>
      </c>
      <c r="Q13" s="27" t="e">
        <f t="shared" si="8"/>
        <v>#DIV/0!</v>
      </c>
      <c r="R13" s="27"/>
      <c r="S13" s="33" t="e">
        <v>#N/A</v>
      </c>
      <c r="T13" s="26">
        <v>1000</v>
      </c>
      <c r="U13" s="34">
        <v>320</v>
      </c>
      <c r="V13" s="35" t="s">
        <v>799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0.51400000000000001</v>
      </c>
      <c r="AD13" s="37">
        <f t="shared" si="12"/>
        <v>0</v>
      </c>
      <c r="AE13" s="37">
        <v>-6.94</v>
      </c>
      <c r="AF13" s="37">
        <v>-9.7371313636363599</v>
      </c>
      <c r="AG13" s="37">
        <v>0</v>
      </c>
    </row>
    <row r="14" spans="1:33" ht="15.75" customHeight="1" x14ac:dyDescent="0.2">
      <c r="A14" s="26" t="s">
        <v>56</v>
      </c>
      <c r="B14" s="26" t="s">
        <v>76</v>
      </c>
      <c r="C14" s="14">
        <f t="shared" si="1"/>
        <v>41.99</v>
      </c>
      <c r="D14" s="27">
        <v>2</v>
      </c>
      <c r="E14" s="27">
        <v>0</v>
      </c>
      <c r="F14" s="30">
        <v>83.98</v>
      </c>
      <c r="G14" s="28">
        <v>-0.1</v>
      </c>
      <c r="H14" s="29">
        <f t="shared" si="2"/>
        <v>1.1907597046915933E-3</v>
      </c>
      <c r="I14" s="29">
        <f t="shared" si="3"/>
        <v>0.43474752646734077</v>
      </c>
      <c r="J14" s="30">
        <f t="shared" si="4"/>
        <v>36.510097272727279</v>
      </c>
      <c r="K14" s="30">
        <f t="shared" si="5"/>
        <v>18.25504863636364</v>
      </c>
      <c r="L14" s="27">
        <v>15</v>
      </c>
      <c r="M14" s="31">
        <f t="shared" si="6"/>
        <v>0.13333333333333333</v>
      </c>
      <c r="N14" s="27">
        <v>0</v>
      </c>
      <c r="O14" s="32">
        <f t="shared" ref="O14:P14" si="16">D14/7</f>
        <v>0.2857142857142857</v>
      </c>
      <c r="P14" s="32">
        <f t="shared" si="16"/>
        <v>0</v>
      </c>
      <c r="Q14" s="27">
        <f t="shared" si="8"/>
        <v>0</v>
      </c>
      <c r="R14" s="27"/>
      <c r="S14" s="33" t="e">
        <v>#N/A</v>
      </c>
      <c r="T14" s="26">
        <v>680</v>
      </c>
      <c r="U14" s="34">
        <v>248</v>
      </c>
      <c r="V14" s="35" t="s">
        <v>800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0.51400000000000001</v>
      </c>
      <c r="AD14" s="37">
        <f t="shared" si="12"/>
        <v>-1.4186399999999999</v>
      </c>
      <c r="AE14" s="37">
        <v>-6.94</v>
      </c>
      <c r="AF14" s="37">
        <v>-9.7371313636363599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1"/>
        <v>41.99</v>
      </c>
      <c r="D15" s="27">
        <v>1</v>
      </c>
      <c r="E15" s="27">
        <v>0</v>
      </c>
      <c r="F15" s="30">
        <v>41.99</v>
      </c>
      <c r="G15" s="28">
        <v>-0.32</v>
      </c>
      <c r="H15" s="29">
        <f t="shared" si="2"/>
        <v>7.6208621100261964E-3</v>
      </c>
      <c r="I15" s="29">
        <f t="shared" si="3"/>
        <v>0.42831742406200607</v>
      </c>
      <c r="J15" s="30">
        <f t="shared" si="4"/>
        <v>17.985048636363636</v>
      </c>
      <c r="K15" s="30">
        <f t="shared" si="5"/>
        <v>17.985048636363636</v>
      </c>
      <c r="L15" s="27">
        <v>43</v>
      </c>
      <c r="M15" s="31">
        <f t="shared" si="6"/>
        <v>2.3255813953488372E-2</v>
      </c>
      <c r="N15" s="27">
        <v>0</v>
      </c>
      <c r="O15" s="32">
        <f t="shared" ref="O15:P15" si="17">D15/7</f>
        <v>0.14285714285714285</v>
      </c>
      <c r="P15" s="32">
        <f t="shared" si="17"/>
        <v>0</v>
      </c>
      <c r="Q15" s="27">
        <f t="shared" si="8"/>
        <v>0</v>
      </c>
      <c r="R15" s="27"/>
      <c r="S15" s="33" t="e">
        <v>#N/A</v>
      </c>
      <c r="T15" s="26">
        <v>864</v>
      </c>
      <c r="U15" s="34" t="s">
        <v>34</v>
      </c>
      <c r="V15" s="35" t="s">
        <v>801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0.51400000000000001</v>
      </c>
      <c r="AD15" s="37">
        <f t="shared" si="12"/>
        <v>-0.70931999999999995</v>
      </c>
      <c r="AE15" s="37">
        <v>-6.94</v>
      </c>
      <c r="AF15" s="37">
        <v>-9.7371313636363599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1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2"/>
        <v>#DIV/0!</v>
      </c>
      <c r="I16" s="29" t="e">
        <f t="shared" si="3"/>
        <v>#DIV/0!</v>
      </c>
      <c r="J16" s="30">
        <f t="shared" si="4"/>
        <v>0</v>
      </c>
      <c r="K16" s="30" t="e">
        <f t="shared" si="5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18">D16/7</f>
        <v>0</v>
      </c>
      <c r="P16" s="32">
        <f t="shared" si="18"/>
        <v>0</v>
      </c>
      <c r="Q16" s="27" t="e">
        <f t="shared" si="8"/>
        <v>#DIV/0!</v>
      </c>
      <c r="R16" s="27"/>
      <c r="S16" s="33" t="e">
        <v>#N/A</v>
      </c>
      <c r="T16" s="26">
        <v>864</v>
      </c>
      <c r="U16" s="34" t="s">
        <v>34</v>
      </c>
      <c r="V16" s="35" t="s">
        <v>801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0.51400000000000001</v>
      </c>
      <c r="AD16" s="37">
        <f t="shared" si="12"/>
        <v>0</v>
      </c>
      <c r="AE16" s="37">
        <v>-6.94</v>
      </c>
      <c r="AF16" s="37">
        <v>-9.7371313636363599</v>
      </c>
      <c r="AG16" s="37">
        <v>0</v>
      </c>
    </row>
    <row r="17" spans="1:33" ht="15.75" customHeight="1" x14ac:dyDescent="0.2">
      <c r="A17" s="26" t="s">
        <v>61</v>
      </c>
      <c r="B17" s="26" t="s">
        <v>802</v>
      </c>
      <c r="C17" s="14">
        <f t="shared" si="1"/>
        <v>41.99</v>
      </c>
      <c r="D17" s="27">
        <v>1</v>
      </c>
      <c r="E17" s="27">
        <v>0</v>
      </c>
      <c r="F17" s="30">
        <v>41.99</v>
      </c>
      <c r="G17" s="28">
        <v>-0.49</v>
      </c>
      <c r="H17" s="29">
        <f t="shared" si="2"/>
        <v>1.1669445105977613E-2</v>
      </c>
      <c r="I17" s="29">
        <f t="shared" si="3"/>
        <v>0.42426884106605461</v>
      </c>
      <c r="J17" s="30">
        <f t="shared" si="4"/>
        <v>17.815048636363635</v>
      </c>
      <c r="K17" s="30">
        <f t="shared" si="5"/>
        <v>17.815048636363635</v>
      </c>
      <c r="L17" s="27">
        <v>13</v>
      </c>
      <c r="M17" s="31">
        <f t="shared" si="6"/>
        <v>7.6923076923076927E-2</v>
      </c>
      <c r="N17" s="27">
        <v>327</v>
      </c>
      <c r="O17" s="32">
        <f t="shared" ref="O17:P17" si="19">D17/7</f>
        <v>0.14285714285714285</v>
      </c>
      <c r="P17" s="32">
        <f t="shared" si="19"/>
        <v>0</v>
      </c>
      <c r="Q17" s="27">
        <f t="shared" si="8"/>
        <v>2289</v>
      </c>
      <c r="R17" s="27"/>
      <c r="S17" s="33">
        <v>0.48888888888888798</v>
      </c>
      <c r="T17" s="26">
        <v>864</v>
      </c>
      <c r="U17" s="34" t="s">
        <v>34</v>
      </c>
      <c r="V17" s="35" t="s">
        <v>801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0.51400000000000001</v>
      </c>
      <c r="AD17" s="37">
        <f t="shared" si="12"/>
        <v>-0.70931999999999995</v>
      </c>
      <c r="AE17" s="37">
        <v>-6.94</v>
      </c>
      <c r="AF17" s="37">
        <v>-9.7371313636363599</v>
      </c>
      <c r="AG17" s="37">
        <v>0</v>
      </c>
    </row>
    <row r="18" spans="1:33" ht="15.75" customHeight="1" x14ac:dyDescent="0.2">
      <c r="A18" s="26" t="s">
        <v>62</v>
      </c>
      <c r="B18" s="26" t="s">
        <v>803</v>
      </c>
      <c r="C18" s="14">
        <f t="shared" si="1"/>
        <v>34.988888888888887</v>
      </c>
      <c r="D18" s="27">
        <v>9</v>
      </c>
      <c r="E18" s="27">
        <v>0</v>
      </c>
      <c r="F18" s="30">
        <v>314.89999999999998</v>
      </c>
      <c r="G18" s="28">
        <v>-2.93</v>
      </c>
      <c r="H18" s="29">
        <f t="shared" si="2"/>
        <v>9.3045411241664024E-3</v>
      </c>
      <c r="I18" s="29">
        <f t="shared" si="3"/>
        <v>0.34378195531048816</v>
      </c>
      <c r="J18" s="30">
        <f t="shared" si="4"/>
        <v>108.25693772727271</v>
      </c>
      <c r="K18" s="30">
        <f t="shared" si="5"/>
        <v>12.028548636363634</v>
      </c>
      <c r="L18" s="27">
        <v>117</v>
      </c>
      <c r="M18" s="31">
        <f t="shared" si="6"/>
        <v>7.6923076923076927E-2</v>
      </c>
      <c r="N18" s="27">
        <v>320</v>
      </c>
      <c r="O18" s="32">
        <f t="shared" ref="O18:P18" si="20">D18/7</f>
        <v>1.2857142857142858</v>
      </c>
      <c r="P18" s="32">
        <f t="shared" si="20"/>
        <v>0</v>
      </c>
      <c r="Q18" s="27">
        <f t="shared" si="8"/>
        <v>248</v>
      </c>
      <c r="R18" s="27"/>
      <c r="S18" s="33">
        <v>0.151898734177215</v>
      </c>
      <c r="T18" s="26">
        <v>564</v>
      </c>
      <c r="U18" s="34">
        <v>132</v>
      </c>
      <c r="V18" s="35" t="s">
        <v>804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0.51400000000000001</v>
      </c>
      <c r="AD18" s="37">
        <f t="shared" si="12"/>
        <v>-6.3838799999999996</v>
      </c>
      <c r="AE18" s="37">
        <v>-6.94</v>
      </c>
      <c r="AF18" s="37">
        <v>-9.7371313636363599</v>
      </c>
      <c r="AG18" s="37">
        <v>0</v>
      </c>
    </row>
    <row r="19" spans="1:33" ht="15.75" customHeight="1" x14ac:dyDescent="0.2">
      <c r="A19" s="26" t="s">
        <v>64</v>
      </c>
      <c r="B19" s="26" t="s">
        <v>683</v>
      </c>
      <c r="C19" s="14">
        <f t="shared" si="1"/>
        <v>29.143409090909085</v>
      </c>
      <c r="D19" s="27">
        <v>44</v>
      </c>
      <c r="E19" s="27">
        <v>0</v>
      </c>
      <c r="F19" s="30">
        <v>1282.3099999999997</v>
      </c>
      <c r="G19" s="28">
        <v>-49.19</v>
      </c>
      <c r="H19" s="29">
        <f t="shared" si="2"/>
        <v>3.8360458859402181E-2</v>
      </c>
      <c r="I19" s="29">
        <f t="shared" si="3"/>
        <v>0.21505692071340002</v>
      </c>
      <c r="J19" s="30">
        <f t="shared" si="4"/>
        <v>275.76963999999992</v>
      </c>
      <c r="K19" s="30">
        <f t="shared" si="5"/>
        <v>6.2674918181818162</v>
      </c>
      <c r="L19" s="27">
        <v>226</v>
      </c>
      <c r="M19" s="31">
        <f t="shared" si="6"/>
        <v>0.19469026548672566</v>
      </c>
      <c r="N19" s="27">
        <v>523</v>
      </c>
      <c r="O19" s="32">
        <f t="shared" ref="O19:P19" si="21">D19/7</f>
        <v>6.2857142857142856</v>
      </c>
      <c r="P19" s="32">
        <f t="shared" si="21"/>
        <v>0</v>
      </c>
      <c r="Q19" s="27">
        <f t="shared" si="8"/>
        <v>83</v>
      </c>
      <c r="R19" s="27"/>
      <c r="S19" s="33">
        <v>0.26217228464419401</v>
      </c>
      <c r="T19" s="26">
        <v>132</v>
      </c>
      <c r="U19" s="34">
        <v>132</v>
      </c>
      <c r="V19" s="35" t="s">
        <v>804</v>
      </c>
      <c r="W19" s="26">
        <v>10</v>
      </c>
      <c r="X19" s="36">
        <f t="shared" si="9"/>
        <v>0.22727272727272727</v>
      </c>
      <c r="Y19" s="37">
        <f t="shared" si="10"/>
        <v>4.9189999999999996</v>
      </c>
      <c r="Z19" s="26">
        <v>0</v>
      </c>
      <c r="AA19" s="26" t="s">
        <v>37</v>
      </c>
      <c r="AB19" s="38">
        <f t="shared" si="11"/>
        <v>-0.69</v>
      </c>
      <c r="AC19" s="39">
        <v>0.51400000000000001</v>
      </c>
      <c r="AD19" s="37">
        <f t="shared" si="12"/>
        <v>-31.210079999999998</v>
      </c>
      <c r="AE19" s="37">
        <v>-6.94</v>
      </c>
      <c r="AF19" s="37">
        <v>-9.7371313636363617</v>
      </c>
      <c r="AG19" s="37">
        <v>0</v>
      </c>
    </row>
    <row r="20" spans="1:33" ht="15.75" customHeight="1" x14ac:dyDescent="0.2">
      <c r="A20" s="26" t="s">
        <v>65</v>
      </c>
      <c r="B20" s="26" t="s">
        <v>805</v>
      </c>
      <c r="C20" s="14">
        <f t="shared" si="1"/>
        <v>28.030196078431356</v>
      </c>
      <c r="D20" s="27">
        <v>51</v>
      </c>
      <c r="E20" s="27">
        <v>1</v>
      </c>
      <c r="F20" s="30">
        <v>1429.5399999999991</v>
      </c>
      <c r="G20" s="28">
        <v>-49.29</v>
      </c>
      <c r="H20" s="29">
        <f t="shared" si="2"/>
        <v>3.4479622815730956E-2</v>
      </c>
      <c r="I20" s="29">
        <f t="shared" si="3"/>
        <v>0.19524255911310284</v>
      </c>
      <c r="J20" s="30">
        <f t="shared" si="4"/>
        <v>279.10704795454484</v>
      </c>
      <c r="K20" s="30">
        <f t="shared" si="5"/>
        <v>5.4726872147949965</v>
      </c>
      <c r="L20" s="27">
        <v>254</v>
      </c>
      <c r="M20" s="31">
        <f t="shared" si="6"/>
        <v>0.20078740157480315</v>
      </c>
      <c r="N20" s="27">
        <v>467</v>
      </c>
      <c r="O20" s="32">
        <f t="shared" ref="O20:P20" si="22">D20/7</f>
        <v>7.2857142857142856</v>
      </c>
      <c r="P20" s="32">
        <f t="shared" si="22"/>
        <v>0.14285714285714285</v>
      </c>
      <c r="Q20" s="27">
        <f t="shared" si="8"/>
        <v>62</v>
      </c>
      <c r="R20" s="27"/>
      <c r="S20" s="33">
        <v>0.604982206405694</v>
      </c>
      <c r="T20" s="26">
        <v>132</v>
      </c>
      <c r="U20" s="34">
        <v>132</v>
      </c>
      <c r="V20" s="35" t="s">
        <v>804</v>
      </c>
      <c r="W20" s="26">
        <v>5</v>
      </c>
      <c r="X20" s="36">
        <f t="shared" si="9"/>
        <v>9.8039215686274508E-2</v>
      </c>
      <c r="Y20" s="37">
        <f t="shared" si="10"/>
        <v>9.8580000000000005</v>
      </c>
      <c r="Z20" s="26">
        <v>0</v>
      </c>
      <c r="AA20" s="26" t="s">
        <v>37</v>
      </c>
      <c r="AB20" s="38">
        <f t="shared" si="11"/>
        <v>-0.69</v>
      </c>
      <c r="AC20" s="39">
        <v>0.51404166666666662</v>
      </c>
      <c r="AD20" s="37">
        <f t="shared" si="12"/>
        <v>-36.178252499999992</v>
      </c>
      <c r="AE20" s="37">
        <v>-6.94</v>
      </c>
      <c r="AF20" s="37">
        <v>-9.7371313636363617</v>
      </c>
      <c r="AG20" s="37">
        <v>0</v>
      </c>
    </row>
    <row r="21" spans="1:33" ht="15.75" customHeight="1" x14ac:dyDescent="0.2">
      <c r="A21" s="26" t="s">
        <v>66</v>
      </c>
      <c r="B21" s="26" t="s">
        <v>806</v>
      </c>
      <c r="C21" s="14">
        <f t="shared" si="1"/>
        <v>28.600238095238076</v>
      </c>
      <c r="D21" s="27">
        <v>84</v>
      </c>
      <c r="E21" s="27">
        <v>0</v>
      </c>
      <c r="F21" s="30">
        <v>2402.4199999999983</v>
      </c>
      <c r="G21" s="28">
        <v>-30.259999999999998</v>
      </c>
      <c r="H21" s="29">
        <f t="shared" si="2"/>
        <v>1.2595632736990209E-2</v>
      </c>
      <c r="I21" s="29">
        <f t="shared" si="3"/>
        <v>0.22948953782208961</v>
      </c>
      <c r="J21" s="30">
        <f t="shared" si="4"/>
        <v>551.33025545454416</v>
      </c>
      <c r="K21" s="30">
        <f t="shared" si="5"/>
        <v>6.5634554220779062</v>
      </c>
      <c r="L21" s="27">
        <v>178</v>
      </c>
      <c r="M21" s="31">
        <f t="shared" si="6"/>
        <v>0.47191011235955055</v>
      </c>
      <c r="N21" s="27">
        <v>363</v>
      </c>
      <c r="O21" s="32">
        <f t="shared" ref="O21:P21" si="23">D21/7</f>
        <v>12</v>
      </c>
      <c r="P21" s="32">
        <f t="shared" si="23"/>
        <v>0</v>
      </c>
      <c r="Q21" s="27">
        <f t="shared" si="8"/>
        <v>30</v>
      </c>
      <c r="R21" s="27"/>
      <c r="S21" s="33">
        <v>1.4304635761589399</v>
      </c>
      <c r="T21" s="26" t="s">
        <v>34</v>
      </c>
      <c r="U21" s="34" t="s">
        <v>34</v>
      </c>
      <c r="V21" s="35" t="s">
        <v>34</v>
      </c>
      <c r="W21" s="26">
        <v>14</v>
      </c>
      <c r="X21" s="36">
        <f t="shared" si="9"/>
        <v>0.16666666666666666</v>
      </c>
      <c r="Y21" s="37">
        <f t="shared" si="10"/>
        <v>2.1614285714285715</v>
      </c>
      <c r="Z21" s="26">
        <v>0</v>
      </c>
      <c r="AA21" s="26" t="s">
        <v>37</v>
      </c>
      <c r="AB21" s="38">
        <f t="shared" si="11"/>
        <v>-0.69</v>
      </c>
      <c r="AC21" s="39">
        <v>0.51404166666666662</v>
      </c>
      <c r="AD21" s="37">
        <f t="shared" si="12"/>
        <v>-59.587709999999987</v>
      </c>
      <c r="AE21" s="37">
        <v>-6.94</v>
      </c>
      <c r="AF21" s="37">
        <v>-9.7371313636363617</v>
      </c>
      <c r="AG21" s="37">
        <v>0</v>
      </c>
    </row>
    <row r="22" spans="1:33" ht="15.75" customHeight="1" x14ac:dyDescent="0.2">
      <c r="A22" s="26" t="s">
        <v>67</v>
      </c>
      <c r="B22" s="26" t="s">
        <v>112</v>
      </c>
      <c r="C22" s="14">
        <f t="shared" si="1"/>
        <v>32.553999999999995</v>
      </c>
      <c r="D22" s="27">
        <v>75</v>
      </c>
      <c r="E22" s="27">
        <v>1</v>
      </c>
      <c r="F22" s="28">
        <v>2441.5499999999997</v>
      </c>
      <c r="G22" s="28">
        <v>-17.400000000000006</v>
      </c>
      <c r="H22" s="29">
        <f t="shared" si="2"/>
        <v>7.1266203845917588E-3</v>
      </c>
      <c r="I22" s="29">
        <f t="shared" si="3"/>
        <v>0.30879127407887302</v>
      </c>
      <c r="J22" s="30">
        <f t="shared" si="4"/>
        <v>753.9293352272723</v>
      </c>
      <c r="K22" s="30">
        <f t="shared" si="5"/>
        <v>10.052391136363632</v>
      </c>
      <c r="L22" s="27">
        <v>386</v>
      </c>
      <c r="M22" s="31">
        <f t="shared" si="6"/>
        <v>0.19430051813471502</v>
      </c>
      <c r="N22" s="27">
        <v>312</v>
      </c>
      <c r="O22" s="32">
        <f t="shared" ref="O22:P22" si="24">D22/7</f>
        <v>10.714285714285714</v>
      </c>
      <c r="P22" s="32">
        <f t="shared" si="24"/>
        <v>0.14285714285714285</v>
      </c>
      <c r="Q22" s="27">
        <f t="shared" si="8"/>
        <v>28</v>
      </c>
      <c r="R22" s="27"/>
      <c r="S22" s="33">
        <v>1.3351724137931</v>
      </c>
      <c r="T22" s="26" t="s">
        <v>34</v>
      </c>
      <c r="U22" s="34" t="s">
        <v>34</v>
      </c>
      <c r="V22" s="35" t="s">
        <v>34</v>
      </c>
      <c r="W22" s="26">
        <v>9</v>
      </c>
      <c r="X22" s="36">
        <f t="shared" si="9"/>
        <v>0.12</v>
      </c>
      <c r="Y22" s="37">
        <f t="shared" si="10"/>
        <v>1.933333333333334</v>
      </c>
      <c r="Z22" s="26">
        <v>0</v>
      </c>
      <c r="AA22" s="26" t="s">
        <v>37</v>
      </c>
      <c r="AB22" s="38">
        <f t="shared" si="11"/>
        <v>-0.69</v>
      </c>
      <c r="AC22" s="39">
        <v>0.51404166666666662</v>
      </c>
      <c r="AD22" s="37">
        <f t="shared" si="12"/>
        <v>-53.203312499999988</v>
      </c>
      <c r="AE22" s="37">
        <v>-6.94</v>
      </c>
      <c r="AF22" s="37">
        <v>-9.7371313636363617</v>
      </c>
      <c r="AG22" s="37">
        <v>0</v>
      </c>
    </row>
    <row r="23" spans="1:33" ht="15.75" customHeight="1" x14ac:dyDescent="0.2">
      <c r="A23" s="26" t="s">
        <v>68</v>
      </c>
      <c r="B23" s="26" t="s">
        <v>807</v>
      </c>
      <c r="C23" s="14">
        <f t="shared" si="1"/>
        <v>35.386557377049165</v>
      </c>
      <c r="D23" s="27">
        <v>61</v>
      </c>
      <c r="E23" s="27">
        <v>1</v>
      </c>
      <c r="F23" s="30">
        <v>2158.579999999999</v>
      </c>
      <c r="G23" s="28">
        <v>-18.28</v>
      </c>
      <c r="H23" s="29">
        <f t="shared" si="2"/>
        <v>8.4685302374709337E-3</v>
      </c>
      <c r="I23" s="29">
        <f t="shared" si="3"/>
        <v>0.35020057598892851</v>
      </c>
      <c r="J23" s="30">
        <f t="shared" si="4"/>
        <v>755.93595931818095</v>
      </c>
      <c r="K23" s="30">
        <f t="shared" si="5"/>
        <v>12.392392775707885</v>
      </c>
      <c r="L23" s="27">
        <v>336</v>
      </c>
      <c r="M23" s="31">
        <f t="shared" si="6"/>
        <v>0.18154761904761904</v>
      </c>
      <c r="N23" s="27">
        <v>246</v>
      </c>
      <c r="O23" s="32">
        <f t="shared" ref="O23:P23" si="25">D23/7</f>
        <v>8.7142857142857135</v>
      </c>
      <c r="P23" s="32">
        <f t="shared" si="25"/>
        <v>0.14285714285714285</v>
      </c>
      <c r="Q23" s="27">
        <f t="shared" si="8"/>
        <v>27</v>
      </c>
      <c r="R23" s="27"/>
      <c r="S23" s="33">
        <v>1.7905918057663099</v>
      </c>
      <c r="T23" s="26">
        <v>132</v>
      </c>
      <c r="U23" s="34">
        <v>132</v>
      </c>
      <c r="V23" s="35" t="s">
        <v>808</v>
      </c>
      <c r="W23" s="26">
        <v>8</v>
      </c>
      <c r="X23" s="36">
        <f t="shared" si="9"/>
        <v>0.13114754098360656</v>
      </c>
      <c r="Y23" s="37">
        <f t="shared" si="10"/>
        <v>2.2850000000000001</v>
      </c>
      <c r="Z23" s="26">
        <v>0</v>
      </c>
      <c r="AA23" s="26" t="s">
        <v>37</v>
      </c>
      <c r="AB23" s="38">
        <f t="shared" si="11"/>
        <v>-0.69</v>
      </c>
      <c r="AC23" s="39">
        <v>0.51404166666666662</v>
      </c>
      <c r="AD23" s="37">
        <f t="shared" si="12"/>
        <v>-43.272027499999993</v>
      </c>
      <c r="AE23" s="37">
        <v>-6.94</v>
      </c>
      <c r="AF23" s="37">
        <v>-9.7371313636363617</v>
      </c>
      <c r="AG23" s="37">
        <v>0</v>
      </c>
    </row>
    <row r="24" spans="1:33" ht="15.75" customHeight="1" x14ac:dyDescent="0.2">
      <c r="A24" s="26" t="s">
        <v>71</v>
      </c>
      <c r="B24" s="26" t="s">
        <v>809</v>
      </c>
      <c r="C24" s="14">
        <f t="shared" si="1"/>
        <v>34.301060606060638</v>
      </c>
      <c r="D24" s="27">
        <v>66</v>
      </c>
      <c r="E24" s="27">
        <v>0</v>
      </c>
      <c r="F24" s="30">
        <v>2263.8700000000022</v>
      </c>
      <c r="G24" s="30">
        <v>-19.799999999999997</v>
      </c>
      <c r="H24" s="29">
        <f t="shared" si="2"/>
        <v>8.74608524341061E-3</v>
      </c>
      <c r="I24" s="29">
        <f t="shared" si="3"/>
        <v>0.33437428606766351</v>
      </c>
      <c r="J24" s="30">
        <f t="shared" si="4"/>
        <v>756.97991500000205</v>
      </c>
      <c r="K24" s="30">
        <f t="shared" si="5"/>
        <v>11.469392651515182</v>
      </c>
      <c r="L24" s="27">
        <v>385</v>
      </c>
      <c r="M24" s="31">
        <f t="shared" si="6"/>
        <v>0.17142857142857143</v>
      </c>
      <c r="N24" s="27">
        <v>189</v>
      </c>
      <c r="O24" s="32">
        <f t="shared" ref="O24:P24" si="26">D24/7</f>
        <v>9.4285714285714288</v>
      </c>
      <c r="P24" s="32">
        <f t="shared" si="26"/>
        <v>0</v>
      </c>
      <c r="Q24" s="27">
        <f t="shared" si="8"/>
        <v>20</v>
      </c>
      <c r="R24" s="27"/>
      <c r="S24" s="33">
        <v>1.77833753148614</v>
      </c>
      <c r="T24" s="26">
        <v>632</v>
      </c>
      <c r="U24" s="34">
        <v>132</v>
      </c>
      <c r="V24" s="35" t="s">
        <v>808</v>
      </c>
      <c r="W24" s="26">
        <v>10</v>
      </c>
      <c r="X24" s="36">
        <f t="shared" si="9"/>
        <v>0.15151515151515152</v>
      </c>
      <c r="Y24" s="37">
        <f t="shared" si="10"/>
        <v>1.9799999999999998</v>
      </c>
      <c r="Z24" s="26">
        <v>0</v>
      </c>
      <c r="AA24" s="26" t="s">
        <v>37</v>
      </c>
      <c r="AB24" s="38">
        <f t="shared" si="11"/>
        <v>-0.69</v>
      </c>
      <c r="AC24" s="39">
        <v>0.51404166666666662</v>
      </c>
      <c r="AD24" s="37">
        <f t="shared" si="12"/>
        <v>-46.81891499999999</v>
      </c>
      <c r="AE24" s="37">
        <v>-6.94</v>
      </c>
      <c r="AF24" s="37">
        <v>-9.7371313636363617</v>
      </c>
      <c r="AG24" s="37">
        <v>0</v>
      </c>
    </row>
    <row r="25" spans="1:33" ht="15.75" customHeight="1" x14ac:dyDescent="0.2">
      <c r="A25" s="40" t="s">
        <v>73</v>
      </c>
      <c r="B25" s="40" t="s">
        <v>810</v>
      </c>
      <c r="C25" s="14">
        <f t="shared" si="1"/>
        <v>32.314</v>
      </c>
      <c r="D25" s="15">
        <v>75</v>
      </c>
      <c r="E25" s="15">
        <v>0</v>
      </c>
      <c r="F25" s="16">
        <v>2423.5500000000002</v>
      </c>
      <c r="G25" s="16">
        <v>-22.53</v>
      </c>
      <c r="H25" s="29">
        <f t="shared" si="2"/>
        <v>9.2962802500464198E-3</v>
      </c>
      <c r="I25" s="29">
        <f t="shared" si="3"/>
        <v>0.30256614779971525</v>
      </c>
      <c r="J25" s="30">
        <f t="shared" si="4"/>
        <v>733.28418749999992</v>
      </c>
      <c r="K25" s="30">
        <f t="shared" si="5"/>
        <v>9.7771224999999991</v>
      </c>
      <c r="L25" s="15">
        <v>485</v>
      </c>
      <c r="M25" s="31">
        <f t="shared" si="6"/>
        <v>0.15463917525773196</v>
      </c>
      <c r="N25" s="15">
        <v>102</v>
      </c>
      <c r="O25" s="32">
        <f t="shared" ref="O25:P25" si="27">D25/7</f>
        <v>10.714285714285714</v>
      </c>
      <c r="P25" s="32">
        <f t="shared" si="27"/>
        <v>0</v>
      </c>
      <c r="Q25" s="27">
        <f t="shared" si="8"/>
        <v>9</v>
      </c>
      <c r="R25" s="27"/>
      <c r="S25" s="41">
        <v>2.9306930693069311</v>
      </c>
      <c r="T25" s="26">
        <v>500</v>
      </c>
      <c r="U25" s="34" t="s">
        <v>34</v>
      </c>
      <c r="V25" s="35" t="s">
        <v>34</v>
      </c>
      <c r="W25" s="40">
        <v>9</v>
      </c>
      <c r="X25" s="36">
        <f t="shared" si="9"/>
        <v>0.12</v>
      </c>
      <c r="Y25" s="37">
        <f t="shared" si="10"/>
        <v>2.5033333333333334</v>
      </c>
      <c r="Z25" s="40">
        <v>0</v>
      </c>
      <c r="AA25" s="26" t="s">
        <v>37</v>
      </c>
      <c r="AB25" s="38">
        <f t="shared" si="11"/>
        <v>-0.69</v>
      </c>
      <c r="AC25" s="39">
        <v>0.51404166666666662</v>
      </c>
      <c r="AD25" s="37">
        <f t="shared" si="12"/>
        <v>-53.203312499999988</v>
      </c>
      <c r="AE25" s="42">
        <v>-6.94</v>
      </c>
      <c r="AF25" s="42">
        <v>-9.74</v>
      </c>
      <c r="AG25" s="42">
        <v>0</v>
      </c>
    </row>
    <row r="26" spans="1:33" ht="15.75" customHeight="1" x14ac:dyDescent="0.2">
      <c r="A26" s="40" t="s">
        <v>75</v>
      </c>
      <c r="B26" s="40" t="s">
        <v>811</v>
      </c>
      <c r="C26" s="14">
        <f t="shared" si="1"/>
        <v>34.880000000000003</v>
      </c>
      <c r="D26" s="15">
        <v>63</v>
      </c>
      <c r="E26" s="15">
        <v>0</v>
      </c>
      <c r="F26" s="16">
        <v>2197.44</v>
      </c>
      <c r="G26" s="16">
        <v>-16.43</v>
      </c>
      <c r="H26" s="29">
        <f t="shared" si="2"/>
        <v>7.4768821901849422E-3</v>
      </c>
      <c r="I26" s="29">
        <f t="shared" si="3"/>
        <v>0.34577687745326796</v>
      </c>
      <c r="J26" s="30">
        <f t="shared" si="4"/>
        <v>759.82394159090916</v>
      </c>
      <c r="K26" s="30">
        <f t="shared" si="5"/>
        <v>12.060697485569987</v>
      </c>
      <c r="L26" s="15">
        <v>367</v>
      </c>
      <c r="M26" s="31">
        <f t="shared" si="6"/>
        <v>0.17166212534059946</v>
      </c>
      <c r="N26" s="15">
        <v>51</v>
      </c>
      <c r="O26" s="32">
        <f t="shared" ref="O26:P26" si="28">D26/7</f>
        <v>9</v>
      </c>
      <c r="P26" s="32">
        <f t="shared" si="28"/>
        <v>0</v>
      </c>
      <c r="Q26" s="27">
        <f t="shared" si="8"/>
        <v>5</v>
      </c>
      <c r="R26" s="27"/>
      <c r="S26" s="41">
        <v>2.4334975369458132</v>
      </c>
      <c r="T26" s="26">
        <v>500</v>
      </c>
      <c r="U26" s="34" t="s">
        <v>34</v>
      </c>
      <c r="V26" s="35" t="s">
        <v>34</v>
      </c>
      <c r="W26" s="40">
        <v>4</v>
      </c>
      <c r="X26" s="36">
        <f t="shared" si="9"/>
        <v>6.3492063492063489E-2</v>
      </c>
      <c r="Y26" s="37">
        <f t="shared" si="10"/>
        <v>3.286</v>
      </c>
      <c r="Z26" s="40">
        <v>1</v>
      </c>
      <c r="AA26" s="26" t="s">
        <v>37</v>
      </c>
      <c r="AB26" s="38">
        <f t="shared" si="11"/>
        <v>-0.69</v>
      </c>
      <c r="AC26" s="40">
        <v>0.51404166666666662</v>
      </c>
      <c r="AD26" s="37">
        <f t="shared" si="12"/>
        <v>-44.69078249999999</v>
      </c>
      <c r="AE26" s="42">
        <v>-6.88</v>
      </c>
      <c r="AF26" s="42">
        <v>-9.7371313636363599</v>
      </c>
      <c r="AG26" s="42">
        <v>0</v>
      </c>
    </row>
    <row r="27" spans="1:33" ht="15.75" customHeight="1" x14ac:dyDescent="0.2">
      <c r="A27" s="40" t="s">
        <v>77</v>
      </c>
      <c r="B27" s="40" t="s">
        <v>812</v>
      </c>
      <c r="C27" s="14">
        <f t="shared" si="1"/>
        <v>37.543846153846154</v>
      </c>
      <c r="D27" s="15">
        <v>52</v>
      </c>
      <c r="E27" s="15">
        <v>0</v>
      </c>
      <c r="F27" s="16">
        <v>1952.28</v>
      </c>
      <c r="G27" s="16">
        <v>-20.75</v>
      </c>
      <c r="H27" s="29">
        <f t="shared" si="2"/>
        <v>1.0628598356793082E-2</v>
      </c>
      <c r="I27" s="29">
        <f t="shared" si="3"/>
        <v>0.3778707660227576</v>
      </c>
      <c r="J27" s="30">
        <f t="shared" si="4"/>
        <v>737.70953909090917</v>
      </c>
      <c r="K27" s="30">
        <f t="shared" si="5"/>
        <v>14.186721905594407</v>
      </c>
      <c r="L27" s="15">
        <v>433</v>
      </c>
      <c r="M27" s="31">
        <f t="shared" si="6"/>
        <v>0.12009237875288684</v>
      </c>
      <c r="N27" s="15">
        <v>129</v>
      </c>
      <c r="O27" s="32">
        <f t="shared" ref="O27:P27" si="29">D27/7</f>
        <v>7.4285714285714288</v>
      </c>
      <c r="P27" s="32">
        <f t="shared" si="29"/>
        <v>0</v>
      </c>
      <c r="Q27" s="27">
        <f t="shared" si="8"/>
        <v>17</v>
      </c>
      <c r="R27" s="27"/>
      <c r="S27" s="41">
        <v>2.7074663402692778</v>
      </c>
      <c r="T27" s="26">
        <v>500</v>
      </c>
      <c r="U27" s="34" t="s">
        <v>34</v>
      </c>
      <c r="V27" s="35" t="s">
        <v>34</v>
      </c>
      <c r="W27" s="40">
        <v>6</v>
      </c>
      <c r="X27" s="36">
        <f t="shared" si="9"/>
        <v>0.11538461538461539</v>
      </c>
      <c r="Y27" s="37">
        <f t="shared" si="10"/>
        <v>3.4583333333333335</v>
      </c>
      <c r="Z27" s="40">
        <v>0</v>
      </c>
      <c r="AA27" s="26" t="s">
        <v>37</v>
      </c>
      <c r="AB27" s="38">
        <f t="shared" si="11"/>
        <v>-0.69</v>
      </c>
      <c r="AC27" s="39">
        <v>0.51404166666666662</v>
      </c>
      <c r="AD27" s="37">
        <f t="shared" si="12"/>
        <v>-36.887629999999994</v>
      </c>
      <c r="AE27" s="42">
        <v>-6.88</v>
      </c>
      <c r="AF27" s="42">
        <v>-9.7371313636363599</v>
      </c>
      <c r="AG27" s="42">
        <v>0</v>
      </c>
    </row>
    <row r="28" spans="1:33" ht="15.75" customHeight="1" x14ac:dyDescent="0.2">
      <c r="A28" s="40" t="s">
        <v>79</v>
      </c>
      <c r="B28" s="40" t="s">
        <v>53</v>
      </c>
      <c r="C28" s="14">
        <f t="shared" si="1"/>
        <v>37.497708333333335</v>
      </c>
      <c r="D28" s="15">
        <v>48</v>
      </c>
      <c r="E28" s="15">
        <v>0</v>
      </c>
      <c r="F28" s="16">
        <v>1799.89</v>
      </c>
      <c r="G28" s="16">
        <v>-17.399999999999999</v>
      </c>
      <c r="H28" s="29">
        <f t="shared" si="2"/>
        <v>9.6672574435104353E-3</v>
      </c>
      <c r="I28" s="29">
        <f t="shared" si="3"/>
        <v>0.3782642686750049</v>
      </c>
      <c r="J28" s="30">
        <f t="shared" si="4"/>
        <v>680.83407454545465</v>
      </c>
      <c r="K28" s="30">
        <f t="shared" si="5"/>
        <v>14.184043219696973</v>
      </c>
      <c r="L28" s="15">
        <v>313</v>
      </c>
      <c r="M28" s="31">
        <f t="shared" si="6"/>
        <v>0.15335463258785942</v>
      </c>
      <c r="N28" s="15">
        <v>79</v>
      </c>
      <c r="O28" s="32">
        <f t="shared" ref="O28:P28" si="30">D28/7</f>
        <v>6.8571428571428568</v>
      </c>
      <c r="P28" s="32">
        <f t="shared" si="30"/>
        <v>0</v>
      </c>
      <c r="Q28" s="27">
        <f t="shared" si="8"/>
        <v>11</v>
      </c>
      <c r="R28" s="27"/>
      <c r="S28" s="41">
        <v>2.562231759656652</v>
      </c>
      <c r="T28" s="40">
        <v>500</v>
      </c>
      <c r="U28" s="22" t="s">
        <v>34</v>
      </c>
      <c r="V28" s="1" t="s">
        <v>813</v>
      </c>
      <c r="W28" s="40">
        <v>7</v>
      </c>
      <c r="X28" s="36">
        <f t="shared" si="9"/>
        <v>0.14583333333333334</v>
      </c>
      <c r="Y28" s="37">
        <f t="shared" si="10"/>
        <v>2.4857142857142853</v>
      </c>
      <c r="Z28" s="40">
        <v>0</v>
      </c>
      <c r="AA28" s="26" t="s">
        <v>37</v>
      </c>
      <c r="AB28" s="38">
        <f t="shared" si="11"/>
        <v>-0.69</v>
      </c>
      <c r="AC28" s="39">
        <v>0.51404166666666662</v>
      </c>
      <c r="AD28" s="37">
        <f t="shared" si="12"/>
        <v>-34.050119999999993</v>
      </c>
      <c r="AE28" s="42">
        <v>-6.88</v>
      </c>
      <c r="AF28" s="42">
        <v>-9.7371313636363599</v>
      </c>
      <c r="AG28" s="42">
        <v>0</v>
      </c>
    </row>
    <row r="29" spans="1:33" ht="15.75" customHeight="1" x14ac:dyDescent="0.2">
      <c r="A29" s="26" t="s">
        <v>82</v>
      </c>
      <c r="B29" s="26" t="s">
        <v>814</v>
      </c>
      <c r="C29" s="14">
        <f t="shared" si="1"/>
        <v>38.99</v>
      </c>
      <c r="D29" s="27">
        <v>24</v>
      </c>
      <c r="E29" s="27">
        <v>15</v>
      </c>
      <c r="F29" s="30">
        <v>935.76</v>
      </c>
      <c r="G29" s="30">
        <v>-21.81</v>
      </c>
      <c r="H29" s="29">
        <f t="shared" si="2"/>
        <v>2.3307258271351626E-2</v>
      </c>
      <c r="I29" s="29">
        <f t="shared" si="3"/>
        <v>0.38230933922450988</v>
      </c>
      <c r="J29" s="30">
        <f t="shared" si="4"/>
        <v>357.74978727272736</v>
      </c>
      <c r="K29" s="30">
        <f t="shared" si="5"/>
        <v>14.90624113636364</v>
      </c>
      <c r="L29" s="27">
        <v>341</v>
      </c>
      <c r="M29" s="31">
        <f t="shared" si="6"/>
        <v>7.0381231671554259E-2</v>
      </c>
      <c r="N29" s="15">
        <v>54</v>
      </c>
      <c r="O29" s="32">
        <f t="shared" ref="O29:P29" si="31">D29/7</f>
        <v>3.4285714285714284</v>
      </c>
      <c r="P29" s="32">
        <f t="shared" si="31"/>
        <v>2.1428571428571428</v>
      </c>
      <c r="Q29" s="27">
        <f t="shared" si="8"/>
        <v>9</v>
      </c>
      <c r="R29" s="27"/>
      <c r="S29" s="41">
        <v>3.387483355525966</v>
      </c>
      <c r="T29" s="40" t="s">
        <v>34</v>
      </c>
      <c r="U29" s="22" t="s">
        <v>34</v>
      </c>
      <c r="V29" s="1" t="s">
        <v>34</v>
      </c>
      <c r="W29" s="40">
        <v>6</v>
      </c>
      <c r="X29" s="36">
        <f t="shared" si="9"/>
        <v>0.25</v>
      </c>
      <c r="Y29" s="37">
        <f t="shared" si="10"/>
        <v>3.6349999999999998</v>
      </c>
      <c r="Z29" s="40">
        <v>0</v>
      </c>
      <c r="AA29" s="26" t="s">
        <v>37</v>
      </c>
      <c r="AB29" s="38">
        <f t="shared" si="11"/>
        <v>-0.69</v>
      </c>
      <c r="AC29" s="39">
        <v>0.51404166666666662</v>
      </c>
      <c r="AD29" s="37">
        <f t="shared" si="12"/>
        <v>-17.025059999999996</v>
      </c>
      <c r="AE29" s="37">
        <v>-6.88</v>
      </c>
      <c r="AF29" s="42">
        <v>-9.7371313636363599</v>
      </c>
      <c r="AG29" s="37">
        <v>0</v>
      </c>
    </row>
    <row r="30" spans="1:33" ht="15.75" customHeight="1" x14ac:dyDescent="0.2">
      <c r="A30" s="40" t="s">
        <v>84</v>
      </c>
      <c r="B30" s="40" t="s">
        <v>815</v>
      </c>
      <c r="C30" s="14">
        <f t="shared" si="1"/>
        <v>39.81758620689655</v>
      </c>
      <c r="D30" s="15">
        <v>29</v>
      </c>
      <c r="E30" s="15">
        <v>6</v>
      </c>
      <c r="F30" s="16">
        <v>1154.71</v>
      </c>
      <c r="G30" s="16">
        <v>-17.03</v>
      </c>
      <c r="H30" s="29">
        <f t="shared" si="2"/>
        <v>1.4748291778888206E-2</v>
      </c>
      <c r="I30" s="29">
        <f t="shared" si="3"/>
        <v>0.3900780854933299</v>
      </c>
      <c r="J30" s="30">
        <f t="shared" si="4"/>
        <v>450.42706610000295</v>
      </c>
      <c r="K30" s="30">
        <f t="shared" si="5"/>
        <v>15.531967796551825</v>
      </c>
      <c r="L30" s="15">
        <v>315</v>
      </c>
      <c r="M30" s="31">
        <f t="shared" si="6"/>
        <v>9.2063492063492069E-2</v>
      </c>
      <c r="N30" s="15">
        <v>31</v>
      </c>
      <c r="O30" s="32">
        <f t="shared" ref="O30:P30" si="32">D30/7</f>
        <v>4.1428571428571432</v>
      </c>
      <c r="P30" s="32">
        <f t="shared" si="32"/>
        <v>0.8571428571428571</v>
      </c>
      <c r="Q30" s="27">
        <f t="shared" si="8"/>
        <v>6</v>
      </c>
      <c r="R30" s="27"/>
      <c r="S30" s="41">
        <v>4.0309119010819163</v>
      </c>
      <c r="T30" s="26">
        <v>500</v>
      </c>
      <c r="U30" s="34" t="s">
        <v>34</v>
      </c>
      <c r="V30" s="35" t="s">
        <v>34</v>
      </c>
      <c r="W30" s="40">
        <v>8</v>
      </c>
      <c r="X30" s="36">
        <f t="shared" si="9"/>
        <v>0.27586206896551724</v>
      </c>
      <c r="Y30" s="37">
        <f t="shared" si="10"/>
        <v>2.1287500000000001</v>
      </c>
      <c r="Z30" s="40">
        <v>0</v>
      </c>
      <c r="AA30" s="26" t="s">
        <v>37</v>
      </c>
      <c r="AB30" s="38">
        <f t="shared" si="11"/>
        <v>-0.69</v>
      </c>
      <c r="AC30" s="39">
        <v>0.51404166666666662</v>
      </c>
      <c r="AD30" s="37">
        <f t="shared" si="12"/>
        <v>-20.571947499999997</v>
      </c>
      <c r="AE30" s="42">
        <v>-6.88</v>
      </c>
      <c r="AF30" s="42">
        <v>-10.136361599999899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1"/>
        <v>39.133214285714288</v>
      </c>
      <c r="D31" s="15">
        <v>28</v>
      </c>
      <c r="E31" s="15">
        <v>0</v>
      </c>
      <c r="F31" s="16">
        <v>1095.73</v>
      </c>
      <c r="G31" s="43">
        <v>-15.15</v>
      </c>
      <c r="H31" s="29">
        <f t="shared" si="2"/>
        <v>1.3826398839130078E-2</v>
      </c>
      <c r="I31" s="29">
        <f t="shared" si="3"/>
        <v>0.38321466529163212</v>
      </c>
      <c r="J31" s="30">
        <f t="shared" si="4"/>
        <v>419.89980520000006</v>
      </c>
      <c r="K31" s="30">
        <f t="shared" si="5"/>
        <v>14.996421614285717</v>
      </c>
      <c r="L31" s="15">
        <v>373</v>
      </c>
      <c r="M31" s="31">
        <f t="shared" si="6"/>
        <v>7.5067024128686322E-2</v>
      </c>
      <c r="N31" s="15">
        <v>1</v>
      </c>
      <c r="O31" s="32">
        <f t="shared" ref="O31:P31" si="33">D31/7</f>
        <v>4</v>
      </c>
      <c r="P31" s="32">
        <f t="shared" si="33"/>
        <v>0</v>
      </c>
      <c r="Q31" s="27">
        <f t="shared" si="8"/>
        <v>0</v>
      </c>
      <c r="R31" s="27"/>
      <c r="S31" s="41">
        <v>2.9079229122055601</v>
      </c>
      <c r="T31" s="40">
        <v>410</v>
      </c>
      <c r="U31" s="22">
        <v>390</v>
      </c>
      <c r="V31" s="1" t="s">
        <v>816</v>
      </c>
      <c r="W31" s="40">
        <v>1</v>
      </c>
      <c r="X31" s="36">
        <f t="shared" si="9"/>
        <v>3.5714285714285712E-2</v>
      </c>
      <c r="Y31" s="37">
        <f t="shared" si="10"/>
        <v>15.15</v>
      </c>
      <c r="Z31" s="40">
        <v>0</v>
      </c>
      <c r="AA31" s="40" t="s">
        <v>37</v>
      </c>
      <c r="AB31" s="38">
        <f t="shared" si="11"/>
        <v>-0.69</v>
      </c>
      <c r="AC31" s="44">
        <v>0.51404166666666662</v>
      </c>
      <c r="AD31" s="37">
        <f t="shared" si="12"/>
        <v>-19.862569999999998</v>
      </c>
      <c r="AE31" s="45">
        <v>-6.88</v>
      </c>
      <c r="AF31" s="45">
        <v>-10.136361599999999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>
        <f t="shared" si="1"/>
        <v>41.99</v>
      </c>
      <c r="D32" s="15">
        <v>1</v>
      </c>
      <c r="E32" s="15">
        <v>0</v>
      </c>
      <c r="F32" s="16">
        <v>41.99</v>
      </c>
      <c r="G32" s="16">
        <v>-1.96</v>
      </c>
      <c r="H32" s="29">
        <f t="shared" si="2"/>
        <v>4.667778042391045E-2</v>
      </c>
      <c r="I32" s="29">
        <f t="shared" si="3"/>
        <v>0.3811803024529673</v>
      </c>
      <c r="J32" s="30">
        <f t="shared" si="4"/>
        <v>16.005760900000098</v>
      </c>
      <c r="K32" s="30">
        <f t="shared" si="5"/>
        <v>16.005760900000098</v>
      </c>
      <c r="L32" s="15">
        <v>44</v>
      </c>
      <c r="M32" s="31">
        <f t="shared" si="6"/>
        <v>2.2727272727272728E-2</v>
      </c>
      <c r="N32" s="15">
        <v>1</v>
      </c>
      <c r="O32" s="32">
        <f t="shared" ref="O32:P32" si="34">D32/7</f>
        <v>0.14285714285714285</v>
      </c>
      <c r="P32" s="32">
        <f t="shared" si="34"/>
        <v>0</v>
      </c>
      <c r="Q32" s="27">
        <f t="shared" si="8"/>
        <v>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2.6775844421699082</v>
      </c>
      <c r="T32" s="40">
        <f ca="1">IFERROR(__xludf.DUMMYFUNCTION("IFERROR(VLOOKUP($B$2,IMPORTRANGE(""https://docs.google.com/spreadsheets/d/1KiWZV1ko8G7lnRucBRBd29jj3Be6ltMfljMDqzOkQmI/edit#gid=1381463014"",""Lookup!A:D""),4,FALSE),"""")"),410)</f>
        <v>410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S210703  - 240 units 09/17| AGL253  - 150 units 11/01")</f>
        <v>| S210703  - 240 units 09/17| AGL253  - 150 units 11/01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0.51404166666666662</v>
      </c>
      <c r="AD32" s="37">
        <f t="shared" si="12"/>
        <v>-0.70937749999999988</v>
      </c>
      <c r="AE32" s="42">
        <v>-6.88</v>
      </c>
      <c r="AF32" s="42">
        <v>-10.136361599999899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Info!B1:BJ5000""),3,FALSE),"""")"),"Vinyl Records Holder Shelf, 4 Pack - Metal Black Wall Mount Record Display")</f>
        <v>Vinyl Records Holder Shelf, 4 Pack - Metal Black Wall Mount Record Display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Info!B1:BJ5000""),2,FALSE),"""")"),"B07ZKWYGCN")</f>
        <v>B07ZKWYGCN</v>
      </c>
      <c r="B2" s="3" t="s">
        <v>817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5.25" customHeight="1" x14ac:dyDescent="0.2">
      <c r="A3" s="68" t="s">
        <v>31</v>
      </c>
      <c r="B3" s="69"/>
      <c r="C3" s="48">
        <f>((AE32+AF32)/0.85)*-1</f>
        <v>13.614461497326202</v>
      </c>
      <c r="D3" s="5">
        <f>SUM(D4:D99767)</f>
        <v>194</v>
      </c>
      <c r="E3" s="5"/>
      <c r="F3" s="6">
        <f t="shared" ref="F3:G3" si="0">SUM(F4:F99767)</f>
        <v>3311.1699999999992</v>
      </c>
      <c r="G3" s="6">
        <f t="shared" si="0"/>
        <v>-160.31999999999996</v>
      </c>
      <c r="H3" s="7">
        <f t="shared" ref="H3:H32" si="1">G3/F3*-1</f>
        <v>4.8417930822035715E-2</v>
      </c>
      <c r="I3" s="8">
        <f t="shared" ref="I3:I32" si="2">J3/F3</f>
        <v>0.11984319297502094</v>
      </c>
      <c r="J3" s="6">
        <f>SUM(J4:J99767)</f>
        <v>396.82118528309996</v>
      </c>
      <c r="K3" s="6">
        <f t="shared" ref="K3:K32" si="3">J3/D3</f>
        <v>2.045470027232474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QTY-96")</f>
        <v>US QTY-96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8</v>
      </c>
      <c r="X3" s="7">
        <f>W3/D3</f>
        <v>4.1237113402061855E-2</v>
      </c>
      <c r="Y3" s="6"/>
      <c r="Z3" s="5"/>
      <c r="AA3" s="5"/>
      <c r="AB3" s="5"/>
      <c r="AC3" s="5"/>
      <c r="AD3" s="6">
        <f>SUM(AD4:AD99767)</f>
        <v>-19.155889975138884</v>
      </c>
      <c r="AE3" s="4"/>
      <c r="AF3" s="6">
        <v>-6.6222922727272699</v>
      </c>
      <c r="AG3" s="6">
        <f>SUM(AG4:AG99767)</f>
        <v>0</v>
      </c>
    </row>
    <row r="4" spans="1:33" ht="16" x14ac:dyDescent="0.2">
      <c r="A4" s="1" t="s">
        <v>32</v>
      </c>
      <c r="B4" s="2" t="s">
        <v>818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156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-6.532326363636364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 t="e">
        <v>#N/A</v>
      </c>
      <c r="T5" s="26">
        <v>156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-6.532326363636364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360</v>
      </c>
      <c r="U6" s="34">
        <v>204</v>
      </c>
      <c r="V6" s="35" t="s">
        <v>819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-6.532326363636364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360</v>
      </c>
      <c r="U7" s="34">
        <v>204</v>
      </c>
      <c r="V7" s="35" t="s">
        <v>819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-6.532326363636364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360</v>
      </c>
      <c r="U8" s="34">
        <v>204</v>
      </c>
      <c r="V8" s="35" t="s">
        <v>819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-6.53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360</v>
      </c>
      <c r="U9" s="34">
        <v>204</v>
      </c>
      <c r="V9" s="35" t="s">
        <v>820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-6.5912695454545398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360</v>
      </c>
      <c r="U10" s="34">
        <v>204</v>
      </c>
      <c r="V10" s="35" t="s">
        <v>820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-6.5912695454545398</v>
      </c>
      <c r="AG10" s="37">
        <v>0</v>
      </c>
    </row>
    <row r="11" spans="1:33" ht="15.75" customHeight="1" x14ac:dyDescent="0.2">
      <c r="A11" s="26" t="s">
        <v>50</v>
      </c>
      <c r="B11" s="26" t="s">
        <v>461</v>
      </c>
      <c r="C11" s="14">
        <f t="shared" si="4"/>
        <v>21.99</v>
      </c>
      <c r="D11" s="27">
        <v>1</v>
      </c>
      <c r="E11" s="27">
        <v>0</v>
      </c>
      <c r="F11" s="28">
        <v>21.99</v>
      </c>
      <c r="G11" s="28">
        <v>0</v>
      </c>
      <c r="H11" s="29">
        <f t="shared" si="1"/>
        <v>0</v>
      </c>
      <c r="I11" s="29">
        <f t="shared" si="2"/>
        <v>0.32294173504514229</v>
      </c>
      <c r="J11" s="30">
        <f t="shared" si="5"/>
        <v>7.1014887536426787</v>
      </c>
      <c r="K11" s="30">
        <f t="shared" si="3"/>
        <v>7.1014887536426787</v>
      </c>
      <c r="L11" s="27">
        <v>3</v>
      </c>
      <c r="M11" s="31">
        <f t="shared" si="6"/>
        <v>0.33333333333333331</v>
      </c>
      <c r="N11" s="27">
        <v>0</v>
      </c>
      <c r="O11" s="32">
        <f t="shared" ref="O11:P11" si="19">D11/7</f>
        <v>0.14285714285714285</v>
      </c>
      <c r="P11" s="32">
        <f t="shared" si="19"/>
        <v>0</v>
      </c>
      <c r="Q11" s="27">
        <f t="shared" si="8"/>
        <v>0</v>
      </c>
      <c r="R11" s="27"/>
      <c r="S11" s="33" t="e">
        <v>#N/A</v>
      </c>
      <c r="T11" s="26">
        <v>360</v>
      </c>
      <c r="U11" s="34">
        <v>204</v>
      </c>
      <c r="V11" s="35" t="s">
        <v>821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7.155195717592594E-2</v>
      </c>
      <c r="AD11" s="37">
        <f t="shared" si="12"/>
        <v>-9.8741700902777785E-2</v>
      </c>
      <c r="AE11" s="37">
        <v>-4.9000000000000004</v>
      </c>
      <c r="AF11" s="37">
        <v>-6.5912695454545398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360</v>
      </c>
      <c r="U12" s="34">
        <v>204</v>
      </c>
      <c r="V12" s="35" t="s">
        <v>822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-6.5912695454545398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360</v>
      </c>
      <c r="U13" s="34">
        <v>204</v>
      </c>
      <c r="V13" s="35" t="s">
        <v>823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-6.6222922727272699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324</v>
      </c>
      <c r="U14" s="34">
        <v>156</v>
      </c>
      <c r="V14" s="35" t="s">
        <v>824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-6.6222922727272699</v>
      </c>
      <c r="AG14" s="37">
        <v>0</v>
      </c>
    </row>
    <row r="15" spans="1:33" ht="15.75" customHeight="1" x14ac:dyDescent="0.2">
      <c r="A15" s="26" t="s">
        <v>58</v>
      </c>
      <c r="B15" s="26" t="s">
        <v>825</v>
      </c>
      <c r="C15" s="14">
        <f t="shared" si="4"/>
        <v>21.99</v>
      </c>
      <c r="D15" s="27">
        <v>1</v>
      </c>
      <c r="E15" s="27">
        <v>0</v>
      </c>
      <c r="F15" s="30">
        <v>21.99</v>
      </c>
      <c r="G15" s="28">
        <v>-0.06</v>
      </c>
      <c r="H15" s="29">
        <f t="shared" si="1"/>
        <v>2.7285129604365621E-3</v>
      </c>
      <c r="I15" s="29">
        <f t="shared" si="2"/>
        <v>0.31880245686084363</v>
      </c>
      <c r="J15" s="30">
        <f t="shared" si="5"/>
        <v>7.0104660263699508</v>
      </c>
      <c r="K15" s="30">
        <f t="shared" si="3"/>
        <v>7.0104660263699508</v>
      </c>
      <c r="L15" s="27">
        <v>4</v>
      </c>
      <c r="M15" s="31">
        <f t="shared" si="6"/>
        <v>0.25</v>
      </c>
      <c r="N15" s="27">
        <v>203</v>
      </c>
      <c r="O15" s="32">
        <f t="shared" ref="O15:P15" si="23">D15/7</f>
        <v>0.14285714285714285</v>
      </c>
      <c r="P15" s="32">
        <f t="shared" si="23"/>
        <v>0</v>
      </c>
      <c r="Q15" s="27">
        <f t="shared" si="8"/>
        <v>1421</v>
      </c>
      <c r="R15" s="27"/>
      <c r="S15" s="33">
        <v>7.5471698113207503E-2</v>
      </c>
      <c r="T15" s="26">
        <v>324</v>
      </c>
      <c r="U15" s="34">
        <v>156</v>
      </c>
      <c r="V15" s="35" t="s">
        <v>826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7.155195717592594E-2</v>
      </c>
      <c r="AD15" s="37">
        <f t="shared" si="12"/>
        <v>-9.8741700902777785E-2</v>
      </c>
      <c r="AE15" s="37">
        <v>-4.9000000000000004</v>
      </c>
      <c r="AF15" s="37">
        <v>-6.6222922727272699</v>
      </c>
      <c r="AG15" s="37">
        <v>0</v>
      </c>
    </row>
    <row r="16" spans="1:33" ht="15.75" customHeight="1" x14ac:dyDescent="0.2">
      <c r="A16" s="26" t="s">
        <v>60</v>
      </c>
      <c r="B16" s="26" t="s">
        <v>827</v>
      </c>
      <c r="C16" s="14">
        <f t="shared" si="4"/>
        <v>16.989999999999998</v>
      </c>
      <c r="D16" s="27">
        <v>9</v>
      </c>
      <c r="E16" s="27">
        <v>0</v>
      </c>
      <c r="F16" s="30">
        <v>152.91</v>
      </c>
      <c r="G16" s="28">
        <v>-0.08</v>
      </c>
      <c r="H16" s="29">
        <f t="shared" si="1"/>
        <v>5.2318357203583806E-4</v>
      </c>
      <c r="I16" s="29">
        <f t="shared" si="2"/>
        <v>0.1654842341071843</v>
      </c>
      <c r="J16" s="30">
        <f t="shared" si="5"/>
        <v>25.304194237329551</v>
      </c>
      <c r="K16" s="30">
        <f t="shared" si="3"/>
        <v>2.811577137481061</v>
      </c>
      <c r="L16" s="27">
        <v>32</v>
      </c>
      <c r="M16" s="31">
        <f t="shared" si="6"/>
        <v>0.28125</v>
      </c>
      <c r="N16" s="27">
        <v>196</v>
      </c>
      <c r="O16" s="32">
        <f t="shared" ref="O16:P16" si="24">D16/7</f>
        <v>1.2857142857142858</v>
      </c>
      <c r="P16" s="32">
        <f t="shared" si="24"/>
        <v>0</v>
      </c>
      <c r="Q16" s="27">
        <f t="shared" si="8"/>
        <v>152</v>
      </c>
      <c r="R16" s="27"/>
      <c r="S16" s="33">
        <v>0.118226600985221</v>
      </c>
      <c r="T16" s="26">
        <v>324</v>
      </c>
      <c r="U16" s="34">
        <v>156</v>
      </c>
      <c r="V16" s="35" t="s">
        <v>828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7.155195717592594E-2</v>
      </c>
      <c r="AD16" s="37">
        <f t="shared" si="12"/>
        <v>-0.88867530812500006</v>
      </c>
      <c r="AE16" s="37">
        <v>-4.9000000000000004</v>
      </c>
      <c r="AF16" s="37">
        <v>-6.6222922727272699</v>
      </c>
      <c r="AG16" s="37">
        <v>0</v>
      </c>
    </row>
    <row r="17" spans="1:33" ht="15.75" customHeight="1" x14ac:dyDescent="0.2">
      <c r="A17" s="26" t="s">
        <v>61</v>
      </c>
      <c r="B17" s="26" t="s">
        <v>105</v>
      </c>
      <c r="C17" s="14">
        <f t="shared" si="4"/>
        <v>20.564</v>
      </c>
      <c r="D17" s="27">
        <v>5</v>
      </c>
      <c r="E17" s="27">
        <v>5</v>
      </c>
      <c r="F17" s="30">
        <v>102.82</v>
      </c>
      <c r="G17" s="28">
        <v>-35.619999999999997</v>
      </c>
      <c r="H17" s="29">
        <f t="shared" si="1"/>
        <v>0.34643065551449131</v>
      </c>
      <c r="I17" s="29">
        <f t="shared" si="2"/>
        <v>-6.154609869821287E-2</v>
      </c>
      <c r="J17" s="30">
        <f t="shared" si="5"/>
        <v>-6.3281698681502467</v>
      </c>
      <c r="K17" s="30">
        <f t="shared" si="3"/>
        <v>-1.2656339736300493</v>
      </c>
      <c r="L17" s="27">
        <v>54</v>
      </c>
      <c r="M17" s="31">
        <f t="shared" si="6"/>
        <v>9.2592592592592587E-2</v>
      </c>
      <c r="N17" s="27">
        <v>185</v>
      </c>
      <c r="O17" s="32">
        <f t="shared" ref="O17:P17" si="25">D17/7</f>
        <v>0.7142857142857143</v>
      </c>
      <c r="P17" s="32">
        <f t="shared" si="25"/>
        <v>0.7142857142857143</v>
      </c>
      <c r="Q17" s="27">
        <f t="shared" si="8"/>
        <v>129</v>
      </c>
      <c r="R17" s="27"/>
      <c r="S17" s="33">
        <v>0.40211640211640198</v>
      </c>
      <c r="T17" s="26">
        <v>324</v>
      </c>
      <c r="U17" s="34">
        <v>156</v>
      </c>
      <c r="V17" s="35" t="s">
        <v>828</v>
      </c>
      <c r="W17" s="26">
        <v>1</v>
      </c>
      <c r="X17" s="36">
        <f t="shared" si="9"/>
        <v>0.2</v>
      </c>
      <c r="Y17" s="37">
        <f t="shared" si="10"/>
        <v>17.809999999999999</v>
      </c>
      <c r="Z17" s="26">
        <v>1</v>
      </c>
      <c r="AA17" s="26" t="s">
        <v>37</v>
      </c>
      <c r="AB17" s="38">
        <f t="shared" si="11"/>
        <v>-0.69</v>
      </c>
      <c r="AC17" s="39">
        <v>7.155195717592594E-2</v>
      </c>
      <c r="AD17" s="37">
        <f t="shared" si="12"/>
        <v>-0.49370850451388892</v>
      </c>
      <c r="AE17" s="37">
        <v>-4.9000000000000004</v>
      </c>
      <c r="AF17" s="37">
        <v>-6.6222922727272699</v>
      </c>
      <c r="AG17" s="37">
        <v>0</v>
      </c>
    </row>
    <row r="18" spans="1:33" ht="15.75" customHeight="1" x14ac:dyDescent="0.2">
      <c r="A18" s="26" t="s">
        <v>62</v>
      </c>
      <c r="B18" s="26" t="s">
        <v>46</v>
      </c>
      <c r="C18" s="14">
        <f t="shared" si="4"/>
        <v>17.802941176470586</v>
      </c>
      <c r="D18" s="27">
        <v>17</v>
      </c>
      <c r="E18" s="27">
        <v>0</v>
      </c>
      <c r="F18" s="30">
        <v>302.64999999999998</v>
      </c>
      <c r="G18" s="28">
        <v>-25.25</v>
      </c>
      <c r="H18" s="29">
        <f t="shared" si="1"/>
        <v>8.342970427886999E-2</v>
      </c>
      <c r="I18" s="29">
        <f t="shared" si="2"/>
        <v>0.11381107698096543</v>
      </c>
      <c r="J18" s="30">
        <f t="shared" si="5"/>
        <v>34.444922448289184</v>
      </c>
      <c r="K18" s="30">
        <f t="shared" si="3"/>
        <v>2.0261719087228931</v>
      </c>
      <c r="L18" s="27">
        <v>57</v>
      </c>
      <c r="M18" s="31">
        <f t="shared" si="6"/>
        <v>0.2982456140350877</v>
      </c>
      <c r="N18" s="27">
        <v>168</v>
      </c>
      <c r="O18" s="32">
        <f t="shared" ref="O18:P18" si="26">D18/7</f>
        <v>2.4285714285714284</v>
      </c>
      <c r="P18" s="32">
        <f t="shared" si="26"/>
        <v>0</v>
      </c>
      <c r="Q18" s="27">
        <f t="shared" si="8"/>
        <v>69</v>
      </c>
      <c r="R18" s="27"/>
      <c r="S18" s="33">
        <v>0.72727272727272696</v>
      </c>
      <c r="T18" s="26">
        <v>324</v>
      </c>
      <c r="U18" s="34">
        <v>156</v>
      </c>
      <c r="V18" s="35" t="s">
        <v>828</v>
      </c>
      <c r="W18" s="26">
        <v>1</v>
      </c>
      <c r="X18" s="36">
        <f t="shared" si="9"/>
        <v>5.8823529411764705E-2</v>
      </c>
      <c r="Y18" s="37">
        <f t="shared" si="10"/>
        <v>4.208333333333333</v>
      </c>
      <c r="Z18" s="26">
        <v>5</v>
      </c>
      <c r="AA18" s="26" t="s">
        <v>37</v>
      </c>
      <c r="AB18" s="38">
        <f t="shared" si="11"/>
        <v>-0.69</v>
      </c>
      <c r="AC18" s="39">
        <v>7.155195717592594E-2</v>
      </c>
      <c r="AD18" s="37">
        <f t="shared" si="12"/>
        <v>-1.6786089153472223</v>
      </c>
      <c r="AE18" s="37">
        <v>-4.9000000000000004</v>
      </c>
      <c r="AF18" s="37">
        <v>-6.6222922727272699</v>
      </c>
      <c r="AG18" s="37">
        <v>0</v>
      </c>
    </row>
    <row r="19" spans="1:33" ht="15.75" customHeight="1" x14ac:dyDescent="0.2">
      <c r="A19" s="26" t="s">
        <v>64</v>
      </c>
      <c r="B19" s="26" t="s">
        <v>625</v>
      </c>
      <c r="C19" s="14">
        <f t="shared" si="4"/>
        <v>17.043181818181822</v>
      </c>
      <c r="D19" s="27">
        <v>22</v>
      </c>
      <c r="E19" s="27">
        <v>0</v>
      </c>
      <c r="F19" s="30">
        <v>374.9500000000001</v>
      </c>
      <c r="G19" s="28">
        <v>-34.090000000000003</v>
      </c>
      <c r="H19" s="29">
        <f t="shared" si="1"/>
        <v>9.0918789171889572E-2</v>
      </c>
      <c r="I19" s="29">
        <f t="shared" si="2"/>
        <v>7.7222969943029504E-2</v>
      </c>
      <c r="J19" s="30">
        <f t="shared" si="5"/>
        <v>28.954752580138919</v>
      </c>
      <c r="K19" s="30">
        <f t="shared" si="3"/>
        <v>1.3161251172790418</v>
      </c>
      <c r="L19" s="27">
        <v>72</v>
      </c>
      <c r="M19" s="31">
        <f t="shared" si="6"/>
        <v>0.30555555555555558</v>
      </c>
      <c r="N19" s="27">
        <v>161</v>
      </c>
      <c r="O19" s="32">
        <f t="shared" ref="O19:P19" si="27">D19/7</f>
        <v>3.1428571428571428</v>
      </c>
      <c r="P19" s="32">
        <f t="shared" si="27"/>
        <v>0</v>
      </c>
      <c r="Q19" s="27">
        <f t="shared" si="8"/>
        <v>51</v>
      </c>
      <c r="R19" s="27"/>
      <c r="S19" s="33">
        <v>1.1180124223602399</v>
      </c>
      <c r="T19" s="26">
        <v>168</v>
      </c>
      <c r="U19" s="34" t="s">
        <v>34</v>
      </c>
      <c r="V19" s="35" t="s">
        <v>34</v>
      </c>
      <c r="W19" s="26">
        <v>3</v>
      </c>
      <c r="X19" s="36">
        <f t="shared" si="9"/>
        <v>0.13636363636363635</v>
      </c>
      <c r="Y19" s="37">
        <f t="shared" si="10"/>
        <v>11.363333333333335</v>
      </c>
      <c r="Z19" s="26">
        <v>0</v>
      </c>
      <c r="AA19" s="26" t="s">
        <v>37</v>
      </c>
      <c r="AB19" s="38">
        <f t="shared" si="11"/>
        <v>-0.69</v>
      </c>
      <c r="AC19" s="39">
        <v>7.155195717592594E-2</v>
      </c>
      <c r="AD19" s="37">
        <f t="shared" si="12"/>
        <v>-2.1723174198611113</v>
      </c>
      <c r="AE19" s="37">
        <v>-4.9000000000000004</v>
      </c>
      <c r="AF19" s="37">
        <v>-6.6222922727272735</v>
      </c>
      <c r="AG19" s="37">
        <v>0</v>
      </c>
    </row>
    <row r="20" spans="1:33" ht="15.75" customHeight="1" x14ac:dyDescent="0.2">
      <c r="A20" s="26" t="s">
        <v>65</v>
      </c>
      <c r="B20" s="26" t="s">
        <v>829</v>
      </c>
      <c r="C20" s="14">
        <f t="shared" si="4"/>
        <v>17.889285714285716</v>
      </c>
      <c r="D20" s="27">
        <v>14</v>
      </c>
      <c r="E20" s="27">
        <v>0</v>
      </c>
      <c r="F20" s="30">
        <v>250.45000000000002</v>
      </c>
      <c r="G20" s="28">
        <v>-31.83</v>
      </c>
      <c r="H20" s="29">
        <f t="shared" si="1"/>
        <v>0.12709123577560391</v>
      </c>
      <c r="I20" s="29">
        <f t="shared" si="2"/>
        <v>7.3300157193768326E-2</v>
      </c>
      <c r="J20" s="30">
        <f t="shared" si="5"/>
        <v>18.358024369179279</v>
      </c>
      <c r="K20" s="30">
        <f t="shared" si="3"/>
        <v>1.3112874549413771</v>
      </c>
      <c r="L20" s="27">
        <v>63</v>
      </c>
      <c r="M20" s="31">
        <f t="shared" si="6"/>
        <v>0.22222222222222221</v>
      </c>
      <c r="N20" s="27">
        <v>144</v>
      </c>
      <c r="O20" s="32">
        <f t="shared" ref="O20:P20" si="28">D20/7</f>
        <v>2</v>
      </c>
      <c r="P20" s="32">
        <f t="shared" si="28"/>
        <v>0</v>
      </c>
      <c r="Q20" s="27">
        <f t="shared" si="8"/>
        <v>72</v>
      </c>
      <c r="R20" s="27"/>
      <c r="S20" s="33">
        <v>0.77492877492877399</v>
      </c>
      <c r="T20" s="26">
        <v>168</v>
      </c>
      <c r="U20" s="34" t="s">
        <v>34</v>
      </c>
      <c r="V20" s="35" t="s">
        <v>34</v>
      </c>
      <c r="W20" s="26">
        <v>2</v>
      </c>
      <c r="X20" s="36">
        <f t="shared" si="9"/>
        <v>0.14285714285714285</v>
      </c>
      <c r="Y20" s="37">
        <f t="shared" si="10"/>
        <v>15.914999999999999</v>
      </c>
      <c r="Z20" s="26">
        <v>0</v>
      </c>
      <c r="AA20" s="26" t="s">
        <v>37</v>
      </c>
      <c r="AB20" s="38">
        <f t="shared" si="11"/>
        <v>-0.69</v>
      </c>
      <c r="AC20" s="39">
        <v>7.155195717592594E-2</v>
      </c>
      <c r="AD20" s="37">
        <f t="shared" si="12"/>
        <v>-1.382383812638889</v>
      </c>
      <c r="AE20" s="37">
        <v>-4.9000000000000004</v>
      </c>
      <c r="AF20" s="37">
        <v>-6.6222922727272735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17.239999999999998</v>
      </c>
      <c r="D21" s="27">
        <v>11</v>
      </c>
      <c r="E21" s="27">
        <v>0</v>
      </c>
      <c r="F21" s="30">
        <v>189.64</v>
      </c>
      <c r="G21" s="28">
        <v>0</v>
      </c>
      <c r="H21" s="29">
        <f t="shared" si="1"/>
        <v>0</v>
      </c>
      <c r="I21" s="29">
        <f t="shared" si="2"/>
        <v>0.17592610361774635</v>
      </c>
      <c r="J21" s="30">
        <f t="shared" si="5"/>
        <v>33.362626290069414</v>
      </c>
      <c r="K21" s="30">
        <f t="shared" si="3"/>
        <v>3.0329660263699467</v>
      </c>
      <c r="L21" s="27">
        <v>20</v>
      </c>
      <c r="M21" s="31">
        <f t="shared" si="6"/>
        <v>0.55000000000000004</v>
      </c>
      <c r="N21" s="27">
        <v>133</v>
      </c>
      <c r="O21" s="32">
        <f t="shared" ref="O21:P21" si="29">D21/7</f>
        <v>1.5714285714285714</v>
      </c>
      <c r="P21" s="32">
        <f t="shared" si="29"/>
        <v>0</v>
      </c>
      <c r="Q21" s="27">
        <f t="shared" si="8"/>
        <v>84</v>
      </c>
      <c r="R21" s="27"/>
      <c r="S21" s="33">
        <v>0.96932515337423297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7.155195717592594E-2</v>
      </c>
      <c r="AD21" s="37">
        <f t="shared" si="12"/>
        <v>-1.0861587099305556</v>
      </c>
      <c r="AE21" s="37">
        <v>-4.9000000000000004</v>
      </c>
      <c r="AF21" s="37">
        <v>-6.6222922727272735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17.300869565217393</v>
      </c>
      <c r="D22" s="27">
        <v>23</v>
      </c>
      <c r="E22" s="27">
        <v>0</v>
      </c>
      <c r="F22" s="28">
        <v>397.92000000000007</v>
      </c>
      <c r="G22" s="28">
        <v>0</v>
      </c>
      <c r="H22" s="29">
        <f t="shared" si="1"/>
        <v>0</v>
      </c>
      <c r="I22" s="29">
        <f t="shared" si="2"/>
        <v>0.17829769452781674</v>
      </c>
      <c r="J22" s="30">
        <f t="shared" si="5"/>
        <v>70.948218606508846</v>
      </c>
      <c r="K22" s="30">
        <f t="shared" si="3"/>
        <v>3.0847051568047323</v>
      </c>
      <c r="L22" s="27">
        <v>60</v>
      </c>
      <c r="M22" s="31">
        <f t="shared" si="6"/>
        <v>0.38333333333333336</v>
      </c>
      <c r="N22" s="27">
        <v>110</v>
      </c>
      <c r="O22" s="32">
        <f t="shared" ref="O22:P22" si="30">D22/7</f>
        <v>3.2857142857142856</v>
      </c>
      <c r="P22" s="32">
        <f t="shared" si="30"/>
        <v>0</v>
      </c>
      <c r="Q22" s="27">
        <f t="shared" si="8"/>
        <v>33</v>
      </c>
      <c r="R22" s="27"/>
      <c r="S22" s="33">
        <v>1.4394463667820001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7.155195717592594E-2</v>
      </c>
      <c r="AD22" s="37">
        <f t="shared" si="12"/>
        <v>-2.2710591207638888</v>
      </c>
      <c r="AE22" s="37">
        <v>-4.9000000000000004</v>
      </c>
      <c r="AF22" s="37">
        <v>-6.6222922727272735</v>
      </c>
      <c r="AG22" s="37">
        <v>0</v>
      </c>
    </row>
    <row r="23" spans="1:33" ht="15.75" customHeight="1" x14ac:dyDescent="0.2">
      <c r="A23" s="26" t="s">
        <v>68</v>
      </c>
      <c r="B23" s="26" t="s">
        <v>830</v>
      </c>
      <c r="C23" s="14">
        <f t="shared" si="4"/>
        <v>16.990000000000002</v>
      </c>
      <c r="D23" s="27">
        <v>14</v>
      </c>
      <c r="E23" s="27">
        <v>0</v>
      </c>
      <c r="F23" s="30">
        <v>237.86000000000004</v>
      </c>
      <c r="G23" s="28">
        <v>-0.16</v>
      </c>
      <c r="H23" s="29">
        <f t="shared" si="1"/>
        <v>6.7266459261750597E-4</v>
      </c>
      <c r="I23" s="29">
        <f t="shared" si="2"/>
        <v>0.16533475308660264</v>
      </c>
      <c r="J23" s="30">
        <f t="shared" si="5"/>
        <v>39.32652436917931</v>
      </c>
      <c r="K23" s="30">
        <f t="shared" si="3"/>
        <v>2.8090374549413792</v>
      </c>
      <c r="L23" s="27">
        <v>46</v>
      </c>
      <c r="M23" s="31">
        <f t="shared" si="6"/>
        <v>0.30434782608695654</v>
      </c>
      <c r="N23" s="27">
        <v>97</v>
      </c>
      <c r="O23" s="32">
        <f t="shared" ref="O23:P23" si="31">D23/7</f>
        <v>2</v>
      </c>
      <c r="P23" s="32">
        <f t="shared" si="31"/>
        <v>0</v>
      </c>
      <c r="Q23" s="27">
        <f t="shared" si="8"/>
        <v>48</v>
      </c>
      <c r="R23" s="27"/>
      <c r="S23" s="33">
        <v>1.69741697416974</v>
      </c>
      <c r="T23" s="26">
        <v>168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7.155195717592594E-2</v>
      </c>
      <c r="AD23" s="37">
        <f t="shared" si="12"/>
        <v>-1.382383812638889</v>
      </c>
      <c r="AE23" s="37">
        <v>-4.9000000000000004</v>
      </c>
      <c r="AF23" s="37">
        <v>-6.6222922727272735</v>
      </c>
      <c r="AG23" s="37">
        <v>0</v>
      </c>
    </row>
    <row r="24" spans="1:33" ht="15.75" customHeight="1" x14ac:dyDescent="0.2">
      <c r="A24" s="26" t="s">
        <v>71</v>
      </c>
      <c r="B24" s="26" t="s">
        <v>831</v>
      </c>
      <c r="C24" s="14">
        <f t="shared" si="4"/>
        <v>16.132857142857141</v>
      </c>
      <c r="D24" s="27">
        <v>7</v>
      </c>
      <c r="E24" s="27">
        <v>0</v>
      </c>
      <c r="F24" s="30">
        <v>112.92999999999999</v>
      </c>
      <c r="G24" s="30">
        <v>-0.06</v>
      </c>
      <c r="H24" s="29">
        <f t="shared" si="1"/>
        <v>5.3130257681749762E-4</v>
      </c>
      <c r="I24" s="29">
        <f t="shared" si="2"/>
        <v>0.12913541295129399</v>
      </c>
      <c r="J24" s="30">
        <f t="shared" si="5"/>
        <v>14.58326218458963</v>
      </c>
      <c r="K24" s="30">
        <f t="shared" si="3"/>
        <v>2.0833231692270902</v>
      </c>
      <c r="L24" s="27">
        <v>35</v>
      </c>
      <c r="M24" s="31">
        <f t="shared" si="6"/>
        <v>0.2</v>
      </c>
      <c r="N24" s="27">
        <v>89</v>
      </c>
      <c r="O24" s="32">
        <f t="shared" ref="O24:P24" si="32">D24/7</f>
        <v>1</v>
      </c>
      <c r="P24" s="32">
        <f t="shared" si="32"/>
        <v>0</v>
      </c>
      <c r="Q24" s="27">
        <f t="shared" si="8"/>
        <v>89</v>
      </c>
      <c r="R24" s="27"/>
      <c r="S24" s="33">
        <v>1.0997782705099699</v>
      </c>
      <c r="T24" s="26">
        <v>168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7.155195717592594E-2</v>
      </c>
      <c r="AD24" s="37">
        <f t="shared" si="12"/>
        <v>-0.69119190631944449</v>
      </c>
      <c r="AE24" s="37">
        <v>-4.9000000000000004</v>
      </c>
      <c r="AF24" s="37">
        <v>-6.6222922727272735</v>
      </c>
      <c r="AG24" s="37">
        <v>0</v>
      </c>
    </row>
    <row r="25" spans="1:33" ht="15.75" customHeight="1" x14ac:dyDescent="0.2">
      <c r="A25" s="40" t="s">
        <v>73</v>
      </c>
      <c r="B25" s="40" t="s">
        <v>832</v>
      </c>
      <c r="C25" s="14">
        <f t="shared" si="4"/>
        <v>15.99</v>
      </c>
      <c r="D25" s="15">
        <v>5</v>
      </c>
      <c r="E25" s="15">
        <v>0</v>
      </c>
      <c r="F25" s="16">
        <v>79.95</v>
      </c>
      <c r="G25" s="16">
        <v>-0.14000000000000001</v>
      </c>
      <c r="H25" s="29">
        <f t="shared" si="1"/>
        <v>1.7510944340212633E-3</v>
      </c>
      <c r="I25" s="29">
        <f t="shared" si="2"/>
        <v>0.12162340832377867</v>
      </c>
      <c r="J25" s="30">
        <f t="shared" si="5"/>
        <v>9.7237914954861058</v>
      </c>
      <c r="K25" s="30">
        <f t="shared" si="3"/>
        <v>1.9447582990972212</v>
      </c>
      <c r="L25" s="15">
        <v>44</v>
      </c>
      <c r="M25" s="31">
        <f t="shared" si="6"/>
        <v>0.11363636363636363</v>
      </c>
      <c r="N25" s="15">
        <v>84</v>
      </c>
      <c r="O25" s="32">
        <f t="shared" ref="O25:P25" si="33">D25/7</f>
        <v>0.7142857142857143</v>
      </c>
      <c r="P25" s="32">
        <f t="shared" si="33"/>
        <v>0</v>
      </c>
      <c r="Q25" s="27">
        <f t="shared" si="8"/>
        <v>117</v>
      </c>
      <c r="R25" s="27"/>
      <c r="S25" s="41">
        <v>1.2161520190023749</v>
      </c>
      <c r="T25" s="26">
        <v>168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7.155195717592594E-2</v>
      </c>
      <c r="AD25" s="37">
        <f t="shared" si="12"/>
        <v>-0.49370850451388892</v>
      </c>
      <c r="AE25" s="42">
        <v>-4.9000000000000004</v>
      </c>
      <c r="AF25" s="42">
        <v>-6.62</v>
      </c>
      <c r="AG25" s="42">
        <v>0</v>
      </c>
    </row>
    <row r="26" spans="1:33" ht="15.75" customHeight="1" x14ac:dyDescent="0.2">
      <c r="A26" s="40" t="s">
        <v>75</v>
      </c>
      <c r="B26" s="40" t="s">
        <v>833</v>
      </c>
      <c r="C26" s="14">
        <f t="shared" si="4"/>
        <v>15.99</v>
      </c>
      <c r="D26" s="15">
        <v>7</v>
      </c>
      <c r="E26" s="15">
        <v>0</v>
      </c>
      <c r="F26" s="16">
        <v>111.93</v>
      </c>
      <c r="G26" s="16">
        <v>-8.3199999999999985</v>
      </c>
      <c r="H26" s="29">
        <f t="shared" si="1"/>
        <v>7.4332171893147489E-2</v>
      </c>
      <c r="I26" s="29">
        <f t="shared" si="2"/>
        <v>4.5772019874829616E-2</v>
      </c>
      <c r="J26" s="30">
        <f t="shared" si="5"/>
        <v>5.1232621845896791</v>
      </c>
      <c r="K26" s="30">
        <f t="shared" si="3"/>
        <v>0.73189459779852561</v>
      </c>
      <c r="L26" s="15">
        <v>31</v>
      </c>
      <c r="M26" s="31">
        <f t="shared" si="6"/>
        <v>0.22580645161290322</v>
      </c>
      <c r="N26" s="15">
        <v>76</v>
      </c>
      <c r="O26" s="32">
        <f t="shared" ref="O26:P26" si="34">D26/7</f>
        <v>1</v>
      </c>
      <c r="P26" s="32">
        <f t="shared" si="34"/>
        <v>0</v>
      </c>
      <c r="Q26" s="27">
        <f t="shared" si="8"/>
        <v>76</v>
      </c>
      <c r="R26" s="27"/>
      <c r="S26" s="41">
        <v>1.381074168797954</v>
      </c>
      <c r="T26" s="26">
        <v>168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4.1599999999999993</v>
      </c>
      <c r="Z26" s="40">
        <v>2</v>
      </c>
      <c r="AA26" s="26" t="s">
        <v>37</v>
      </c>
      <c r="AB26" s="38">
        <f t="shared" si="11"/>
        <v>-0.69</v>
      </c>
      <c r="AC26" s="40">
        <v>7.155195717592594E-2</v>
      </c>
      <c r="AD26" s="37">
        <f t="shared" si="12"/>
        <v>-0.69119190631944449</v>
      </c>
      <c r="AE26" s="42">
        <v>-4.95</v>
      </c>
      <c r="AF26" s="42">
        <v>-6.6222922727272699</v>
      </c>
      <c r="AG26" s="42">
        <v>0</v>
      </c>
    </row>
    <row r="27" spans="1:33" ht="15.75" customHeight="1" x14ac:dyDescent="0.2">
      <c r="A27" s="40" t="s">
        <v>77</v>
      </c>
      <c r="B27" s="40" t="s">
        <v>46</v>
      </c>
      <c r="C27" s="14">
        <f t="shared" si="4"/>
        <v>16.035454545454545</v>
      </c>
      <c r="D27" s="15">
        <v>11</v>
      </c>
      <c r="E27" s="15">
        <v>0</v>
      </c>
      <c r="F27" s="16">
        <v>176.39</v>
      </c>
      <c r="G27" s="16">
        <v>-10.42</v>
      </c>
      <c r="H27" s="29">
        <f t="shared" si="1"/>
        <v>5.907364363059131E-2</v>
      </c>
      <c r="I27" s="29">
        <f t="shared" si="2"/>
        <v>6.3099531096260889E-2</v>
      </c>
      <c r="J27" s="30">
        <f t="shared" si="5"/>
        <v>11.130126290069457</v>
      </c>
      <c r="K27" s="30">
        <f t="shared" si="3"/>
        <v>1.011829662733587</v>
      </c>
      <c r="L27" s="15">
        <v>27</v>
      </c>
      <c r="M27" s="31">
        <f t="shared" si="6"/>
        <v>0.40740740740740738</v>
      </c>
      <c r="N27" s="15">
        <v>67</v>
      </c>
      <c r="O27" s="32">
        <f t="shared" ref="O27:P27" si="35">D27/7</f>
        <v>1.5714285714285714</v>
      </c>
      <c r="P27" s="32">
        <f t="shared" si="35"/>
        <v>0</v>
      </c>
      <c r="Q27" s="27">
        <f t="shared" si="8"/>
        <v>42</v>
      </c>
      <c r="R27" s="27"/>
      <c r="S27" s="41">
        <v>1.672514619883041</v>
      </c>
      <c r="T27" s="26">
        <v>168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5.21</v>
      </c>
      <c r="Z27" s="40">
        <v>2</v>
      </c>
      <c r="AA27" s="26" t="s">
        <v>37</v>
      </c>
      <c r="AB27" s="38">
        <f t="shared" si="11"/>
        <v>-0.69</v>
      </c>
      <c r="AC27" s="39">
        <v>7.155195717592594E-2</v>
      </c>
      <c r="AD27" s="37">
        <f t="shared" si="12"/>
        <v>-1.0861587099305556</v>
      </c>
      <c r="AE27" s="42">
        <v>-4.95</v>
      </c>
      <c r="AF27" s="42">
        <v>-6.6222922727272699</v>
      </c>
      <c r="AG27" s="42">
        <v>0</v>
      </c>
    </row>
    <row r="28" spans="1:33" ht="15.75" customHeight="1" x14ac:dyDescent="0.2">
      <c r="A28" s="40" t="s">
        <v>79</v>
      </c>
      <c r="B28" s="40" t="s">
        <v>46</v>
      </c>
      <c r="C28" s="14">
        <f t="shared" si="4"/>
        <v>15.996666666666668</v>
      </c>
      <c r="D28" s="15">
        <v>6</v>
      </c>
      <c r="E28" s="15">
        <v>0</v>
      </c>
      <c r="F28" s="16">
        <v>95.98</v>
      </c>
      <c r="G28" s="16">
        <v>-3.36</v>
      </c>
      <c r="H28" s="29">
        <f t="shared" si="1"/>
        <v>3.5007293186080431E-2</v>
      </c>
      <c r="I28" s="29">
        <f t="shared" si="2"/>
        <v>8.540108520754025E-2</v>
      </c>
      <c r="J28" s="30">
        <f t="shared" si="5"/>
        <v>8.1967961582197137</v>
      </c>
      <c r="K28" s="30">
        <f t="shared" si="3"/>
        <v>1.3661326930366189</v>
      </c>
      <c r="L28" s="15">
        <v>29</v>
      </c>
      <c r="M28" s="31">
        <f t="shared" si="6"/>
        <v>0.20689655172413793</v>
      </c>
      <c r="N28" s="15">
        <v>59</v>
      </c>
      <c r="O28" s="32">
        <f t="shared" ref="O28:P28" si="36">D28/7</f>
        <v>0.8571428571428571</v>
      </c>
      <c r="P28" s="32">
        <f t="shared" si="36"/>
        <v>0</v>
      </c>
      <c r="Q28" s="27">
        <f t="shared" si="8"/>
        <v>68</v>
      </c>
      <c r="R28" s="27"/>
      <c r="S28" s="41">
        <v>1.203883495145631</v>
      </c>
      <c r="T28" s="40" t="s">
        <v>34</v>
      </c>
      <c r="U28" s="22">
        <v>24</v>
      </c>
      <c r="V28" s="1" t="s">
        <v>834</v>
      </c>
      <c r="W28" s="40">
        <v>0</v>
      </c>
      <c r="X28" s="36">
        <f t="shared" si="9"/>
        <v>0</v>
      </c>
      <c r="Y28" s="37">
        <f t="shared" si="10"/>
        <v>1.1199999999999999</v>
      </c>
      <c r="Z28" s="40">
        <v>3</v>
      </c>
      <c r="AA28" s="26" t="s">
        <v>37</v>
      </c>
      <c r="AB28" s="38">
        <f t="shared" si="11"/>
        <v>-0.69</v>
      </c>
      <c r="AC28" s="39">
        <v>7.155195717592594E-2</v>
      </c>
      <c r="AD28" s="37">
        <f t="shared" si="12"/>
        <v>-0.59245020541666671</v>
      </c>
      <c r="AE28" s="42">
        <v>-4.95</v>
      </c>
      <c r="AF28" s="42">
        <v>-6.6222922727272699</v>
      </c>
      <c r="AG28" s="42">
        <v>0</v>
      </c>
    </row>
    <row r="29" spans="1:33" ht="15.75" customHeight="1" x14ac:dyDescent="0.2">
      <c r="A29" s="26" t="s">
        <v>82</v>
      </c>
      <c r="B29" s="26" t="s">
        <v>835</v>
      </c>
      <c r="C29" s="14">
        <f t="shared" si="4"/>
        <v>15.924999999999999</v>
      </c>
      <c r="D29" s="27">
        <v>12</v>
      </c>
      <c r="E29" s="27">
        <v>0</v>
      </c>
      <c r="F29" s="30">
        <v>191.1</v>
      </c>
      <c r="G29" s="30">
        <v>-6.2899999999999991</v>
      </c>
      <c r="H29" s="29">
        <f t="shared" si="1"/>
        <v>3.2914704343275765E-2</v>
      </c>
      <c r="I29" s="29">
        <f t="shared" si="2"/>
        <v>8.4210320860488963E-2</v>
      </c>
      <c r="J29" s="30">
        <f t="shared" si="5"/>
        <v>16.09259231643944</v>
      </c>
      <c r="K29" s="30">
        <f t="shared" si="3"/>
        <v>1.3410493597032866</v>
      </c>
      <c r="L29" s="27">
        <v>25</v>
      </c>
      <c r="M29" s="31">
        <f t="shared" si="6"/>
        <v>0.48</v>
      </c>
      <c r="N29" s="15">
        <v>48</v>
      </c>
      <c r="O29" s="32">
        <f t="shared" ref="O29:P29" si="37">D29/7</f>
        <v>1.7142857142857142</v>
      </c>
      <c r="P29" s="32">
        <f t="shared" si="37"/>
        <v>0</v>
      </c>
      <c r="Q29" s="27">
        <f t="shared" si="8"/>
        <v>28</v>
      </c>
      <c r="R29" s="27"/>
      <c r="S29" s="41">
        <v>1.330526315789474</v>
      </c>
      <c r="T29" s="40" t="s">
        <v>34</v>
      </c>
      <c r="U29" s="22" t="s">
        <v>34</v>
      </c>
      <c r="V29" s="1" t="s">
        <v>34</v>
      </c>
      <c r="W29" s="40">
        <v>1</v>
      </c>
      <c r="X29" s="36">
        <f t="shared" si="9"/>
        <v>8.3333333333333329E-2</v>
      </c>
      <c r="Y29" s="37">
        <f t="shared" si="10"/>
        <v>6.2899999999999991</v>
      </c>
      <c r="Z29" s="40">
        <v>0</v>
      </c>
      <c r="AA29" s="26" t="s">
        <v>37</v>
      </c>
      <c r="AB29" s="38">
        <f t="shared" si="11"/>
        <v>-0.69</v>
      </c>
      <c r="AC29" s="39">
        <v>7.155195717592594E-2</v>
      </c>
      <c r="AD29" s="37">
        <f t="shared" si="12"/>
        <v>-1.1849004108333334</v>
      </c>
      <c r="AE29" s="37">
        <v>-4.95</v>
      </c>
      <c r="AF29" s="42">
        <v>-6.6222922727272699</v>
      </c>
      <c r="AG29" s="37">
        <v>0</v>
      </c>
    </row>
    <row r="30" spans="1:33" ht="15.75" customHeight="1" x14ac:dyDescent="0.2">
      <c r="A30" s="40" t="s">
        <v>84</v>
      </c>
      <c r="B30" s="26" t="s">
        <v>836</v>
      </c>
      <c r="C30" s="14">
        <f t="shared" si="4"/>
        <v>16.717272727272729</v>
      </c>
      <c r="D30" s="15">
        <v>11</v>
      </c>
      <c r="E30" s="15">
        <v>0</v>
      </c>
      <c r="F30" s="16">
        <v>183.89000000000001</v>
      </c>
      <c r="G30" s="16">
        <v>-4.3899999999999997</v>
      </c>
      <c r="H30" s="29">
        <f t="shared" si="1"/>
        <v>2.3872967534939362E-2</v>
      </c>
      <c r="I30" s="29">
        <f t="shared" si="2"/>
        <v>0.12798480771150952</v>
      </c>
      <c r="J30" s="30">
        <f t="shared" si="5"/>
        <v>23.535126290069488</v>
      </c>
      <c r="K30" s="30">
        <f t="shared" si="3"/>
        <v>2.1395569354608628</v>
      </c>
      <c r="L30" s="15">
        <v>29</v>
      </c>
      <c r="M30" s="31">
        <f t="shared" si="6"/>
        <v>0.37931034482758619</v>
      </c>
      <c r="N30" s="15">
        <v>35</v>
      </c>
      <c r="O30" s="32">
        <f t="shared" ref="O30:P30" si="38">D30/7</f>
        <v>1.5714285714285714</v>
      </c>
      <c r="P30" s="32">
        <f t="shared" si="38"/>
        <v>0</v>
      </c>
      <c r="Q30" s="27">
        <f t="shared" si="8"/>
        <v>22</v>
      </c>
      <c r="R30" s="27"/>
      <c r="S30" s="41">
        <v>1.3835920177383589</v>
      </c>
      <c r="T30" s="26">
        <v>360</v>
      </c>
      <c r="U30" s="34">
        <v>24</v>
      </c>
      <c r="V30" s="35" t="s">
        <v>837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7.155195717592594E-2</v>
      </c>
      <c r="AD30" s="37">
        <f t="shared" si="12"/>
        <v>-1.0861587099305556</v>
      </c>
      <c r="AE30" s="42">
        <v>-4.95</v>
      </c>
      <c r="AF30" s="42">
        <v>-6.6222922727272699</v>
      </c>
      <c r="AG30" s="42">
        <v>0</v>
      </c>
    </row>
    <row r="31" spans="1:33" ht="15.75" customHeight="1" x14ac:dyDescent="0.2">
      <c r="A31" s="40" t="s">
        <v>87</v>
      </c>
      <c r="B31" s="26" t="s">
        <v>836</v>
      </c>
      <c r="C31" s="14">
        <f t="shared" si="4"/>
        <v>16.989999999999998</v>
      </c>
      <c r="D31" s="15">
        <v>9</v>
      </c>
      <c r="E31" s="15">
        <v>0</v>
      </c>
      <c r="F31" s="16">
        <v>152.91</v>
      </c>
      <c r="G31" s="43">
        <v>0</v>
      </c>
      <c r="H31" s="29">
        <f t="shared" si="1"/>
        <v>0</v>
      </c>
      <c r="I31" s="29">
        <f t="shared" si="2"/>
        <v>0.16525398151690529</v>
      </c>
      <c r="J31" s="30">
        <f t="shared" si="5"/>
        <v>25.268986313749988</v>
      </c>
      <c r="K31" s="30">
        <f t="shared" si="3"/>
        <v>2.8076651459722211</v>
      </c>
      <c r="L31" s="15">
        <v>37</v>
      </c>
      <c r="M31" s="31">
        <f t="shared" si="6"/>
        <v>0.24324324324324326</v>
      </c>
      <c r="N31" s="15">
        <v>28</v>
      </c>
      <c r="O31" s="32">
        <f t="shared" ref="O31:P31" si="39">D31/7</f>
        <v>1.2857142857142858</v>
      </c>
      <c r="P31" s="32">
        <f t="shared" si="39"/>
        <v>0</v>
      </c>
      <c r="Q31" s="27">
        <f t="shared" si="8"/>
        <v>21</v>
      </c>
      <c r="R31" s="27"/>
      <c r="S31" s="41">
        <v>1.5408163265306101</v>
      </c>
      <c r="T31" s="40">
        <v>144</v>
      </c>
      <c r="U31" s="22">
        <v>24</v>
      </c>
      <c r="V31" s="1" t="s">
        <v>838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7.155195717592594E-2</v>
      </c>
      <c r="AD31" s="37">
        <f t="shared" si="12"/>
        <v>-0.88867530812500006</v>
      </c>
      <c r="AE31" s="45">
        <v>-4.95</v>
      </c>
      <c r="AF31" s="45">
        <v>-6.5850931531250003</v>
      </c>
      <c r="AG31" s="42">
        <v>0</v>
      </c>
    </row>
    <row r="32" spans="1:33" ht="15.75" customHeight="1" x14ac:dyDescent="0.2">
      <c r="A32" s="40" t="s">
        <v>90</v>
      </c>
      <c r="B32" s="26" t="s">
        <v>836</v>
      </c>
      <c r="C32" s="14">
        <f t="shared" si="4"/>
        <v>16.989999999999998</v>
      </c>
      <c r="D32" s="15">
        <v>9</v>
      </c>
      <c r="E32" s="15">
        <v>0</v>
      </c>
      <c r="F32" s="16">
        <v>152.91</v>
      </c>
      <c r="G32" s="16">
        <v>-0.25</v>
      </c>
      <c r="H32" s="29">
        <f t="shared" si="1"/>
        <v>1.6349486626119939E-3</v>
      </c>
      <c r="I32" s="29">
        <f t="shared" si="2"/>
        <v>0.1614295614239066</v>
      </c>
      <c r="J32" s="30">
        <f t="shared" si="5"/>
        <v>24.68419423732956</v>
      </c>
      <c r="K32" s="30">
        <f t="shared" si="3"/>
        <v>2.7426882485921733</v>
      </c>
      <c r="L32" s="15">
        <v>33</v>
      </c>
      <c r="M32" s="31">
        <f t="shared" si="6"/>
        <v>0.27272727272727271</v>
      </c>
      <c r="N32" s="15">
        <v>17</v>
      </c>
      <c r="O32" s="32">
        <f t="shared" ref="O32:P32" si="40">D32/7</f>
        <v>1.2857142857142858</v>
      </c>
      <c r="P32" s="32">
        <f t="shared" si="40"/>
        <v>0</v>
      </c>
      <c r="Q32" s="27">
        <f t="shared" si="8"/>
        <v>13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1.640117994100295</v>
      </c>
      <c r="T32" s="40">
        <f ca="1">IFERROR(__xludf.DUMMYFUNCTION("IFERROR(VLOOKUP($B$2,IMPORTRANGE(""https://docs.google.com/spreadsheets/d/1KiWZV1ko8G7lnRucBRBd29jj3Be6ltMfljMDqzOkQmI/edit#gid=1381463014"",""Lookup!A:D""),4,FALSE),"""")"),144)</f>
        <v>144</v>
      </c>
      <c r="U32" s="22">
        <f ca="1">IFERROR(__xludf.DUMMYFUNCTION("IFERROR(VLOOKUP($B$2,IMPORTRANGE(""https://docs.google.com/spreadsheets/d/1KiWZV1ko8G7lnRucBRBd29jj3Be6ltMfljMDqzOkQmI/edit#gid=1381463014"",""Lookup!A:D""),3,FALSE),"""")"),24)</f>
        <v>24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- 24 units 08/14")</f>
        <v>| AGL230  - 24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7.155195717592594E-2</v>
      </c>
      <c r="AD32" s="37">
        <f t="shared" si="12"/>
        <v>-0.88867530812500006</v>
      </c>
      <c r="AE32" s="42">
        <v>-4.95</v>
      </c>
      <c r="AF32" s="42">
        <v>-6.6222922727272699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1:33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1:33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1:33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1:33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1:33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1:33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1:33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Info!B1:BJ5000""),3,FALSE),"""")"),"Vinyl Records Holder Shelf, 6 Pack - Metal Black Wall Mount Record Display")</f>
        <v>Vinyl Records Holder Shelf, 6 Pack - Metal Black Wall Mount Record Display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Info!B1:BJ5000""),2,FALSE),"""")"),"B07ZKZBN6R")</f>
        <v>B07ZKZBN6R</v>
      </c>
      <c r="B2" s="3" t="s">
        <v>839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93.75" customHeight="1" x14ac:dyDescent="0.2">
      <c r="A3" s="68" t="s">
        <v>31</v>
      </c>
      <c r="B3" s="69"/>
      <c r="C3" s="48">
        <f>((AE32+AF32)/0.85)*-1</f>
        <v>17.222693647058826</v>
      </c>
      <c r="D3" s="5">
        <f>SUM(D4:D99767)</f>
        <v>408</v>
      </c>
      <c r="E3" s="5"/>
      <c r="F3" s="6">
        <f t="shared" ref="F3:G3" si="0">SUM(F4:F99767)</f>
        <v>10830.28</v>
      </c>
      <c r="G3" s="6">
        <f t="shared" si="0"/>
        <v>-532.25999999999988</v>
      </c>
      <c r="H3" s="7">
        <f t="shared" ref="H3:H32" si="1">G3/F3*-1</f>
        <v>4.9145543790188234E-2</v>
      </c>
      <c r="I3" s="8">
        <f t="shared" ref="I3:I32" si="2">J3/F3</f>
        <v>0.24506975769222572</v>
      </c>
      <c r="J3" s="6">
        <f>SUM(J4:J99767)</f>
        <v>2654.1740953389585</v>
      </c>
      <c r="K3" s="6">
        <f t="shared" ref="K3:K32" si="3">J3/D3</f>
        <v>6.5053286650464672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QTY-180")</f>
        <v>US QTY-180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35</v>
      </c>
      <c r="X3" s="7">
        <f>W3/D3</f>
        <v>8.5784313725490197E-2</v>
      </c>
      <c r="Y3" s="6"/>
      <c r="Z3" s="5"/>
      <c r="AA3" s="5"/>
      <c r="AB3" s="5"/>
      <c r="AC3" s="5"/>
      <c r="AD3" s="6">
        <f>SUM(AD4:AD99767)</f>
        <v>-38.430208418308226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Info!B2:BZ3000""),37,FALSE)),"""")*-1"),-9.6892896)</f>
        <v>-9.6892896000000004</v>
      </c>
      <c r="AG3" s="6">
        <f>SUM(AG4:AG99767)</f>
        <v>-15</v>
      </c>
    </row>
    <row r="4" spans="1:33" x14ac:dyDescent="0.2">
      <c r="A4" s="1" t="s">
        <v>32</v>
      </c>
      <c r="B4" s="2" t="s">
        <v>840</v>
      </c>
      <c r="C4" s="14">
        <f t="shared" ref="C4:C32" si="4">IFERROR(F4/D4," - ")</f>
        <v>32.222222222222229</v>
      </c>
      <c r="D4" s="15">
        <v>18</v>
      </c>
      <c r="E4" s="15">
        <v>0</v>
      </c>
      <c r="F4" s="16">
        <v>580.00000000000011</v>
      </c>
      <c r="G4" s="16">
        <v>-0.44</v>
      </c>
      <c r="H4" s="17">
        <f t="shared" si="1"/>
        <v>7.5862068965517227E-4</v>
      </c>
      <c r="I4" s="17">
        <f t="shared" si="2"/>
        <v>0.3951741923076923</v>
      </c>
      <c r="J4" s="16">
        <f t="shared" ref="J4:J32" si="5">F4*0.85+G4+AF4*D4+D4*AE4+AG4+AD4</f>
        <v>229.20103153846156</v>
      </c>
      <c r="K4" s="16">
        <f t="shared" si="3"/>
        <v>12.733390641025643</v>
      </c>
      <c r="L4" s="15">
        <v>76</v>
      </c>
      <c r="M4" s="18">
        <f t="shared" ref="M4:M32" si="6">IFERROR(D4/L4,"-")</f>
        <v>0.23684210526315788</v>
      </c>
      <c r="N4" s="15">
        <v>164</v>
      </c>
      <c r="O4" s="19">
        <f t="shared" ref="O4:P4" si="7">D4/7</f>
        <v>2.5714285714285716</v>
      </c>
      <c r="P4" s="19">
        <f t="shared" si="7"/>
        <v>0</v>
      </c>
      <c r="Q4" s="15">
        <f t="shared" ref="Q4:Q32" si="8">ROUNDDOWN(N4/(O4+P4),0)</f>
        <v>63</v>
      </c>
      <c r="R4" s="15"/>
      <c r="S4" s="20">
        <v>1.43292682926829</v>
      </c>
      <c r="T4" s="2">
        <v>400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6.8250000000000005E-2</v>
      </c>
      <c r="AD4" s="24">
        <f t="shared" ref="AD4:AD32" si="12">IFERROR(AB4*AC4*D4*2,0)</f>
        <v>-1.69533</v>
      </c>
      <c r="AE4" s="24">
        <v>-4.9000000000000004</v>
      </c>
      <c r="AF4" s="24">
        <v>-9.636868803418805</v>
      </c>
      <c r="AG4" s="24">
        <v>0</v>
      </c>
    </row>
    <row r="5" spans="1:33" ht="15.75" customHeight="1" x14ac:dyDescent="0.2">
      <c r="A5" s="26" t="s">
        <v>35</v>
      </c>
      <c r="B5" s="26" t="s">
        <v>46</v>
      </c>
      <c r="C5" s="14">
        <f t="shared" si="4"/>
        <v>29.990000000000006</v>
      </c>
      <c r="D5" s="27">
        <v>25</v>
      </c>
      <c r="E5" s="27">
        <v>0</v>
      </c>
      <c r="F5" s="28">
        <v>749.75000000000011</v>
      </c>
      <c r="G5" s="28">
        <v>-0.1</v>
      </c>
      <c r="H5" s="29">
        <f t="shared" si="1"/>
        <v>1.3337779259753251E-4</v>
      </c>
      <c r="I5" s="29">
        <f t="shared" si="2"/>
        <v>0.36199856818435705</v>
      </c>
      <c r="J5" s="30">
        <f t="shared" si="5"/>
        <v>271.40842649622175</v>
      </c>
      <c r="K5" s="30">
        <f t="shared" si="3"/>
        <v>10.856337059848871</v>
      </c>
      <c r="L5" s="27">
        <v>142</v>
      </c>
      <c r="M5" s="31">
        <f t="shared" si="6"/>
        <v>0.176056338028169</v>
      </c>
      <c r="N5" s="27">
        <v>210</v>
      </c>
      <c r="O5" s="32">
        <f t="shared" ref="O5:P5" si="13">D5/7</f>
        <v>3.5714285714285716</v>
      </c>
      <c r="P5" s="32">
        <f t="shared" si="13"/>
        <v>0</v>
      </c>
      <c r="Q5" s="27">
        <f t="shared" si="8"/>
        <v>58</v>
      </c>
      <c r="R5" s="27"/>
      <c r="S5" s="33">
        <v>1.4229508196721301</v>
      </c>
      <c r="T5" s="26">
        <v>400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6.832908458864427E-2</v>
      </c>
      <c r="AD5" s="37">
        <f t="shared" si="12"/>
        <v>-2.357353418308227</v>
      </c>
      <c r="AE5" s="37">
        <v>-4.9000000000000004</v>
      </c>
      <c r="AF5" s="37">
        <v>-9.636868803418805</v>
      </c>
      <c r="AG5" s="37">
        <v>0</v>
      </c>
    </row>
    <row r="6" spans="1:33" ht="15.75" customHeight="1" x14ac:dyDescent="0.2">
      <c r="A6" s="26" t="s">
        <v>38</v>
      </c>
      <c r="B6" s="26" t="s">
        <v>46</v>
      </c>
      <c r="C6" s="14">
        <f t="shared" si="4"/>
        <v>29.990000000000006</v>
      </c>
      <c r="D6" s="27">
        <v>30</v>
      </c>
      <c r="E6" s="27">
        <v>0</v>
      </c>
      <c r="F6" s="28">
        <v>899.70000000000016</v>
      </c>
      <c r="G6" s="28">
        <v>-0.16</v>
      </c>
      <c r="H6" s="29">
        <f t="shared" si="1"/>
        <v>1.7783705679670999E-4</v>
      </c>
      <c r="I6" s="29">
        <f t="shared" si="2"/>
        <v>0.36195774802427022</v>
      </c>
      <c r="J6" s="30">
        <f t="shared" si="5"/>
        <v>325.65338589743595</v>
      </c>
      <c r="K6" s="30">
        <f t="shared" si="3"/>
        <v>10.855112863247864</v>
      </c>
      <c r="L6" s="27">
        <v>121</v>
      </c>
      <c r="M6" s="31">
        <f t="shared" si="6"/>
        <v>0.24793388429752067</v>
      </c>
      <c r="N6" s="27">
        <v>183</v>
      </c>
      <c r="O6" s="32">
        <f t="shared" ref="O6:P6" si="14">D6/7</f>
        <v>4.2857142857142856</v>
      </c>
      <c r="P6" s="32">
        <f t="shared" si="14"/>
        <v>0</v>
      </c>
      <c r="Q6" s="27">
        <f t="shared" si="8"/>
        <v>42</v>
      </c>
      <c r="R6" s="27"/>
      <c r="S6" s="33">
        <v>1.8113207547169801</v>
      </c>
      <c r="T6" s="26">
        <v>576</v>
      </c>
      <c r="U6" s="34">
        <v>576</v>
      </c>
      <c r="V6" s="35" t="s">
        <v>841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6.8250000000000005E-2</v>
      </c>
      <c r="AD6" s="37">
        <f t="shared" si="12"/>
        <v>-2.8255500000000002</v>
      </c>
      <c r="AE6" s="37">
        <v>-4.9000000000000004</v>
      </c>
      <c r="AF6" s="37">
        <v>-9.636868803418805</v>
      </c>
      <c r="AG6" s="37">
        <v>0</v>
      </c>
    </row>
    <row r="7" spans="1:33" ht="15.75" customHeight="1" x14ac:dyDescent="0.2">
      <c r="A7" s="26" t="s">
        <v>41</v>
      </c>
      <c r="B7" s="26" t="s">
        <v>842</v>
      </c>
      <c r="C7" s="14">
        <f t="shared" si="4"/>
        <v>29.990000000000006</v>
      </c>
      <c r="D7" s="27">
        <v>28</v>
      </c>
      <c r="E7" s="27">
        <v>0</v>
      </c>
      <c r="F7" s="28">
        <v>839.72000000000014</v>
      </c>
      <c r="G7" s="28">
        <v>-0.44000000000000006</v>
      </c>
      <c r="H7" s="29">
        <f t="shared" si="1"/>
        <v>5.2398418520459202E-4</v>
      </c>
      <c r="I7" s="29">
        <f t="shared" si="2"/>
        <v>0.36161160089586214</v>
      </c>
      <c r="J7" s="30">
        <f t="shared" si="5"/>
        <v>303.65249350427342</v>
      </c>
      <c r="K7" s="30">
        <f t="shared" si="3"/>
        <v>10.844731910866908</v>
      </c>
      <c r="L7" s="27">
        <v>151</v>
      </c>
      <c r="M7" s="31">
        <f t="shared" si="6"/>
        <v>0.18543046357615894</v>
      </c>
      <c r="N7" s="27">
        <v>152</v>
      </c>
      <c r="O7" s="32">
        <f t="shared" ref="O7:P7" si="15">D7/7</f>
        <v>4</v>
      </c>
      <c r="P7" s="32">
        <f t="shared" si="15"/>
        <v>0</v>
      </c>
      <c r="Q7" s="27">
        <f t="shared" si="8"/>
        <v>38</v>
      </c>
      <c r="R7" s="27"/>
      <c r="S7" s="33">
        <v>1.9626168224299001</v>
      </c>
      <c r="T7" s="26">
        <v>576</v>
      </c>
      <c r="U7" s="34">
        <v>576</v>
      </c>
      <c r="V7" s="35" t="s">
        <v>841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6.8250000000000005E-2</v>
      </c>
      <c r="AD7" s="37">
        <f t="shared" si="12"/>
        <v>-2.6371800000000003</v>
      </c>
      <c r="AE7" s="37">
        <v>-4.9000000000000004</v>
      </c>
      <c r="AF7" s="37">
        <v>-9.636868803418805</v>
      </c>
      <c r="AG7" s="37">
        <v>0</v>
      </c>
    </row>
    <row r="8" spans="1:33" ht="15.75" customHeight="1" x14ac:dyDescent="0.2">
      <c r="A8" s="26" t="s">
        <v>43</v>
      </c>
      <c r="B8" s="26" t="s">
        <v>46</v>
      </c>
      <c r="C8" s="14">
        <f t="shared" si="4"/>
        <v>29.990000000000006</v>
      </c>
      <c r="D8" s="27">
        <v>43</v>
      </c>
      <c r="E8" s="27">
        <v>0</v>
      </c>
      <c r="F8" s="28">
        <v>1289.5700000000002</v>
      </c>
      <c r="G8" s="28">
        <v>-0.18</v>
      </c>
      <c r="H8" s="29">
        <f t="shared" si="1"/>
        <v>1.3958141085788285E-4</v>
      </c>
      <c r="I8" s="29">
        <f t="shared" si="2"/>
        <v>0.36189159564816176</v>
      </c>
      <c r="J8" s="30">
        <f t="shared" si="5"/>
        <v>466.68454500000001</v>
      </c>
      <c r="K8" s="30">
        <f t="shared" si="3"/>
        <v>10.853128953488373</v>
      </c>
      <c r="L8" s="27">
        <v>112</v>
      </c>
      <c r="M8" s="31">
        <f t="shared" si="6"/>
        <v>0.38392857142857145</v>
      </c>
      <c r="N8" s="27">
        <v>109</v>
      </c>
      <c r="O8" s="32">
        <f t="shared" ref="O8:P8" si="16">D8/7</f>
        <v>6.1428571428571432</v>
      </c>
      <c r="P8" s="32">
        <f t="shared" si="16"/>
        <v>0</v>
      </c>
      <c r="Q8" s="27">
        <f t="shared" si="8"/>
        <v>17</v>
      </c>
      <c r="R8" s="27"/>
      <c r="S8" s="33">
        <v>1.6094276094276001</v>
      </c>
      <c r="T8" s="26">
        <v>576</v>
      </c>
      <c r="U8" s="34">
        <v>576</v>
      </c>
      <c r="V8" s="35" t="s">
        <v>841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6.8250000000000005E-2</v>
      </c>
      <c r="AD8" s="37">
        <f t="shared" si="12"/>
        <v>-4.0499550000000006</v>
      </c>
      <c r="AE8" s="37">
        <v>-4.9000000000000004</v>
      </c>
      <c r="AF8" s="37">
        <v>-9.64</v>
      </c>
      <c r="AG8" s="37">
        <v>0</v>
      </c>
    </row>
    <row r="9" spans="1:33" ht="15.75" customHeight="1" x14ac:dyDescent="0.2">
      <c r="A9" s="26" t="s">
        <v>45</v>
      </c>
      <c r="B9" s="26" t="s">
        <v>843</v>
      </c>
      <c r="C9" s="14">
        <f t="shared" si="4"/>
        <v>29.469090909090916</v>
      </c>
      <c r="D9" s="27">
        <v>33</v>
      </c>
      <c r="E9" s="27">
        <v>0</v>
      </c>
      <c r="F9" s="28">
        <v>972.48000000000025</v>
      </c>
      <c r="G9" s="28">
        <v>-0.23</v>
      </c>
      <c r="H9" s="29">
        <f t="shared" si="1"/>
        <v>2.3650871997367551E-4</v>
      </c>
      <c r="I9" s="29">
        <f t="shared" si="2"/>
        <v>0.35017508381953438</v>
      </c>
      <c r="J9" s="30">
        <f t="shared" si="5"/>
        <v>340.53826551282089</v>
      </c>
      <c r="K9" s="30">
        <f t="shared" si="3"/>
        <v>10.319341379176391</v>
      </c>
      <c r="L9" s="27">
        <v>122</v>
      </c>
      <c r="M9" s="31">
        <f t="shared" si="6"/>
        <v>0.27049180327868855</v>
      </c>
      <c r="N9" s="27">
        <v>75</v>
      </c>
      <c r="O9" s="32">
        <f t="shared" ref="O9:P9" si="17">D9/7</f>
        <v>4.7142857142857144</v>
      </c>
      <c r="P9" s="32">
        <f t="shared" si="17"/>
        <v>0</v>
      </c>
      <c r="Q9" s="27">
        <f t="shared" si="8"/>
        <v>15</v>
      </c>
      <c r="R9" s="27"/>
      <c r="S9" s="33">
        <v>1.74305555555555</v>
      </c>
      <c r="T9" s="26">
        <v>576</v>
      </c>
      <c r="U9" s="34">
        <v>576</v>
      </c>
      <c r="V9" s="35" t="s">
        <v>844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6.8250000000000005E-2</v>
      </c>
      <c r="AD9" s="37">
        <f t="shared" si="12"/>
        <v>-3.1081050000000001</v>
      </c>
      <c r="AE9" s="37">
        <v>-4.9000000000000004</v>
      </c>
      <c r="AF9" s="37">
        <v>-9.7282311965811896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32.929375</v>
      </c>
      <c r="D10" s="27">
        <v>16</v>
      </c>
      <c r="E10" s="27">
        <v>0</v>
      </c>
      <c r="F10" s="28">
        <v>526.87</v>
      </c>
      <c r="G10" s="28">
        <v>-0.16</v>
      </c>
      <c r="H10" s="29">
        <f t="shared" si="1"/>
        <v>3.0368022472336629E-4</v>
      </c>
      <c r="I10" s="29">
        <f t="shared" si="2"/>
        <v>0.40260565387040614</v>
      </c>
      <c r="J10" s="30">
        <f t="shared" si="5"/>
        <v>212.1208408547009</v>
      </c>
      <c r="K10" s="30">
        <f t="shared" si="3"/>
        <v>13.257552553418806</v>
      </c>
      <c r="L10" s="27">
        <v>81</v>
      </c>
      <c r="M10" s="31">
        <f t="shared" si="6"/>
        <v>0.19753086419753085</v>
      </c>
      <c r="N10" s="27">
        <v>53</v>
      </c>
      <c r="O10" s="32">
        <f t="shared" ref="O10:P10" si="18">D10/7</f>
        <v>2.2857142857142856</v>
      </c>
      <c r="P10" s="32">
        <f t="shared" si="18"/>
        <v>0</v>
      </c>
      <c r="Q10" s="27">
        <f t="shared" si="8"/>
        <v>23</v>
      </c>
      <c r="R10" s="27"/>
      <c r="S10" s="33">
        <v>2.3944315545243602</v>
      </c>
      <c r="T10" s="26">
        <v>576</v>
      </c>
      <c r="U10" s="34">
        <v>576</v>
      </c>
      <c r="V10" s="35" t="s">
        <v>844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6.8250000000000005E-2</v>
      </c>
      <c r="AD10" s="37">
        <f t="shared" si="12"/>
        <v>-1.5069600000000001</v>
      </c>
      <c r="AE10" s="37">
        <v>-4.9000000000000004</v>
      </c>
      <c r="AF10" s="37">
        <v>-9.7282311965811896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32.092500000000001</v>
      </c>
      <c r="D11" s="27">
        <v>8</v>
      </c>
      <c r="E11" s="27">
        <v>0</v>
      </c>
      <c r="F11" s="28">
        <v>256.74</v>
      </c>
      <c r="G11" s="28">
        <v>-0.16</v>
      </c>
      <c r="H11" s="29">
        <f t="shared" si="1"/>
        <v>6.2319856664329668E-4</v>
      </c>
      <c r="I11" s="29">
        <f t="shared" si="2"/>
        <v>0.39062736787158403</v>
      </c>
      <c r="J11" s="30">
        <f t="shared" si="5"/>
        <v>100.28967042735049</v>
      </c>
      <c r="K11" s="30">
        <f t="shared" si="3"/>
        <v>12.536208803418811</v>
      </c>
      <c r="L11" s="27">
        <v>50</v>
      </c>
      <c r="M11" s="31">
        <f t="shared" si="6"/>
        <v>0.16</v>
      </c>
      <c r="N11" s="27">
        <v>44</v>
      </c>
      <c r="O11" s="32">
        <f t="shared" ref="O11:P11" si="19">D11/7</f>
        <v>1.1428571428571428</v>
      </c>
      <c r="P11" s="32">
        <f t="shared" si="19"/>
        <v>0</v>
      </c>
      <c r="Q11" s="27">
        <f t="shared" si="8"/>
        <v>38</v>
      </c>
      <c r="R11" s="27"/>
      <c r="S11" s="33">
        <v>2.4905660377358401</v>
      </c>
      <c r="T11" s="26">
        <v>576</v>
      </c>
      <c r="U11" s="34" t="s">
        <v>34</v>
      </c>
      <c r="V11" s="35" t="s">
        <v>845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6.8250000000000005E-2</v>
      </c>
      <c r="AD11" s="37">
        <f t="shared" si="12"/>
        <v>-0.75348000000000004</v>
      </c>
      <c r="AE11" s="37">
        <v>-4.9000000000000004</v>
      </c>
      <c r="AF11" s="37">
        <v>-9.7282311965811896</v>
      </c>
      <c r="AG11" s="37">
        <v>0</v>
      </c>
    </row>
    <row r="12" spans="1:33" ht="15.75" customHeight="1" x14ac:dyDescent="0.2">
      <c r="A12" s="26" t="s">
        <v>52</v>
      </c>
      <c r="B12" s="26" t="s">
        <v>769</v>
      </c>
      <c r="C12" s="14">
        <f t="shared" si="4"/>
        <v>32.825833333333328</v>
      </c>
      <c r="D12" s="27">
        <v>12</v>
      </c>
      <c r="E12" s="27">
        <v>0</v>
      </c>
      <c r="F12" s="28">
        <v>393.90999999999997</v>
      </c>
      <c r="G12" s="28">
        <v>-0.11</v>
      </c>
      <c r="H12" s="29">
        <f t="shared" si="1"/>
        <v>2.7925160569673279E-4</v>
      </c>
      <c r="I12" s="29">
        <f t="shared" si="2"/>
        <v>0.40121983610729778</v>
      </c>
      <c r="J12" s="30">
        <f t="shared" si="5"/>
        <v>158.04450564102567</v>
      </c>
      <c r="K12" s="30">
        <f t="shared" si="3"/>
        <v>13.170375470085473</v>
      </c>
      <c r="L12" s="27">
        <v>58</v>
      </c>
      <c r="M12" s="31">
        <f t="shared" si="6"/>
        <v>0.20689655172413793</v>
      </c>
      <c r="N12" s="27">
        <v>31</v>
      </c>
      <c r="O12" s="32">
        <f t="shared" ref="O12:P12" si="20">D12/7</f>
        <v>1.7142857142857142</v>
      </c>
      <c r="P12" s="32">
        <f t="shared" si="20"/>
        <v>0</v>
      </c>
      <c r="Q12" s="27">
        <f t="shared" si="8"/>
        <v>18</v>
      </c>
      <c r="R12" s="27"/>
      <c r="S12" s="33">
        <v>1.8110749185667701</v>
      </c>
      <c r="T12" s="26">
        <v>576</v>
      </c>
      <c r="U12" s="34">
        <v>576</v>
      </c>
      <c r="V12" s="35" t="s">
        <v>846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6.8250000000000005E-2</v>
      </c>
      <c r="AD12" s="37">
        <f t="shared" si="12"/>
        <v>-1.13022</v>
      </c>
      <c r="AE12" s="37">
        <v>-4.9000000000000004</v>
      </c>
      <c r="AF12" s="37">
        <v>-9.7282311965811896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33.558888888888895</v>
      </c>
      <c r="D13" s="27">
        <v>9</v>
      </c>
      <c r="E13" s="27">
        <v>0</v>
      </c>
      <c r="F13" s="30">
        <v>302.03000000000003</v>
      </c>
      <c r="G13" s="28">
        <v>0</v>
      </c>
      <c r="H13" s="29">
        <f t="shared" si="1"/>
        <v>0</v>
      </c>
      <c r="I13" s="29">
        <f t="shared" si="2"/>
        <v>0.40986320895275319</v>
      </c>
      <c r="J13" s="30">
        <f t="shared" si="5"/>
        <v>123.79098500000006</v>
      </c>
      <c r="K13" s="30">
        <f t="shared" si="3"/>
        <v>13.754553888888896</v>
      </c>
      <c r="L13" s="27">
        <v>34</v>
      </c>
      <c r="M13" s="31">
        <f t="shared" si="6"/>
        <v>0.26470588235294118</v>
      </c>
      <c r="N13" s="27">
        <v>21</v>
      </c>
      <c r="O13" s="32">
        <f t="shared" ref="O13:P13" si="21">D13/7</f>
        <v>1.2857142857142858</v>
      </c>
      <c r="P13" s="32">
        <f t="shared" si="21"/>
        <v>0</v>
      </c>
      <c r="Q13" s="27">
        <f t="shared" si="8"/>
        <v>16</v>
      </c>
      <c r="R13" s="27"/>
      <c r="S13" s="33">
        <v>1.88717948717948</v>
      </c>
      <c r="T13" s="26">
        <v>576</v>
      </c>
      <c r="U13" s="34">
        <v>576</v>
      </c>
      <c r="V13" s="35" t="s">
        <v>847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6.8250000000000005E-2</v>
      </c>
      <c r="AD13" s="37">
        <f t="shared" si="12"/>
        <v>-0.847665</v>
      </c>
      <c r="AE13" s="37">
        <v>-4.9000000000000004</v>
      </c>
      <c r="AF13" s="37">
        <v>-9.7763166666666592</v>
      </c>
      <c r="AG13" s="37">
        <v>0</v>
      </c>
    </row>
    <row r="14" spans="1:33" ht="15.75" customHeight="1" x14ac:dyDescent="0.2">
      <c r="A14" s="26" t="s">
        <v>56</v>
      </c>
      <c r="B14" s="26" t="s">
        <v>848</v>
      </c>
      <c r="C14" s="14">
        <f t="shared" si="4"/>
        <v>33.325833333333343</v>
      </c>
      <c r="D14" s="27">
        <v>12</v>
      </c>
      <c r="E14" s="27">
        <v>0</v>
      </c>
      <c r="F14" s="30">
        <v>399.91000000000008</v>
      </c>
      <c r="G14" s="28">
        <v>-0.22</v>
      </c>
      <c r="H14" s="29">
        <f t="shared" si="1"/>
        <v>5.5012377785001619E-4</v>
      </c>
      <c r="I14" s="29">
        <f t="shared" si="2"/>
        <v>0.40623510289815223</v>
      </c>
      <c r="J14" s="30">
        <f t="shared" si="5"/>
        <v>162.45748000000009</v>
      </c>
      <c r="K14" s="30">
        <f t="shared" si="3"/>
        <v>13.53812333333334</v>
      </c>
      <c r="L14" s="27">
        <v>37</v>
      </c>
      <c r="M14" s="31">
        <f t="shared" si="6"/>
        <v>0.32432432432432434</v>
      </c>
      <c r="N14" s="27">
        <v>10</v>
      </c>
      <c r="O14" s="32">
        <f t="shared" ref="O14:P14" si="22">D14/7</f>
        <v>1.7142857142857142</v>
      </c>
      <c r="P14" s="32">
        <f t="shared" si="22"/>
        <v>0</v>
      </c>
      <c r="Q14" s="27">
        <f t="shared" si="8"/>
        <v>5</v>
      </c>
      <c r="R14" s="27"/>
      <c r="S14" s="33">
        <v>2.0381679389312901</v>
      </c>
      <c r="T14" s="26">
        <v>840</v>
      </c>
      <c r="U14" s="34">
        <v>576</v>
      </c>
      <c r="V14" s="35" t="s">
        <v>847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6.8250000000000005E-2</v>
      </c>
      <c r="AD14" s="37">
        <f t="shared" si="12"/>
        <v>-1.13022</v>
      </c>
      <c r="AE14" s="37">
        <v>-4.9000000000000004</v>
      </c>
      <c r="AF14" s="37">
        <v>-9.7763166666666592</v>
      </c>
      <c r="AG14" s="37">
        <v>0</v>
      </c>
    </row>
    <row r="15" spans="1:33" ht="15.75" customHeight="1" x14ac:dyDescent="0.2">
      <c r="A15" s="26" t="s">
        <v>58</v>
      </c>
      <c r="B15" s="26" t="s">
        <v>849</v>
      </c>
      <c r="C15" s="14">
        <f t="shared" si="4"/>
        <v>32.99</v>
      </c>
      <c r="D15" s="27">
        <v>1</v>
      </c>
      <c r="E15" s="27">
        <v>0</v>
      </c>
      <c r="F15" s="30">
        <v>32.99</v>
      </c>
      <c r="G15" s="28">
        <v>-0.08</v>
      </c>
      <c r="H15" s="29">
        <f t="shared" si="1"/>
        <v>2.4249772658381328E-3</v>
      </c>
      <c r="I15" s="29">
        <f t="shared" si="2"/>
        <v>0.39984838840052567</v>
      </c>
      <c r="J15" s="30">
        <f t="shared" si="5"/>
        <v>13.190998333333342</v>
      </c>
      <c r="K15" s="30">
        <f t="shared" si="3"/>
        <v>13.190998333333342</v>
      </c>
      <c r="L15" s="27">
        <v>36</v>
      </c>
      <c r="M15" s="31">
        <f t="shared" si="6"/>
        <v>2.7777777777777776E-2</v>
      </c>
      <c r="N15" s="27">
        <v>6</v>
      </c>
      <c r="O15" s="32">
        <f t="shared" ref="O15:P15" si="23">D15/7</f>
        <v>0.14285714285714285</v>
      </c>
      <c r="P15" s="32">
        <f t="shared" si="23"/>
        <v>0</v>
      </c>
      <c r="Q15" s="27">
        <f t="shared" si="8"/>
        <v>42</v>
      </c>
      <c r="R15" s="27"/>
      <c r="S15" s="33">
        <v>2.20842572062084</v>
      </c>
      <c r="T15" s="26">
        <v>840</v>
      </c>
      <c r="U15" s="34">
        <v>576</v>
      </c>
      <c r="V15" s="35" t="s">
        <v>850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6.8250000000000005E-2</v>
      </c>
      <c r="AD15" s="37">
        <f t="shared" si="12"/>
        <v>-9.4185000000000005E-2</v>
      </c>
      <c r="AE15" s="37">
        <v>-4.9000000000000004</v>
      </c>
      <c r="AF15" s="37">
        <v>-9.7763166666666592</v>
      </c>
      <c r="AG15" s="37">
        <v>0</v>
      </c>
    </row>
    <row r="16" spans="1:33" ht="15.75" customHeight="1" x14ac:dyDescent="0.2">
      <c r="A16" s="26" t="s">
        <v>60</v>
      </c>
      <c r="B16" s="26" t="s">
        <v>76</v>
      </c>
      <c r="C16" s="14">
        <f t="shared" si="4"/>
        <v>27.175999999999998</v>
      </c>
      <c r="D16" s="27">
        <v>5</v>
      </c>
      <c r="E16" s="27">
        <v>0</v>
      </c>
      <c r="F16" s="30">
        <v>135.88</v>
      </c>
      <c r="G16" s="28">
        <v>0</v>
      </c>
      <c r="H16" s="29">
        <f t="shared" si="1"/>
        <v>0</v>
      </c>
      <c r="I16" s="29">
        <f t="shared" si="2"/>
        <v>0.3064872804435288</v>
      </c>
      <c r="J16" s="30">
        <f t="shared" si="5"/>
        <v>41.645491666666693</v>
      </c>
      <c r="K16" s="30">
        <f t="shared" si="3"/>
        <v>8.3290983333333379</v>
      </c>
      <c r="L16" s="27">
        <v>31</v>
      </c>
      <c r="M16" s="31">
        <f t="shared" si="6"/>
        <v>0.16129032258064516</v>
      </c>
      <c r="N16" s="27">
        <v>0</v>
      </c>
      <c r="O16" s="32">
        <f t="shared" ref="O16:P16" si="24">D16/7</f>
        <v>0.7142857142857143</v>
      </c>
      <c r="P16" s="32">
        <f t="shared" si="24"/>
        <v>0</v>
      </c>
      <c r="Q16" s="27">
        <f t="shared" si="8"/>
        <v>0</v>
      </c>
      <c r="R16" s="27"/>
      <c r="S16" s="33" t="e">
        <v>#N/A</v>
      </c>
      <c r="T16" s="26">
        <v>840</v>
      </c>
      <c r="U16" s="34">
        <v>576</v>
      </c>
      <c r="V16" s="35" t="s">
        <v>851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6.8250000000000005E-2</v>
      </c>
      <c r="AD16" s="37">
        <f t="shared" si="12"/>
        <v>-0.47092500000000004</v>
      </c>
      <c r="AE16" s="37">
        <v>-4.9000000000000004</v>
      </c>
      <c r="AF16" s="37">
        <v>-9.7763166666666592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840</v>
      </c>
      <c r="U17" s="34">
        <v>576</v>
      </c>
      <c r="V17" s="35" t="s">
        <v>851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e">
        <v>#N/A</v>
      </c>
      <c r="AB17" s="38" t="e">
        <f t="shared" si="11"/>
        <v>#N/A</v>
      </c>
      <c r="AC17" s="39" t="e">
        <v>#N/A</v>
      </c>
      <c r="AD17" s="37">
        <f t="shared" si="12"/>
        <v>0</v>
      </c>
      <c r="AE17" s="37">
        <v>0</v>
      </c>
      <c r="AF17" s="37">
        <v>-9.7763166666666592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840</v>
      </c>
      <c r="U18" s="34">
        <v>576</v>
      </c>
      <c r="V18" s="35" t="s">
        <v>851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-9.7763166666666592</v>
      </c>
      <c r="AG18" s="37">
        <v>0</v>
      </c>
    </row>
    <row r="19" spans="1:33" ht="15.75" customHeight="1" x14ac:dyDescent="0.2">
      <c r="A19" s="26" t="s">
        <v>64</v>
      </c>
      <c r="B19" s="26" t="s">
        <v>728</v>
      </c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396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264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6.8250000000000005E-2</v>
      </c>
      <c r="AD19" s="37">
        <f t="shared" si="12"/>
        <v>0</v>
      </c>
      <c r="AE19" s="37">
        <v>-4.9000000000000004</v>
      </c>
      <c r="AF19" s="37">
        <v>-9.7763166666666681</v>
      </c>
      <c r="AG19" s="37">
        <v>0</v>
      </c>
    </row>
    <row r="20" spans="1:33" ht="15.75" customHeight="1" x14ac:dyDescent="0.2">
      <c r="A20" s="26" t="s">
        <v>65</v>
      </c>
      <c r="B20" s="26" t="s">
        <v>852</v>
      </c>
      <c r="C20" s="14">
        <f t="shared" si="4"/>
        <v>28.204999999999998</v>
      </c>
      <c r="D20" s="27">
        <v>2</v>
      </c>
      <c r="E20" s="27">
        <v>0</v>
      </c>
      <c r="F20" s="30">
        <v>56.41</v>
      </c>
      <c r="G20" s="28">
        <v>-0.08</v>
      </c>
      <c r="H20" s="29">
        <f t="shared" si="1"/>
        <v>1.4181882644921115E-3</v>
      </c>
      <c r="I20" s="29">
        <f t="shared" si="2"/>
        <v>0.32489800862731189</v>
      </c>
      <c r="J20" s="30">
        <f t="shared" si="5"/>
        <v>18.327496666666661</v>
      </c>
      <c r="K20" s="30">
        <f t="shared" si="3"/>
        <v>9.1637483333333307</v>
      </c>
      <c r="L20" s="27">
        <v>12</v>
      </c>
      <c r="M20" s="31">
        <f t="shared" si="6"/>
        <v>0.16666666666666666</v>
      </c>
      <c r="N20" s="27">
        <v>395</v>
      </c>
      <c r="O20" s="32">
        <f t="shared" ref="O20:P20" si="28">D20/7</f>
        <v>0.2857142857142857</v>
      </c>
      <c r="P20" s="32">
        <f t="shared" si="28"/>
        <v>0</v>
      </c>
      <c r="Q20" s="27">
        <f t="shared" si="8"/>
        <v>1382</v>
      </c>
      <c r="R20" s="27"/>
      <c r="S20" s="33">
        <v>1</v>
      </c>
      <c r="T20" s="26">
        <v>264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6.8250000000000005E-2</v>
      </c>
      <c r="AD20" s="37">
        <f t="shared" si="12"/>
        <v>-0.18837000000000001</v>
      </c>
      <c r="AE20" s="37">
        <v>-4.9000000000000004</v>
      </c>
      <c r="AF20" s="37">
        <v>-9.7763166666666681</v>
      </c>
      <c r="AG20" s="37">
        <v>0</v>
      </c>
    </row>
    <row r="21" spans="1:33" ht="15.75" customHeight="1" x14ac:dyDescent="0.2">
      <c r="A21" s="26" t="s">
        <v>66</v>
      </c>
      <c r="B21" s="26" t="s">
        <v>853</v>
      </c>
      <c r="C21" s="14">
        <f t="shared" si="4"/>
        <v>27.490000000000002</v>
      </c>
      <c r="D21" s="27">
        <v>2</v>
      </c>
      <c r="E21" s="27">
        <v>0</v>
      </c>
      <c r="F21" s="30">
        <v>54.980000000000004</v>
      </c>
      <c r="G21" s="28">
        <v>0</v>
      </c>
      <c r="H21" s="29">
        <f t="shared" si="1"/>
        <v>0</v>
      </c>
      <c r="I21" s="29">
        <f t="shared" si="2"/>
        <v>0.31269546501758216</v>
      </c>
      <c r="J21" s="30">
        <f t="shared" si="5"/>
        <v>17.191996666666668</v>
      </c>
      <c r="K21" s="30">
        <f t="shared" si="3"/>
        <v>8.5959983333333341</v>
      </c>
      <c r="L21" s="27">
        <v>5</v>
      </c>
      <c r="M21" s="31">
        <f t="shared" si="6"/>
        <v>0.4</v>
      </c>
      <c r="N21" s="27">
        <v>354</v>
      </c>
      <c r="O21" s="32">
        <f t="shared" ref="O21:P21" si="29">D21/7</f>
        <v>0.2857142857142857</v>
      </c>
      <c r="P21" s="32">
        <f t="shared" si="29"/>
        <v>0</v>
      </c>
      <c r="Q21" s="27">
        <f t="shared" si="8"/>
        <v>1239</v>
      </c>
      <c r="R21" s="27"/>
      <c r="S21" s="33">
        <v>0.87766990291262104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6.8250000000000005E-2</v>
      </c>
      <c r="AD21" s="37">
        <f t="shared" si="12"/>
        <v>-0.18837000000000001</v>
      </c>
      <c r="AE21" s="37">
        <v>-4.9000000000000004</v>
      </c>
      <c r="AF21" s="37">
        <v>-9.7763166666666681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22.988461538461539</v>
      </c>
      <c r="D22" s="27">
        <v>13</v>
      </c>
      <c r="E22" s="27">
        <v>0</v>
      </c>
      <c r="F22" s="28">
        <v>298.85000000000002</v>
      </c>
      <c r="G22" s="28">
        <v>-40.249999999999993</v>
      </c>
      <c r="H22" s="29">
        <f t="shared" si="1"/>
        <v>0.13468295131336788</v>
      </c>
      <c r="I22" s="29">
        <f t="shared" si="2"/>
        <v>7.2798990574981834E-2</v>
      </c>
      <c r="J22" s="30">
        <f t="shared" si="5"/>
        <v>21.755978333333321</v>
      </c>
      <c r="K22" s="30">
        <f t="shared" si="3"/>
        <v>1.6735367948717939</v>
      </c>
      <c r="L22" s="27">
        <v>40</v>
      </c>
      <c r="M22" s="31">
        <f t="shared" si="6"/>
        <v>0.32500000000000001</v>
      </c>
      <c r="N22" s="27">
        <v>376</v>
      </c>
      <c r="O22" s="32">
        <f t="shared" ref="O22:P22" si="30">D22/7</f>
        <v>1.8571428571428572</v>
      </c>
      <c r="P22" s="32">
        <f t="shared" si="30"/>
        <v>0</v>
      </c>
      <c r="Q22" s="27">
        <f t="shared" si="8"/>
        <v>202</v>
      </c>
      <c r="R22" s="27"/>
      <c r="S22" s="33">
        <v>0.73770491803278604</v>
      </c>
      <c r="T22" s="26" t="s">
        <v>34</v>
      </c>
      <c r="U22" s="34" t="s">
        <v>34</v>
      </c>
      <c r="V22" s="35" t="s">
        <v>34</v>
      </c>
      <c r="W22" s="26">
        <v>7</v>
      </c>
      <c r="X22" s="36">
        <f t="shared" si="9"/>
        <v>0.53846153846153844</v>
      </c>
      <c r="Y22" s="37">
        <f t="shared" si="10"/>
        <v>5.0312499999999991</v>
      </c>
      <c r="Z22" s="26">
        <v>1</v>
      </c>
      <c r="AA22" s="26" t="s">
        <v>37</v>
      </c>
      <c r="AB22" s="38">
        <f t="shared" si="11"/>
        <v>-0.69</v>
      </c>
      <c r="AC22" s="39">
        <v>6.8250000000000005E-2</v>
      </c>
      <c r="AD22" s="37">
        <f t="shared" si="12"/>
        <v>-1.224405</v>
      </c>
      <c r="AE22" s="37">
        <v>-4.9000000000000004</v>
      </c>
      <c r="AF22" s="37">
        <v>-9.7763166666666681</v>
      </c>
      <c r="AG22" s="37">
        <v>0</v>
      </c>
    </row>
    <row r="23" spans="1:33" ht="15.75" customHeight="1" x14ac:dyDescent="0.2">
      <c r="A23" s="26" t="s">
        <v>68</v>
      </c>
      <c r="B23" s="26" t="s">
        <v>668</v>
      </c>
      <c r="C23" s="14">
        <f t="shared" si="4"/>
        <v>21.990000000000002</v>
      </c>
      <c r="D23" s="27">
        <v>9</v>
      </c>
      <c r="E23" s="27">
        <v>0</v>
      </c>
      <c r="F23" s="30">
        <v>197.91000000000003</v>
      </c>
      <c r="G23" s="28">
        <v>-51.069999999999993</v>
      </c>
      <c r="H23" s="29">
        <f t="shared" si="1"/>
        <v>0.25804658683239851</v>
      </c>
      <c r="I23" s="29">
        <f t="shared" si="2"/>
        <v>-7.9738340659895809E-2</v>
      </c>
      <c r="J23" s="30">
        <f t="shared" si="5"/>
        <v>-15.781014999999982</v>
      </c>
      <c r="K23" s="30">
        <f t="shared" si="3"/>
        <v>-1.753446111111109</v>
      </c>
      <c r="L23" s="27">
        <v>53</v>
      </c>
      <c r="M23" s="31">
        <f t="shared" si="6"/>
        <v>0.16981132075471697</v>
      </c>
      <c r="N23" s="27">
        <v>367</v>
      </c>
      <c r="O23" s="32">
        <f t="shared" ref="O23:P23" si="31">D23/7</f>
        <v>1.2857142857142858</v>
      </c>
      <c r="P23" s="32">
        <f t="shared" si="31"/>
        <v>0</v>
      </c>
      <c r="Q23" s="27">
        <f t="shared" si="8"/>
        <v>285</v>
      </c>
      <c r="R23" s="27"/>
      <c r="S23" s="33">
        <v>0.73913043478260798</v>
      </c>
      <c r="T23" s="26">
        <v>264</v>
      </c>
      <c r="U23" s="34" t="s">
        <v>34</v>
      </c>
      <c r="V23" s="35" t="s">
        <v>34</v>
      </c>
      <c r="W23" s="26">
        <v>5</v>
      </c>
      <c r="X23" s="36">
        <f t="shared" si="9"/>
        <v>0.55555555555555558</v>
      </c>
      <c r="Y23" s="37">
        <f t="shared" si="10"/>
        <v>3.6478571428571422</v>
      </c>
      <c r="Z23" s="26">
        <v>9</v>
      </c>
      <c r="AA23" s="26" t="s">
        <v>37</v>
      </c>
      <c r="AB23" s="38">
        <f t="shared" si="11"/>
        <v>-0.69</v>
      </c>
      <c r="AC23" s="39">
        <v>6.8250000000000005E-2</v>
      </c>
      <c r="AD23" s="37">
        <f t="shared" si="12"/>
        <v>-0.847665</v>
      </c>
      <c r="AE23" s="37">
        <v>-4.9000000000000004</v>
      </c>
      <c r="AF23" s="37">
        <v>-9.7763166666666681</v>
      </c>
      <c r="AG23" s="37">
        <v>0</v>
      </c>
    </row>
    <row r="24" spans="1:33" ht="15.75" customHeight="1" x14ac:dyDescent="0.2">
      <c r="A24" s="26" t="s">
        <v>71</v>
      </c>
      <c r="B24" s="26" t="s">
        <v>854</v>
      </c>
      <c r="C24" s="14">
        <f t="shared" si="4"/>
        <v>20.143846153846159</v>
      </c>
      <c r="D24" s="27">
        <v>26</v>
      </c>
      <c r="E24" s="27">
        <v>1</v>
      </c>
      <c r="F24" s="30">
        <v>523.74000000000012</v>
      </c>
      <c r="G24" s="30">
        <v>-63.099999999999994</v>
      </c>
      <c r="H24" s="29">
        <f t="shared" si="1"/>
        <v>0.12047962729598652</v>
      </c>
      <c r="I24" s="29">
        <f t="shared" si="2"/>
        <v>-3.7309415613344553E-3</v>
      </c>
      <c r="J24" s="30">
        <f t="shared" si="5"/>
        <v>-1.954043333333308</v>
      </c>
      <c r="K24" s="30">
        <f t="shared" si="3"/>
        <v>-7.5155512820511847E-2</v>
      </c>
      <c r="L24" s="27">
        <v>76</v>
      </c>
      <c r="M24" s="31">
        <f t="shared" si="6"/>
        <v>0.34210526315789475</v>
      </c>
      <c r="N24" s="27">
        <v>341</v>
      </c>
      <c r="O24" s="32">
        <f t="shared" ref="O24:P24" si="32">D24/7</f>
        <v>3.7142857142857144</v>
      </c>
      <c r="P24" s="32">
        <f t="shared" si="32"/>
        <v>0.14285714285714285</v>
      </c>
      <c r="Q24" s="27">
        <f t="shared" si="8"/>
        <v>88</v>
      </c>
      <c r="R24" s="27"/>
      <c r="S24" s="33">
        <v>0.42718446601941701</v>
      </c>
      <c r="T24" s="26">
        <v>264</v>
      </c>
      <c r="U24" s="34" t="s">
        <v>34</v>
      </c>
      <c r="V24" s="35" t="s">
        <v>34</v>
      </c>
      <c r="W24" s="26">
        <v>11</v>
      </c>
      <c r="X24" s="36">
        <f t="shared" si="9"/>
        <v>0.42307692307692307</v>
      </c>
      <c r="Y24" s="37">
        <f t="shared" si="10"/>
        <v>3.0047619047619043</v>
      </c>
      <c r="Z24" s="26">
        <v>10</v>
      </c>
      <c r="AA24" s="26" t="s">
        <v>37</v>
      </c>
      <c r="AB24" s="38">
        <f t="shared" si="11"/>
        <v>-0.69</v>
      </c>
      <c r="AC24" s="39">
        <v>6.8250000000000005E-2</v>
      </c>
      <c r="AD24" s="37">
        <f t="shared" si="12"/>
        <v>-2.4488099999999999</v>
      </c>
      <c r="AE24" s="37">
        <v>-4.9000000000000004</v>
      </c>
      <c r="AF24" s="37">
        <v>-9.7763166666666681</v>
      </c>
      <c r="AG24" s="37">
        <v>0</v>
      </c>
    </row>
    <row r="25" spans="1:33" ht="15.75" customHeight="1" x14ac:dyDescent="0.2">
      <c r="A25" s="40" t="s">
        <v>73</v>
      </c>
      <c r="B25" s="40" t="s">
        <v>855</v>
      </c>
      <c r="C25" s="14">
        <f t="shared" si="4"/>
        <v>19.989999999999998</v>
      </c>
      <c r="D25" s="15">
        <v>11</v>
      </c>
      <c r="E25" s="15">
        <v>0</v>
      </c>
      <c r="F25" s="16">
        <v>219.89</v>
      </c>
      <c r="G25" s="16">
        <v>-60.819999999999993</v>
      </c>
      <c r="H25" s="29">
        <f t="shared" si="1"/>
        <v>0.27659284187548316</v>
      </c>
      <c r="I25" s="29">
        <f t="shared" si="2"/>
        <v>-0.16567163127018011</v>
      </c>
      <c r="J25" s="30">
        <f t="shared" si="5"/>
        <v>-36.429534999999902</v>
      </c>
      <c r="K25" s="30">
        <f t="shared" si="3"/>
        <v>-3.3117759090909002</v>
      </c>
      <c r="L25" s="15">
        <v>86</v>
      </c>
      <c r="M25" s="31">
        <f t="shared" si="6"/>
        <v>0.12790697674418605</v>
      </c>
      <c r="N25" s="15">
        <v>326</v>
      </c>
      <c r="O25" s="32">
        <f t="shared" ref="O25:P25" si="33">D25/7</f>
        <v>1.5714285714285714</v>
      </c>
      <c r="P25" s="32">
        <f t="shared" si="33"/>
        <v>0</v>
      </c>
      <c r="Q25" s="27">
        <f t="shared" si="8"/>
        <v>207</v>
      </c>
      <c r="R25" s="27"/>
      <c r="S25" s="41">
        <v>0.52015604681404426</v>
      </c>
      <c r="T25" s="26">
        <v>264</v>
      </c>
      <c r="U25" s="34" t="s">
        <v>34</v>
      </c>
      <c r="V25" s="35" t="s">
        <v>34</v>
      </c>
      <c r="W25" s="40">
        <v>1</v>
      </c>
      <c r="X25" s="36">
        <f t="shared" si="9"/>
        <v>9.0909090909090912E-2</v>
      </c>
      <c r="Y25" s="37">
        <f t="shared" si="10"/>
        <v>15.204999999999998</v>
      </c>
      <c r="Z25" s="40">
        <v>3</v>
      </c>
      <c r="AA25" s="26" t="s">
        <v>37</v>
      </c>
      <c r="AB25" s="38">
        <f t="shared" si="11"/>
        <v>-0.69</v>
      </c>
      <c r="AC25" s="39">
        <v>6.8250000000000005E-2</v>
      </c>
      <c r="AD25" s="37">
        <f t="shared" si="12"/>
        <v>-1.036035</v>
      </c>
      <c r="AE25" s="42">
        <v>-4.9000000000000004</v>
      </c>
      <c r="AF25" s="42">
        <v>-9.7799999999999905</v>
      </c>
      <c r="AG25" s="42">
        <v>0</v>
      </c>
    </row>
    <row r="26" spans="1:33" ht="15.75" customHeight="1" x14ac:dyDescent="0.2">
      <c r="A26" s="40" t="s">
        <v>75</v>
      </c>
      <c r="B26" s="40" t="s">
        <v>856</v>
      </c>
      <c r="C26" s="14">
        <f t="shared" si="4"/>
        <v>19.989999999999998</v>
      </c>
      <c r="D26" s="15">
        <v>8</v>
      </c>
      <c r="E26" s="15">
        <v>0</v>
      </c>
      <c r="F26" s="16">
        <v>159.91999999999999</v>
      </c>
      <c r="G26" s="16">
        <v>-29.54</v>
      </c>
      <c r="H26" s="29">
        <f t="shared" si="1"/>
        <v>0.18471735867933967</v>
      </c>
      <c r="I26" s="29">
        <f t="shared" si="2"/>
        <v>-7.6113139903284638E-2</v>
      </c>
      <c r="J26" s="30">
        <f t="shared" si="5"/>
        <v>-12.172013333333279</v>
      </c>
      <c r="K26" s="30">
        <f t="shared" si="3"/>
        <v>-1.5215016666666599</v>
      </c>
      <c r="L26" s="15">
        <v>58</v>
      </c>
      <c r="M26" s="31">
        <f t="shared" si="6"/>
        <v>0.13793103448275862</v>
      </c>
      <c r="N26" s="15">
        <v>316</v>
      </c>
      <c r="O26" s="32">
        <f t="shared" ref="O26:P26" si="34">D26/7</f>
        <v>1.1428571428571428</v>
      </c>
      <c r="P26" s="32">
        <f t="shared" si="34"/>
        <v>0</v>
      </c>
      <c r="Q26" s="27">
        <f t="shared" si="8"/>
        <v>276</v>
      </c>
      <c r="R26" s="27"/>
      <c r="S26" s="41">
        <v>0.52459016393442626</v>
      </c>
      <c r="T26" s="26">
        <v>264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14.77</v>
      </c>
      <c r="Z26" s="40">
        <v>2</v>
      </c>
      <c r="AA26" s="26" t="s">
        <v>37</v>
      </c>
      <c r="AB26" s="38">
        <f t="shared" si="11"/>
        <v>-0.69</v>
      </c>
      <c r="AC26" s="40">
        <v>6.8250000000000005E-2</v>
      </c>
      <c r="AD26" s="37">
        <f t="shared" si="12"/>
        <v>-0.75348000000000004</v>
      </c>
      <c r="AE26" s="42">
        <v>-4.95</v>
      </c>
      <c r="AF26" s="42">
        <v>-9.7763166666666592</v>
      </c>
      <c r="AG26" s="42">
        <v>0</v>
      </c>
    </row>
    <row r="27" spans="1:33" ht="15.75" customHeight="1" x14ac:dyDescent="0.2">
      <c r="A27" s="40" t="s">
        <v>77</v>
      </c>
      <c r="B27" s="40" t="s">
        <v>857</v>
      </c>
      <c r="C27" s="14">
        <f t="shared" si="4"/>
        <v>19.990000000000002</v>
      </c>
      <c r="D27" s="15">
        <v>13</v>
      </c>
      <c r="E27" s="15">
        <v>1</v>
      </c>
      <c r="F27" s="16">
        <v>259.87</v>
      </c>
      <c r="G27" s="16">
        <v>-63.9</v>
      </c>
      <c r="H27" s="29">
        <f t="shared" si="1"/>
        <v>0.2458921768576596</v>
      </c>
      <c r="I27" s="29">
        <f t="shared" si="2"/>
        <v>-0.14113603596670096</v>
      </c>
      <c r="J27" s="30">
        <f t="shared" si="5"/>
        <v>-36.677021666666583</v>
      </c>
      <c r="K27" s="30">
        <f t="shared" si="3"/>
        <v>-2.8213093589743528</v>
      </c>
      <c r="L27" s="15">
        <v>70</v>
      </c>
      <c r="M27" s="31">
        <f t="shared" si="6"/>
        <v>0.18571428571428572</v>
      </c>
      <c r="N27" s="15">
        <v>304</v>
      </c>
      <c r="O27" s="32">
        <f t="shared" ref="O27:P27" si="35">D27/7</f>
        <v>1.8571428571428572</v>
      </c>
      <c r="P27" s="32">
        <f t="shared" si="35"/>
        <v>0.14285714285714285</v>
      </c>
      <c r="Q27" s="27">
        <f t="shared" si="8"/>
        <v>152</v>
      </c>
      <c r="R27" s="27"/>
      <c r="S27" s="41">
        <v>0.54208273894436521</v>
      </c>
      <c r="T27" s="26">
        <v>264</v>
      </c>
      <c r="U27" s="34" t="s">
        <v>34</v>
      </c>
      <c r="V27" s="35" t="s">
        <v>34</v>
      </c>
      <c r="W27" s="40">
        <v>3</v>
      </c>
      <c r="X27" s="36">
        <f t="shared" si="9"/>
        <v>0.23076923076923078</v>
      </c>
      <c r="Y27" s="37">
        <f t="shared" si="10"/>
        <v>15.975</v>
      </c>
      <c r="Z27" s="40">
        <v>1</v>
      </c>
      <c r="AA27" s="26" t="s">
        <v>37</v>
      </c>
      <c r="AB27" s="38">
        <f t="shared" si="11"/>
        <v>-0.69</v>
      </c>
      <c r="AC27" s="39">
        <v>6.8250000000000005E-2</v>
      </c>
      <c r="AD27" s="37">
        <f t="shared" si="12"/>
        <v>-1.224405</v>
      </c>
      <c r="AE27" s="42">
        <v>-4.95</v>
      </c>
      <c r="AF27" s="42">
        <v>-9.7763166666666592</v>
      </c>
      <c r="AG27" s="42">
        <v>-1</v>
      </c>
    </row>
    <row r="28" spans="1:33" ht="15.75" customHeight="1" x14ac:dyDescent="0.2">
      <c r="A28" s="40" t="s">
        <v>79</v>
      </c>
      <c r="B28" s="40" t="s">
        <v>858</v>
      </c>
      <c r="C28" s="14">
        <f t="shared" si="4"/>
        <v>19.989999999999998</v>
      </c>
      <c r="D28" s="15">
        <v>18</v>
      </c>
      <c r="E28" s="15">
        <v>0</v>
      </c>
      <c r="F28" s="16">
        <v>359.82</v>
      </c>
      <c r="G28" s="16">
        <v>-63.52</v>
      </c>
      <c r="H28" s="29">
        <f t="shared" si="1"/>
        <v>0.17653271079984437</v>
      </c>
      <c r="I28" s="29">
        <f t="shared" si="2"/>
        <v>-6.7928492023789408E-2</v>
      </c>
      <c r="J28" s="30">
        <f t="shared" si="5"/>
        <v>-24.442029999999903</v>
      </c>
      <c r="K28" s="30">
        <f t="shared" si="3"/>
        <v>-1.3578905555555503</v>
      </c>
      <c r="L28" s="15">
        <v>85</v>
      </c>
      <c r="M28" s="31">
        <f t="shared" si="6"/>
        <v>0.21176470588235294</v>
      </c>
      <c r="N28" s="15">
        <v>282</v>
      </c>
      <c r="O28" s="32">
        <f t="shared" ref="O28:P28" si="36">D28/7</f>
        <v>2.5714285714285716</v>
      </c>
      <c r="P28" s="32">
        <f t="shared" si="36"/>
        <v>0</v>
      </c>
      <c r="Q28" s="27">
        <f t="shared" si="8"/>
        <v>109</v>
      </c>
      <c r="R28" s="27"/>
      <c r="S28" s="41">
        <v>0.41847313854853913</v>
      </c>
      <c r="T28" s="40" t="s">
        <v>34</v>
      </c>
      <c r="U28" s="22" t="s">
        <v>34</v>
      </c>
      <c r="V28" s="1" t="s">
        <v>859</v>
      </c>
      <c r="W28" s="40">
        <v>1</v>
      </c>
      <c r="X28" s="36">
        <f t="shared" si="9"/>
        <v>5.5555555555555552E-2</v>
      </c>
      <c r="Y28" s="37">
        <f t="shared" si="10"/>
        <v>9.0742857142857147</v>
      </c>
      <c r="Z28" s="40">
        <v>6</v>
      </c>
      <c r="AA28" s="26" t="s">
        <v>37</v>
      </c>
      <c r="AB28" s="38">
        <f t="shared" si="11"/>
        <v>-0.69</v>
      </c>
      <c r="AC28" s="39">
        <v>6.8250000000000005E-2</v>
      </c>
      <c r="AD28" s="37">
        <f t="shared" si="12"/>
        <v>-1.69533</v>
      </c>
      <c r="AE28" s="42">
        <v>-4.95</v>
      </c>
      <c r="AF28" s="42">
        <v>-9.7763166666666592</v>
      </c>
      <c r="AG28" s="42">
        <v>0</v>
      </c>
    </row>
    <row r="29" spans="1:33" ht="15.75" customHeight="1" x14ac:dyDescent="0.2">
      <c r="A29" s="26" t="s">
        <v>82</v>
      </c>
      <c r="B29" s="26" t="s">
        <v>860</v>
      </c>
      <c r="C29" s="14">
        <f t="shared" si="4"/>
        <v>19.989999999999995</v>
      </c>
      <c r="D29" s="27">
        <v>19</v>
      </c>
      <c r="E29" s="27">
        <v>0</v>
      </c>
      <c r="F29" s="30">
        <v>379.80999999999989</v>
      </c>
      <c r="G29" s="30">
        <v>-59.53</v>
      </c>
      <c r="H29" s="29">
        <f t="shared" si="1"/>
        <v>0.1567362628682763</v>
      </c>
      <c r="I29" s="29">
        <f t="shared" si="2"/>
        <v>-4.81320440922215E-2</v>
      </c>
      <c r="J29" s="30">
        <f t="shared" si="5"/>
        <v>-18.281031666666642</v>
      </c>
      <c r="K29" s="30">
        <f t="shared" si="3"/>
        <v>-0.96215956140350745</v>
      </c>
      <c r="L29" s="27">
        <v>77</v>
      </c>
      <c r="M29" s="31">
        <f t="shared" si="6"/>
        <v>0.24675324675324675</v>
      </c>
      <c r="N29" s="15">
        <v>263</v>
      </c>
      <c r="O29" s="32">
        <f t="shared" ref="O29:P29" si="37">D29/7</f>
        <v>2.7142857142857144</v>
      </c>
      <c r="P29" s="32">
        <f t="shared" si="37"/>
        <v>0</v>
      </c>
      <c r="Q29" s="27">
        <f t="shared" si="8"/>
        <v>96</v>
      </c>
      <c r="R29" s="27"/>
      <c r="S29" s="41">
        <v>0.48955223880597021</v>
      </c>
      <c r="T29" s="40" t="s">
        <v>34</v>
      </c>
      <c r="U29" s="22" t="s">
        <v>34</v>
      </c>
      <c r="V29" s="1" t="s">
        <v>34</v>
      </c>
      <c r="W29" s="40">
        <v>3</v>
      </c>
      <c r="X29" s="36">
        <f t="shared" si="9"/>
        <v>0.15789473684210525</v>
      </c>
      <c r="Y29" s="37">
        <f t="shared" si="10"/>
        <v>8.5042857142857144</v>
      </c>
      <c r="Z29" s="40">
        <v>4</v>
      </c>
      <c r="AA29" s="26" t="s">
        <v>37</v>
      </c>
      <c r="AB29" s="38">
        <f t="shared" si="11"/>
        <v>-0.69</v>
      </c>
      <c r="AC29" s="39">
        <v>6.8250000000000005E-2</v>
      </c>
      <c r="AD29" s="37">
        <f t="shared" si="12"/>
        <v>-1.7895150000000002</v>
      </c>
      <c r="AE29" s="37">
        <v>-4.95</v>
      </c>
      <c r="AF29" s="42">
        <v>-9.7763166666666592</v>
      </c>
      <c r="AG29" s="37">
        <v>0</v>
      </c>
    </row>
    <row r="30" spans="1:33" ht="15.75" customHeight="1" x14ac:dyDescent="0.2">
      <c r="A30" s="40" t="s">
        <v>84</v>
      </c>
      <c r="B30" s="40" t="s">
        <v>544</v>
      </c>
      <c r="C30" s="14">
        <f t="shared" si="4"/>
        <v>19.990000000000002</v>
      </c>
      <c r="D30" s="15">
        <v>14</v>
      </c>
      <c r="E30" s="15">
        <v>0</v>
      </c>
      <c r="F30" s="16">
        <v>279.86</v>
      </c>
      <c r="G30" s="16">
        <v>-33.28</v>
      </c>
      <c r="H30" s="29">
        <f t="shared" si="1"/>
        <v>0.11891660115772172</v>
      </c>
      <c r="I30" s="29">
        <f t="shared" si="2"/>
        <v>-5.9588522832845501E-3</v>
      </c>
      <c r="J30" s="30">
        <f t="shared" si="5"/>
        <v>-1.6676444000000143</v>
      </c>
      <c r="K30" s="30">
        <f t="shared" si="3"/>
        <v>-0.11911745714285817</v>
      </c>
      <c r="L30" s="15">
        <v>59</v>
      </c>
      <c r="M30" s="31">
        <f t="shared" si="6"/>
        <v>0.23728813559322035</v>
      </c>
      <c r="N30" s="15">
        <v>248</v>
      </c>
      <c r="O30" s="32">
        <f t="shared" ref="O30:P30" si="38">D30/7</f>
        <v>2</v>
      </c>
      <c r="P30" s="32">
        <f t="shared" si="38"/>
        <v>0</v>
      </c>
      <c r="Q30" s="27">
        <f t="shared" si="8"/>
        <v>124</v>
      </c>
      <c r="R30" s="27"/>
      <c r="S30" s="41">
        <v>0.55813953488372092</v>
      </c>
      <c r="T30" s="26">
        <v>532</v>
      </c>
      <c r="U30" s="34" t="s">
        <v>34</v>
      </c>
      <c r="V30" s="35" t="s">
        <v>34</v>
      </c>
      <c r="W30" s="40">
        <v>2</v>
      </c>
      <c r="X30" s="36">
        <f t="shared" si="9"/>
        <v>0.14285714285714285</v>
      </c>
      <c r="Y30" s="37">
        <f t="shared" si="10"/>
        <v>4.7542857142857144</v>
      </c>
      <c r="Z30" s="40">
        <v>5</v>
      </c>
      <c r="AA30" s="26" t="s">
        <v>37</v>
      </c>
      <c r="AB30" s="38">
        <f t="shared" si="11"/>
        <v>-0.69</v>
      </c>
      <c r="AC30" s="39">
        <v>6.8250000000000005E-2</v>
      </c>
      <c r="AD30" s="37">
        <f t="shared" si="12"/>
        <v>-1.3185900000000002</v>
      </c>
      <c r="AE30" s="42">
        <v>-4.95</v>
      </c>
      <c r="AF30" s="42">
        <v>-9.6892896000000004</v>
      </c>
      <c r="AG30" s="42">
        <v>0</v>
      </c>
    </row>
    <row r="31" spans="1:33" ht="15.75" customHeight="1" x14ac:dyDescent="0.2">
      <c r="A31" s="40" t="s">
        <v>87</v>
      </c>
      <c r="B31" s="40" t="s">
        <v>861</v>
      </c>
      <c r="C31" s="14">
        <f t="shared" si="4"/>
        <v>19.990000000000002</v>
      </c>
      <c r="D31" s="15">
        <v>12</v>
      </c>
      <c r="E31" s="15">
        <v>0</v>
      </c>
      <c r="F31" s="16">
        <v>239.88000000000002</v>
      </c>
      <c r="G31" s="43">
        <v>-32.700000000000003</v>
      </c>
      <c r="H31" s="29">
        <f t="shared" si="1"/>
        <v>0.13631815907953976</v>
      </c>
      <c r="I31" s="29">
        <f t="shared" si="2"/>
        <v>-4.4204165416041212E-2</v>
      </c>
      <c r="J31" s="30">
        <f t="shared" si="5"/>
        <v>-10.603695199999967</v>
      </c>
      <c r="K31" s="30">
        <f t="shared" si="3"/>
        <v>-0.88364126666666387</v>
      </c>
      <c r="L31" s="15">
        <v>72</v>
      </c>
      <c r="M31" s="31">
        <f t="shared" si="6"/>
        <v>0.16666666666666666</v>
      </c>
      <c r="N31" s="15">
        <v>235</v>
      </c>
      <c r="O31" s="32">
        <f t="shared" ref="O31:P31" si="39">D31/7</f>
        <v>1.7142857142857142</v>
      </c>
      <c r="P31" s="32">
        <f t="shared" si="39"/>
        <v>0</v>
      </c>
      <c r="Q31" s="27">
        <f t="shared" si="8"/>
        <v>137</v>
      </c>
      <c r="R31" s="27"/>
      <c r="S31" s="41">
        <v>0.60169491525423702</v>
      </c>
      <c r="T31" s="40">
        <v>268</v>
      </c>
      <c r="U31" s="22" t="s">
        <v>34</v>
      </c>
      <c r="V31" s="1" t="s">
        <v>859</v>
      </c>
      <c r="W31" s="40">
        <v>1</v>
      </c>
      <c r="X31" s="36">
        <f t="shared" si="9"/>
        <v>8.3333333333333329E-2</v>
      </c>
      <c r="Y31" s="37">
        <f t="shared" si="10"/>
        <v>8.1750000000000007</v>
      </c>
      <c r="Z31" s="40">
        <v>3</v>
      </c>
      <c r="AA31" s="40" t="s">
        <v>37</v>
      </c>
      <c r="AB31" s="38">
        <f t="shared" si="11"/>
        <v>-0.69</v>
      </c>
      <c r="AC31" s="44">
        <v>6.8250000000000005E-2</v>
      </c>
      <c r="AD31" s="37">
        <f t="shared" si="12"/>
        <v>-1.13022</v>
      </c>
      <c r="AE31" s="45">
        <v>-4.95</v>
      </c>
      <c r="AF31" s="45">
        <v>-9.6892896000000004</v>
      </c>
      <c r="AG31" s="42">
        <v>-5</v>
      </c>
    </row>
    <row r="32" spans="1:33" ht="15.75" customHeight="1" x14ac:dyDescent="0.2">
      <c r="A32" s="40" t="s">
        <v>90</v>
      </c>
      <c r="B32" s="40" t="s">
        <v>861</v>
      </c>
      <c r="C32" s="14">
        <f t="shared" si="4"/>
        <v>19.990000000000002</v>
      </c>
      <c r="D32" s="15">
        <v>21</v>
      </c>
      <c r="E32" s="15">
        <v>0</v>
      </c>
      <c r="F32" s="16">
        <v>419.79</v>
      </c>
      <c r="G32" s="16">
        <v>-32.19</v>
      </c>
      <c r="H32" s="29">
        <f t="shared" si="1"/>
        <v>7.6681197741727991E-2</v>
      </c>
      <c r="I32" s="29">
        <f t="shared" si="2"/>
        <v>1.4837260058600737E-2</v>
      </c>
      <c r="J32" s="30">
        <f t="shared" si="5"/>
        <v>6.2285334000000034</v>
      </c>
      <c r="K32" s="30">
        <f t="shared" si="3"/>
        <v>0.29659682857142872</v>
      </c>
      <c r="L32" s="15">
        <v>130</v>
      </c>
      <c r="M32" s="31">
        <f t="shared" si="6"/>
        <v>0.16153846153846155</v>
      </c>
      <c r="N32" s="15">
        <v>211</v>
      </c>
      <c r="O32" s="32">
        <f t="shared" ref="O32:P32" si="40">D32/7</f>
        <v>3</v>
      </c>
      <c r="P32" s="32">
        <f t="shared" si="40"/>
        <v>0</v>
      </c>
      <c r="Q32" s="27">
        <f t="shared" si="8"/>
        <v>70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0.52242328874901656</v>
      </c>
      <c r="T32" s="40">
        <f ca="1">IFERROR(__xludf.DUMMYFUNCTION("IFERROR(VLOOKUP($B$2,IMPORTRANGE(""https://docs.google.com/spreadsheets/d/1KiWZV1ko8G7lnRucBRBd29jj3Be6ltMfljMDqzOkQmI/edit#gid=1381463014"",""Lookup!A:D""),4,FALSE),"""")"),268)</f>
        <v>268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268 At Factory 50-75 days from Earliest Arrival")</f>
        <v>No Transit, But 268 At Factory 50-75 days from Earliest Arrival</v>
      </c>
      <c r="W32" s="40">
        <v>1</v>
      </c>
      <c r="X32" s="36">
        <f t="shared" si="9"/>
        <v>4.7619047619047616E-2</v>
      </c>
      <c r="Y32" s="37">
        <f t="shared" si="10"/>
        <v>6.4379999999999997</v>
      </c>
      <c r="Z32" s="40">
        <v>4</v>
      </c>
      <c r="AA32" s="40" t="s">
        <v>37</v>
      </c>
      <c r="AB32" s="38">
        <f t="shared" si="11"/>
        <v>-0.69</v>
      </c>
      <c r="AC32" s="44">
        <v>6.8250000000000005E-2</v>
      </c>
      <c r="AD32" s="37">
        <f t="shared" si="12"/>
        <v>-1.9778850000000001</v>
      </c>
      <c r="AE32" s="42">
        <v>-4.95</v>
      </c>
      <c r="AF32" s="42">
        <v>-9.6892896000000004</v>
      </c>
      <c r="AG32" s="42">
        <v>-9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1:33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1:33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1:33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1:33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1:33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1:33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1:33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Info!B1:BJ5000""),3,FALSE),"""")"),"Vinyl Records Holder Shelf, 8 Pack - Metal Black Wall Mount Record Display")</f>
        <v>Vinyl Records Holder Shelf, 8 Pack - Metal Black Wall Mount Record Display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Info!B1:BJ5000""),2,FALSE),"""")"),"B0859G4112")</f>
        <v>B0859G4112</v>
      </c>
      <c r="B2" s="3" t="s">
        <v>862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61.25" customHeight="1" x14ac:dyDescent="0.2">
      <c r="A3" s="68" t="s">
        <v>31</v>
      </c>
      <c r="B3" s="69"/>
      <c r="C3" s="48">
        <f>((AE32+AF32)/0.85)*-1</f>
        <v>21.582374903921529</v>
      </c>
      <c r="D3" s="5">
        <f>SUM(D4:D99767)</f>
        <v>316</v>
      </c>
      <c r="E3" s="5"/>
      <c r="F3" s="6">
        <f t="shared" ref="F3:G3" si="0">SUM(F4:F99767)</f>
        <v>9423.9</v>
      </c>
      <c r="G3" s="6">
        <f t="shared" si="0"/>
        <v>-271.59000000000003</v>
      </c>
      <c r="H3" s="7">
        <f t="shared" ref="H3:H32" si="1">G3/F3*-1</f>
        <v>2.8819278642600202E-2</v>
      </c>
      <c r="I3" s="8">
        <f t="shared" ref="I3:I32" si="2">J3/F3</f>
        <v>0.20682698927501625</v>
      </c>
      <c r="J3" s="6">
        <f>SUM(J4:J99767)</f>
        <v>1949.1168642288255</v>
      </c>
      <c r="K3" s="6">
        <f t="shared" ref="K3:K32" si="3">J3/D3</f>
        <v>6.1680913424962833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4 - Dec
4 - Jan
2 - Feb")</f>
        <v>2 - March
2 - April
2 - May
2 - June
2 - July
2 - Aug
2 - Sept
2 - Oct
2 - Nov
4 - Dec
4 -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QTY-504")</f>
        <v>US QTY-504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12</v>
      </c>
      <c r="X3" s="7">
        <f>W3/D3</f>
        <v>3.7974683544303799E-2</v>
      </c>
      <c r="Y3" s="6"/>
      <c r="Z3" s="5"/>
      <c r="AA3" s="5"/>
      <c r="AB3" s="5"/>
      <c r="AC3" s="5"/>
      <c r="AD3" s="6">
        <f>SUM(AD4:AD99767)</f>
        <v>-38.570180416787373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Info!B2:BZ3000""),37,FALSE)),"""")*-1"),-12.6650186683333)</f>
        <v>-12.6650186683333</v>
      </c>
      <c r="AG3" s="6">
        <f>SUM(AG4:AG99767)</f>
        <v>0</v>
      </c>
    </row>
    <row r="4" spans="1:33" x14ac:dyDescent="0.2">
      <c r="A4" s="1" t="s">
        <v>32</v>
      </c>
      <c r="B4" s="2" t="s">
        <v>863</v>
      </c>
      <c r="C4" s="14">
        <f t="shared" ref="C4:C32" si="4">IFERROR(F4/D4," - ")</f>
        <v>34.878888888888895</v>
      </c>
      <c r="D4" s="15">
        <v>36</v>
      </c>
      <c r="E4" s="15">
        <v>0</v>
      </c>
      <c r="F4" s="16">
        <v>1255.6400000000001</v>
      </c>
      <c r="G4" s="16">
        <v>0</v>
      </c>
      <c r="H4" s="17">
        <f t="shared" si="1"/>
        <v>0</v>
      </c>
      <c r="I4" s="17">
        <f t="shared" si="2"/>
        <v>0.33021678912021696</v>
      </c>
      <c r="J4" s="16">
        <f t="shared" ref="J4:J32" si="5">F4*0.85+G4+AF4*D4+D4*AE4+AG4+AD4</f>
        <v>414.63340909090925</v>
      </c>
      <c r="K4" s="16">
        <f t="shared" si="3"/>
        <v>11.517594696969702</v>
      </c>
      <c r="L4" s="15">
        <v>81</v>
      </c>
      <c r="M4" s="18">
        <f t="shared" ref="M4:M32" si="6">IFERROR(D4/L4,"-")</f>
        <v>0.44444444444444442</v>
      </c>
      <c r="N4" s="15">
        <v>71</v>
      </c>
      <c r="O4" s="19">
        <f t="shared" ref="O4:P4" si="7">D4/7</f>
        <v>5.1428571428571432</v>
      </c>
      <c r="P4" s="19">
        <f t="shared" si="7"/>
        <v>0</v>
      </c>
      <c r="Q4" s="15">
        <f t="shared" ref="Q4:Q32" si="8">ROUNDDOWN(N4/(O4+P4),0)</f>
        <v>13</v>
      </c>
      <c r="R4" s="15"/>
      <c r="S4" s="20">
        <v>1.9337016574585599</v>
      </c>
      <c r="T4" s="2">
        <v>796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8.9249999999999996E-2</v>
      </c>
      <c r="AD4" s="24">
        <f t="shared" ref="AD4:AD32" si="12">IFERROR(AB4*AC4*D4*2,0)</f>
        <v>-4.4339399999999998</v>
      </c>
      <c r="AE4" s="24">
        <v>-5.42</v>
      </c>
      <c r="AF4" s="24">
        <v>-12.586295858585858</v>
      </c>
      <c r="AG4" s="24">
        <v>0</v>
      </c>
    </row>
    <row r="5" spans="1:33" ht="15.75" customHeight="1" x14ac:dyDescent="0.2">
      <c r="A5" s="26" t="s">
        <v>35</v>
      </c>
      <c r="B5" s="26" t="s">
        <v>864</v>
      </c>
      <c r="C5" s="14">
        <f t="shared" si="4"/>
        <v>35.99</v>
      </c>
      <c r="D5" s="27">
        <v>35</v>
      </c>
      <c r="E5" s="27">
        <v>0</v>
      </c>
      <c r="F5" s="28">
        <v>1259.6500000000001</v>
      </c>
      <c r="G5" s="28">
        <v>0</v>
      </c>
      <c r="H5" s="29">
        <f t="shared" si="1"/>
        <v>0</v>
      </c>
      <c r="I5" s="29">
        <f t="shared" si="2"/>
        <v>0.34625997288549015</v>
      </c>
      <c r="J5" s="30">
        <f t="shared" si="5"/>
        <v>436.16637484520771</v>
      </c>
      <c r="K5" s="30">
        <f t="shared" si="3"/>
        <v>12.461896424148792</v>
      </c>
      <c r="L5" s="27">
        <v>107</v>
      </c>
      <c r="M5" s="31">
        <f t="shared" si="6"/>
        <v>0.32710280373831774</v>
      </c>
      <c r="N5" s="27">
        <v>27</v>
      </c>
      <c r="O5" s="32">
        <f t="shared" ref="O5:P5" si="13">D5/7</f>
        <v>5</v>
      </c>
      <c r="P5" s="32">
        <f t="shared" si="13"/>
        <v>0</v>
      </c>
      <c r="Q5" s="27">
        <f t="shared" si="8"/>
        <v>5</v>
      </c>
      <c r="R5" s="27"/>
      <c r="S5" s="33">
        <v>2.75618374558303</v>
      </c>
      <c r="T5" s="26">
        <v>796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8.9353418308227114E-2</v>
      </c>
      <c r="AD5" s="37">
        <f t="shared" si="12"/>
        <v>-4.3157701042873695</v>
      </c>
      <c r="AE5" s="37">
        <v>-5.42</v>
      </c>
      <c r="AF5" s="37">
        <v>-12.586295858585858</v>
      </c>
      <c r="AG5" s="37">
        <v>0</v>
      </c>
    </row>
    <row r="6" spans="1:33" ht="15.75" customHeight="1" x14ac:dyDescent="0.2">
      <c r="A6" s="26" t="s">
        <v>38</v>
      </c>
      <c r="B6" s="26" t="s">
        <v>865</v>
      </c>
      <c r="C6" s="14">
        <f t="shared" si="4"/>
        <v>37.682307692307695</v>
      </c>
      <c r="D6" s="27">
        <v>13</v>
      </c>
      <c r="E6" s="27">
        <v>0</v>
      </c>
      <c r="F6" s="28">
        <v>489.87</v>
      </c>
      <c r="G6" s="28">
        <v>0</v>
      </c>
      <c r="H6" s="29">
        <f t="shared" si="1"/>
        <v>0</v>
      </c>
      <c r="I6" s="29">
        <f t="shared" si="2"/>
        <v>0.36888666143749121</v>
      </c>
      <c r="J6" s="30">
        <f t="shared" si="5"/>
        <v>180.70650883838383</v>
      </c>
      <c r="K6" s="30">
        <f t="shared" si="3"/>
        <v>13.900500679875679</v>
      </c>
      <c r="L6" s="27">
        <v>72</v>
      </c>
      <c r="M6" s="31">
        <f t="shared" si="6"/>
        <v>0.18055555555555555</v>
      </c>
      <c r="N6" s="27">
        <v>11</v>
      </c>
      <c r="O6" s="32">
        <f t="shared" ref="O6:P6" si="14">D6/7</f>
        <v>1.8571428571428572</v>
      </c>
      <c r="P6" s="32">
        <f t="shared" si="14"/>
        <v>0</v>
      </c>
      <c r="Q6" s="27">
        <f t="shared" si="8"/>
        <v>5</v>
      </c>
      <c r="R6" s="27"/>
      <c r="S6" s="33">
        <v>3.9436619718309802</v>
      </c>
      <c r="T6" s="26">
        <v>792</v>
      </c>
      <c r="U6" s="34">
        <v>240</v>
      </c>
      <c r="V6" s="35" t="s">
        <v>866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8.9249999999999996E-2</v>
      </c>
      <c r="AD6" s="37">
        <f t="shared" si="12"/>
        <v>-1.6011449999999998</v>
      </c>
      <c r="AE6" s="37">
        <v>-5.42</v>
      </c>
      <c r="AF6" s="37">
        <v>-12.586295858585858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32.325000000000003</v>
      </c>
      <c r="D7" s="27">
        <v>6</v>
      </c>
      <c r="E7" s="27">
        <v>0</v>
      </c>
      <c r="F7" s="28">
        <v>193.95000000000002</v>
      </c>
      <c r="G7" s="28">
        <v>0</v>
      </c>
      <c r="H7" s="29">
        <f t="shared" si="1"/>
        <v>0</v>
      </c>
      <c r="I7" s="29">
        <f t="shared" si="2"/>
        <v>0.28915047614583583</v>
      </c>
      <c r="J7" s="30">
        <f t="shared" si="5"/>
        <v>56.080734848484866</v>
      </c>
      <c r="K7" s="30">
        <f t="shared" si="3"/>
        <v>9.3467891414141437</v>
      </c>
      <c r="L7" s="27">
        <v>57</v>
      </c>
      <c r="M7" s="31">
        <f t="shared" si="6"/>
        <v>0.10526315789473684</v>
      </c>
      <c r="N7" s="27">
        <v>4</v>
      </c>
      <c r="O7" s="32">
        <f t="shared" ref="O7:P7" si="15">D7/7</f>
        <v>0.8571428571428571</v>
      </c>
      <c r="P7" s="32">
        <f t="shared" si="15"/>
        <v>0</v>
      </c>
      <c r="Q7" s="27">
        <f t="shared" si="8"/>
        <v>4</v>
      </c>
      <c r="R7" s="27"/>
      <c r="S7" s="33">
        <v>5.5838926174496599</v>
      </c>
      <c r="T7" s="26">
        <v>792</v>
      </c>
      <c r="U7" s="34">
        <v>240</v>
      </c>
      <c r="V7" s="35" t="s">
        <v>866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8.9249999999999996E-2</v>
      </c>
      <c r="AD7" s="37">
        <f t="shared" si="12"/>
        <v>-0.73898999999999992</v>
      </c>
      <c r="AE7" s="37">
        <v>-5.42</v>
      </c>
      <c r="AF7" s="37">
        <v>-12.586295858585858</v>
      </c>
      <c r="AG7" s="37">
        <v>0</v>
      </c>
    </row>
    <row r="8" spans="1:33" ht="15.75" customHeight="1" x14ac:dyDescent="0.2">
      <c r="A8" s="26" t="s">
        <v>43</v>
      </c>
      <c r="B8" s="26"/>
      <c r="C8" s="14">
        <f t="shared" si="4"/>
        <v>39.99</v>
      </c>
      <c r="D8" s="27">
        <v>1</v>
      </c>
      <c r="E8" s="27">
        <v>0</v>
      </c>
      <c r="F8" s="28">
        <v>39.99</v>
      </c>
      <c r="G8" s="28">
        <v>0</v>
      </c>
      <c r="H8" s="29">
        <f t="shared" si="1"/>
        <v>0</v>
      </c>
      <c r="I8" s="29">
        <f t="shared" si="2"/>
        <v>0.39655751437859466</v>
      </c>
      <c r="J8" s="30">
        <f t="shared" si="5"/>
        <v>15.858335000000002</v>
      </c>
      <c r="K8" s="30">
        <f t="shared" si="3"/>
        <v>15.858335000000002</v>
      </c>
      <c r="L8" s="27">
        <v>6</v>
      </c>
      <c r="M8" s="31">
        <f t="shared" si="6"/>
        <v>0.16666666666666666</v>
      </c>
      <c r="N8" s="27">
        <v>0</v>
      </c>
      <c r="O8" s="32">
        <f t="shared" ref="O8:P8" si="16">D8/7</f>
        <v>0.14285714285714285</v>
      </c>
      <c r="P8" s="32">
        <f t="shared" si="16"/>
        <v>0</v>
      </c>
      <c r="Q8" s="27">
        <f t="shared" si="8"/>
        <v>0</v>
      </c>
      <c r="R8" s="27"/>
      <c r="S8" s="33" t="e">
        <v>#N/A</v>
      </c>
      <c r="T8" s="26">
        <v>792</v>
      </c>
      <c r="U8" s="34">
        <v>240</v>
      </c>
      <c r="V8" s="35" t="s">
        <v>866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8.9249999999999996E-2</v>
      </c>
      <c r="AD8" s="37">
        <f t="shared" si="12"/>
        <v>-0.12316499999999998</v>
      </c>
      <c r="AE8" s="37">
        <v>-5.42</v>
      </c>
      <c r="AF8" s="37">
        <v>-12.59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792</v>
      </c>
      <c r="U9" s="34">
        <v>240</v>
      </c>
      <c r="V9" s="35" t="s">
        <v>867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-12.6742332323232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792</v>
      </c>
      <c r="U10" s="34">
        <v>240</v>
      </c>
      <c r="V10" s="35" t="s">
        <v>867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-12.6742332323232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792</v>
      </c>
      <c r="U11" s="34">
        <v>240</v>
      </c>
      <c r="V11" s="35" t="s">
        <v>868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-12.6742332323232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792</v>
      </c>
      <c r="U12" s="34">
        <v>240</v>
      </c>
      <c r="V12" s="35" t="s">
        <v>869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-12.6742332323232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792</v>
      </c>
      <c r="U13" s="34">
        <v>240</v>
      </c>
      <c r="V13" s="35" t="s">
        <v>870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-12.720516060606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636</v>
      </c>
      <c r="U14" s="34">
        <v>552</v>
      </c>
      <c r="V14" s="35" t="s">
        <v>871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-12.720516060606</v>
      </c>
      <c r="AG14" s="37">
        <v>0</v>
      </c>
    </row>
    <row r="15" spans="1:33" ht="15.75" customHeight="1" x14ac:dyDescent="0.2">
      <c r="A15" s="26" t="s">
        <v>58</v>
      </c>
      <c r="B15" s="26" t="s">
        <v>872</v>
      </c>
      <c r="C15" s="14">
        <f t="shared" si="4"/>
        <v>39.99</v>
      </c>
      <c r="D15" s="27">
        <v>2</v>
      </c>
      <c r="E15" s="27">
        <v>0</v>
      </c>
      <c r="F15" s="30">
        <v>79.98</v>
      </c>
      <c r="G15" s="28">
        <v>0</v>
      </c>
      <c r="H15" s="29">
        <f t="shared" si="1"/>
        <v>0</v>
      </c>
      <c r="I15" s="29">
        <f t="shared" si="2"/>
        <v>0.39329379693408351</v>
      </c>
      <c r="J15" s="30">
        <f t="shared" si="5"/>
        <v>31.455637878788</v>
      </c>
      <c r="K15" s="30">
        <f t="shared" si="3"/>
        <v>15.727818939394</v>
      </c>
      <c r="L15" s="27">
        <v>11</v>
      </c>
      <c r="M15" s="31">
        <f t="shared" si="6"/>
        <v>0.18181818181818182</v>
      </c>
      <c r="N15" s="27">
        <v>237</v>
      </c>
      <c r="O15" s="32">
        <f t="shared" ref="O15:P15" si="23">D15/7</f>
        <v>0.2857142857142857</v>
      </c>
      <c r="P15" s="32">
        <f t="shared" si="23"/>
        <v>0</v>
      </c>
      <c r="Q15" s="27">
        <f t="shared" si="8"/>
        <v>829</v>
      </c>
      <c r="R15" s="27"/>
      <c r="S15" s="33">
        <v>1.375</v>
      </c>
      <c r="T15" s="26">
        <v>636</v>
      </c>
      <c r="U15" s="34">
        <v>552</v>
      </c>
      <c r="V15" s="35" t="s">
        <v>873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8.9249999999999996E-2</v>
      </c>
      <c r="AD15" s="37">
        <f t="shared" si="12"/>
        <v>-0.24632999999999997</v>
      </c>
      <c r="AE15" s="37">
        <v>-5.42</v>
      </c>
      <c r="AF15" s="37">
        <v>-12.720516060606</v>
      </c>
      <c r="AG15" s="37">
        <v>0</v>
      </c>
    </row>
    <row r="16" spans="1:33" ht="15.75" customHeight="1" x14ac:dyDescent="0.2">
      <c r="A16" s="26" t="s">
        <v>60</v>
      </c>
      <c r="B16" s="26" t="s">
        <v>874</v>
      </c>
      <c r="C16" s="14">
        <f t="shared" si="4"/>
        <v>29.990000000000002</v>
      </c>
      <c r="D16" s="27">
        <v>9</v>
      </c>
      <c r="E16" s="27">
        <v>0</v>
      </c>
      <c r="F16" s="30">
        <v>269.91000000000003</v>
      </c>
      <c r="G16" s="28">
        <v>-33.119999999999997</v>
      </c>
      <c r="H16" s="29">
        <f t="shared" si="1"/>
        <v>0.12270756918972989</v>
      </c>
      <c r="I16" s="29">
        <f t="shared" si="2"/>
        <v>0.11830006466802269</v>
      </c>
      <c r="J16" s="30">
        <f t="shared" si="5"/>
        <v>31.930370454546008</v>
      </c>
      <c r="K16" s="30">
        <f t="shared" si="3"/>
        <v>3.5478189393940007</v>
      </c>
      <c r="L16" s="27">
        <v>50</v>
      </c>
      <c r="M16" s="31">
        <f t="shared" si="6"/>
        <v>0.18</v>
      </c>
      <c r="N16" s="27">
        <v>235</v>
      </c>
      <c r="O16" s="32">
        <f t="shared" ref="O16:P16" si="24">D16/7</f>
        <v>1.2857142857142858</v>
      </c>
      <c r="P16" s="32">
        <f t="shared" si="24"/>
        <v>0</v>
      </c>
      <c r="Q16" s="27">
        <f t="shared" si="8"/>
        <v>182</v>
      </c>
      <c r="R16" s="27"/>
      <c r="S16" s="33">
        <v>1.24705882352941</v>
      </c>
      <c r="T16" s="26">
        <v>636</v>
      </c>
      <c r="U16" s="34">
        <v>552</v>
      </c>
      <c r="V16" s="35" t="s">
        <v>875</v>
      </c>
      <c r="W16" s="26">
        <v>1</v>
      </c>
      <c r="X16" s="36">
        <f t="shared" si="9"/>
        <v>0.1111111111111111</v>
      </c>
      <c r="Y16" s="37">
        <f t="shared" si="10"/>
        <v>33.119999999999997</v>
      </c>
      <c r="Z16" s="26">
        <v>0</v>
      </c>
      <c r="AA16" s="26" t="s">
        <v>37</v>
      </c>
      <c r="AB16" s="38">
        <f t="shared" si="11"/>
        <v>-0.69</v>
      </c>
      <c r="AC16" s="39">
        <v>8.9249999999999996E-2</v>
      </c>
      <c r="AD16" s="37">
        <f t="shared" si="12"/>
        <v>-1.1084849999999999</v>
      </c>
      <c r="AE16" s="37">
        <v>-5.42</v>
      </c>
      <c r="AF16" s="37">
        <v>-12.720516060606</v>
      </c>
      <c r="AG16" s="37">
        <v>0</v>
      </c>
    </row>
    <row r="17" spans="1:33" ht="15.75" customHeight="1" x14ac:dyDescent="0.2">
      <c r="A17" s="26" t="s">
        <v>61</v>
      </c>
      <c r="B17" s="26" t="s">
        <v>105</v>
      </c>
      <c r="C17" s="14">
        <f t="shared" si="4"/>
        <v>34.328333333333333</v>
      </c>
      <c r="D17" s="27">
        <v>12</v>
      </c>
      <c r="E17" s="27">
        <v>0</v>
      </c>
      <c r="F17" s="30">
        <v>411.94</v>
      </c>
      <c r="G17" s="28">
        <v>-38.69</v>
      </c>
      <c r="H17" s="29">
        <f t="shared" si="1"/>
        <v>9.3921444870612214E-2</v>
      </c>
      <c r="I17" s="29">
        <f t="shared" si="2"/>
        <v>0.22271908530368698</v>
      </c>
      <c r="J17" s="30">
        <f t="shared" si="5"/>
        <v>91.746900000000807</v>
      </c>
      <c r="K17" s="30">
        <f t="shared" si="3"/>
        <v>7.6455750000000675</v>
      </c>
      <c r="L17" s="27">
        <v>42</v>
      </c>
      <c r="M17" s="31">
        <f t="shared" si="6"/>
        <v>0.2857142857142857</v>
      </c>
      <c r="N17" s="27">
        <v>199</v>
      </c>
      <c r="O17" s="32">
        <f t="shared" ref="O17:P17" si="25">D17/7</f>
        <v>1.7142857142857142</v>
      </c>
      <c r="P17" s="32">
        <f t="shared" si="25"/>
        <v>0</v>
      </c>
      <c r="Q17" s="27">
        <f t="shared" si="8"/>
        <v>116</v>
      </c>
      <c r="R17" s="27"/>
      <c r="S17" s="33">
        <v>1.20141342756183</v>
      </c>
      <c r="T17" s="26">
        <v>636</v>
      </c>
      <c r="U17" s="34">
        <v>552</v>
      </c>
      <c r="V17" s="35" t="s">
        <v>875</v>
      </c>
      <c r="W17" s="26">
        <v>2</v>
      </c>
      <c r="X17" s="36">
        <f t="shared" si="9"/>
        <v>0.16666666666666666</v>
      </c>
      <c r="Y17" s="37">
        <f t="shared" si="10"/>
        <v>19.344999999999999</v>
      </c>
      <c r="Z17" s="26">
        <v>0</v>
      </c>
      <c r="AA17" s="26" t="s">
        <v>37</v>
      </c>
      <c r="AB17" s="38">
        <f t="shared" si="11"/>
        <v>-0.69</v>
      </c>
      <c r="AC17" s="39">
        <v>8.9249999999999996E-2</v>
      </c>
      <c r="AD17" s="37">
        <f t="shared" si="12"/>
        <v>-1.4779799999999998</v>
      </c>
      <c r="AE17" s="37">
        <v>-5.42</v>
      </c>
      <c r="AF17" s="37">
        <v>-12.766176666666601</v>
      </c>
      <c r="AG17" s="37">
        <v>0</v>
      </c>
    </row>
    <row r="18" spans="1:33" ht="15.75" customHeight="1" x14ac:dyDescent="0.2">
      <c r="A18" s="26" t="s">
        <v>62</v>
      </c>
      <c r="B18" s="26" t="s">
        <v>876</v>
      </c>
      <c r="C18" s="14">
        <f t="shared" si="4"/>
        <v>31.463333333333328</v>
      </c>
      <c r="D18" s="27">
        <v>12</v>
      </c>
      <c r="E18" s="27">
        <v>0</v>
      </c>
      <c r="F18" s="30">
        <v>377.55999999999995</v>
      </c>
      <c r="G18" s="28">
        <v>-35.010000000000005</v>
      </c>
      <c r="H18" s="29">
        <f t="shared" si="1"/>
        <v>9.2726983790655818E-2</v>
      </c>
      <c r="I18" s="29">
        <f t="shared" si="2"/>
        <v>0.17534669986227555</v>
      </c>
      <c r="J18" s="30">
        <f t="shared" si="5"/>
        <v>66.203900000000743</v>
      </c>
      <c r="K18" s="30">
        <f t="shared" si="3"/>
        <v>5.5169916666667289</v>
      </c>
      <c r="L18" s="27">
        <v>48</v>
      </c>
      <c r="M18" s="31">
        <f t="shared" si="6"/>
        <v>0.25</v>
      </c>
      <c r="N18" s="27">
        <v>207</v>
      </c>
      <c r="O18" s="32">
        <f t="shared" ref="O18:P18" si="26">D18/7</f>
        <v>1.7142857142857142</v>
      </c>
      <c r="P18" s="32">
        <f t="shared" si="26"/>
        <v>0</v>
      </c>
      <c r="Q18" s="27">
        <f t="shared" si="8"/>
        <v>120</v>
      </c>
      <c r="R18" s="27"/>
      <c r="S18" s="33">
        <v>1.0086956521739101</v>
      </c>
      <c r="T18" s="26">
        <v>636</v>
      </c>
      <c r="U18" s="34">
        <v>552</v>
      </c>
      <c r="V18" s="35" t="s">
        <v>875</v>
      </c>
      <c r="W18" s="26">
        <v>2</v>
      </c>
      <c r="X18" s="36">
        <f t="shared" si="9"/>
        <v>0.16666666666666666</v>
      </c>
      <c r="Y18" s="37">
        <f t="shared" si="10"/>
        <v>7.0020000000000007</v>
      </c>
      <c r="Z18" s="26">
        <v>3</v>
      </c>
      <c r="AA18" s="26" t="s">
        <v>37</v>
      </c>
      <c r="AB18" s="38">
        <f t="shared" si="11"/>
        <v>-0.69</v>
      </c>
      <c r="AC18" s="39">
        <v>8.9249999999999996E-2</v>
      </c>
      <c r="AD18" s="37">
        <f t="shared" si="12"/>
        <v>-1.4779799999999998</v>
      </c>
      <c r="AE18" s="37">
        <v>-5.42</v>
      </c>
      <c r="AF18" s="37">
        <v>-12.766176666666601</v>
      </c>
      <c r="AG18" s="37">
        <v>0</v>
      </c>
    </row>
    <row r="19" spans="1:33" ht="15.75" customHeight="1" x14ac:dyDescent="0.2">
      <c r="A19" s="26" t="s">
        <v>64</v>
      </c>
      <c r="B19" s="26" t="s">
        <v>105</v>
      </c>
      <c r="C19" s="14">
        <f t="shared" si="4"/>
        <v>30.68266666666667</v>
      </c>
      <c r="D19" s="27">
        <v>15</v>
      </c>
      <c r="E19" s="27">
        <v>0</v>
      </c>
      <c r="F19" s="30">
        <v>460.24000000000007</v>
      </c>
      <c r="G19" s="28">
        <v>-34.649999999999991</v>
      </c>
      <c r="H19" s="29">
        <f t="shared" si="1"/>
        <v>7.528680688336517E-2</v>
      </c>
      <c r="I19" s="29">
        <f t="shared" si="2"/>
        <v>0.1779807817660353</v>
      </c>
      <c r="J19" s="30">
        <f t="shared" si="5"/>
        <v>81.91387500000009</v>
      </c>
      <c r="K19" s="30">
        <f t="shared" si="3"/>
        <v>5.4609250000000058</v>
      </c>
      <c r="L19" s="27">
        <v>48</v>
      </c>
      <c r="M19" s="31">
        <f t="shared" si="6"/>
        <v>0.3125</v>
      </c>
      <c r="N19" s="27">
        <v>238</v>
      </c>
      <c r="O19" s="32">
        <f t="shared" ref="O19:P19" si="27">D19/7</f>
        <v>2.1428571428571428</v>
      </c>
      <c r="P19" s="32">
        <f t="shared" si="27"/>
        <v>0</v>
      </c>
      <c r="Q19" s="27">
        <f t="shared" si="8"/>
        <v>111</v>
      </c>
      <c r="R19" s="27"/>
      <c r="S19" s="33">
        <v>1.0140845070422499</v>
      </c>
      <c r="T19" s="26">
        <v>84</v>
      </c>
      <c r="U19" s="34" t="s">
        <v>34</v>
      </c>
      <c r="V19" s="35" t="s">
        <v>34</v>
      </c>
      <c r="W19" s="26">
        <v>1</v>
      </c>
      <c r="X19" s="36">
        <f t="shared" si="9"/>
        <v>6.6666666666666666E-2</v>
      </c>
      <c r="Y19" s="37">
        <f t="shared" si="10"/>
        <v>34.649999999999991</v>
      </c>
      <c r="Z19" s="26">
        <v>0</v>
      </c>
      <c r="AA19" s="26" t="s">
        <v>37</v>
      </c>
      <c r="AB19" s="38">
        <f t="shared" si="11"/>
        <v>-0.69</v>
      </c>
      <c r="AC19" s="39">
        <v>8.9249999999999996E-2</v>
      </c>
      <c r="AD19" s="37">
        <f t="shared" si="12"/>
        <v>-1.8474749999999998</v>
      </c>
      <c r="AE19" s="37">
        <v>-5.42</v>
      </c>
      <c r="AF19" s="37">
        <v>-12.766176666666667</v>
      </c>
      <c r="AG19" s="37">
        <v>0</v>
      </c>
    </row>
    <row r="20" spans="1:33" ht="15.75" customHeight="1" x14ac:dyDescent="0.2">
      <c r="A20" s="26" t="s">
        <v>65</v>
      </c>
      <c r="B20" s="26" t="s">
        <v>877</v>
      </c>
      <c r="C20" s="14">
        <f t="shared" si="4"/>
        <v>29.967777777777776</v>
      </c>
      <c r="D20" s="27">
        <v>9</v>
      </c>
      <c r="E20" s="27">
        <v>0</v>
      </c>
      <c r="F20" s="30">
        <v>269.70999999999998</v>
      </c>
      <c r="G20" s="28">
        <v>-11.819999999999999</v>
      </c>
      <c r="H20" s="29">
        <f t="shared" si="1"/>
        <v>4.3824848911794147E-2</v>
      </c>
      <c r="I20" s="29">
        <f t="shared" si="2"/>
        <v>0.19520753772570532</v>
      </c>
      <c r="J20" s="30">
        <f t="shared" si="5"/>
        <v>52.649424999999979</v>
      </c>
      <c r="K20" s="30">
        <f t="shared" si="3"/>
        <v>5.8499361111111092</v>
      </c>
      <c r="L20" s="27">
        <v>22</v>
      </c>
      <c r="M20" s="31">
        <f t="shared" si="6"/>
        <v>0.40909090909090912</v>
      </c>
      <c r="N20" s="27">
        <v>228</v>
      </c>
      <c r="O20" s="32">
        <f t="shared" ref="O20:P20" si="28">D20/7</f>
        <v>1.2857142857142858</v>
      </c>
      <c r="P20" s="32">
        <f t="shared" si="28"/>
        <v>0</v>
      </c>
      <c r="Q20" s="27">
        <f t="shared" si="8"/>
        <v>177</v>
      </c>
      <c r="R20" s="27"/>
      <c r="S20" s="33">
        <v>0.50847457627118597</v>
      </c>
      <c r="T20" s="26">
        <v>84</v>
      </c>
      <c r="U20" s="34" t="s">
        <v>34</v>
      </c>
      <c r="V20" s="35" t="s">
        <v>34</v>
      </c>
      <c r="W20" s="26">
        <v>1</v>
      </c>
      <c r="X20" s="36">
        <f t="shared" si="9"/>
        <v>0.1111111111111111</v>
      </c>
      <c r="Y20" s="37">
        <f t="shared" si="10"/>
        <v>11.819999999999999</v>
      </c>
      <c r="Z20" s="26">
        <v>0</v>
      </c>
      <c r="AA20" s="26" t="s">
        <v>37</v>
      </c>
      <c r="AB20" s="38">
        <f t="shared" si="11"/>
        <v>-0.69</v>
      </c>
      <c r="AC20" s="39">
        <v>8.9249999999999996E-2</v>
      </c>
      <c r="AD20" s="37">
        <f t="shared" si="12"/>
        <v>-1.1084849999999999</v>
      </c>
      <c r="AE20" s="37">
        <v>-5.42</v>
      </c>
      <c r="AF20" s="37">
        <v>-12.766176666666667</v>
      </c>
      <c r="AG20" s="37">
        <v>0</v>
      </c>
    </row>
    <row r="21" spans="1:33" ht="15.75" customHeight="1" x14ac:dyDescent="0.2">
      <c r="A21" s="26" t="s">
        <v>66</v>
      </c>
      <c r="B21" s="26" t="s">
        <v>878</v>
      </c>
      <c r="C21" s="14">
        <f t="shared" si="4"/>
        <v>27.835882352941184</v>
      </c>
      <c r="D21" s="27">
        <v>17</v>
      </c>
      <c r="E21" s="27">
        <v>0</v>
      </c>
      <c r="F21" s="30">
        <v>473.21000000000009</v>
      </c>
      <c r="G21" s="28">
        <v>-33.410000000000004</v>
      </c>
      <c r="H21" s="29">
        <f t="shared" si="1"/>
        <v>7.0602903573466325E-2</v>
      </c>
      <c r="I21" s="29">
        <f t="shared" si="2"/>
        <v>0.12171349389893849</v>
      </c>
      <c r="J21" s="30">
        <f t="shared" si="5"/>
        <v>57.596042447916695</v>
      </c>
      <c r="K21" s="30">
        <f t="shared" si="3"/>
        <v>3.3880024969362763</v>
      </c>
      <c r="L21" s="27">
        <v>24</v>
      </c>
      <c r="M21" s="31">
        <f t="shared" si="6"/>
        <v>0.70833333333333337</v>
      </c>
      <c r="N21" s="27">
        <v>212</v>
      </c>
      <c r="O21" s="32">
        <f t="shared" ref="O21:P21" si="29">D21/7</f>
        <v>2.4285714285714284</v>
      </c>
      <c r="P21" s="32">
        <f t="shared" si="29"/>
        <v>0</v>
      </c>
      <c r="Q21" s="27">
        <f t="shared" si="8"/>
        <v>87</v>
      </c>
      <c r="R21" s="27"/>
      <c r="S21" s="33">
        <v>0.67298578199052095</v>
      </c>
      <c r="T21" s="26" t="s">
        <v>34</v>
      </c>
      <c r="U21" s="34" t="s">
        <v>34</v>
      </c>
      <c r="V21" s="35" t="s">
        <v>34</v>
      </c>
      <c r="W21" s="26">
        <v>2</v>
      </c>
      <c r="X21" s="36">
        <f t="shared" si="9"/>
        <v>0.11764705882352941</v>
      </c>
      <c r="Y21" s="37">
        <f t="shared" si="10"/>
        <v>16.705000000000002</v>
      </c>
      <c r="Z21" s="26">
        <v>0</v>
      </c>
      <c r="AA21" s="26" t="s">
        <v>37</v>
      </c>
      <c r="AB21" s="38">
        <f t="shared" si="11"/>
        <v>-0.69</v>
      </c>
      <c r="AC21" s="39">
        <v>8.7700520833333337E-2</v>
      </c>
      <c r="AD21" s="37">
        <f t="shared" si="12"/>
        <v>-2.0574542187499998</v>
      </c>
      <c r="AE21" s="37">
        <v>-5.42</v>
      </c>
      <c r="AF21" s="37">
        <v>-12.766176666666667</v>
      </c>
      <c r="AG21" s="37">
        <v>0</v>
      </c>
    </row>
    <row r="22" spans="1:33" ht="15.75" customHeight="1" x14ac:dyDescent="0.2">
      <c r="A22" s="26" t="s">
        <v>67</v>
      </c>
      <c r="B22" s="26" t="s">
        <v>200</v>
      </c>
      <c r="C22" s="14">
        <f t="shared" si="4"/>
        <v>27.528461538461539</v>
      </c>
      <c r="D22" s="27">
        <v>13</v>
      </c>
      <c r="E22" s="27">
        <v>1</v>
      </c>
      <c r="F22" s="28">
        <v>357.87</v>
      </c>
      <c r="G22" s="28">
        <v>0</v>
      </c>
      <c r="H22" s="29">
        <f t="shared" si="1"/>
        <v>0</v>
      </c>
      <c r="I22" s="29">
        <f t="shared" si="2"/>
        <v>0.18497179419784657</v>
      </c>
      <c r="J22" s="30">
        <f t="shared" si="5"/>
        <v>66.19585598958335</v>
      </c>
      <c r="K22" s="30">
        <f t="shared" si="3"/>
        <v>5.0919889222756423</v>
      </c>
      <c r="L22" s="27">
        <v>38</v>
      </c>
      <c r="M22" s="31">
        <f t="shared" si="6"/>
        <v>0.34210526315789475</v>
      </c>
      <c r="N22" s="27">
        <v>199</v>
      </c>
      <c r="O22" s="32">
        <f t="shared" ref="O22:P22" si="30">D22/7</f>
        <v>1.8571428571428572</v>
      </c>
      <c r="P22" s="32">
        <f t="shared" si="30"/>
        <v>0.14285714285714285</v>
      </c>
      <c r="Q22" s="27">
        <f t="shared" si="8"/>
        <v>99</v>
      </c>
      <c r="R22" s="27"/>
      <c r="S22" s="33">
        <v>0.81188118811881105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8.7700520833333337E-2</v>
      </c>
      <c r="AD22" s="37">
        <f t="shared" si="12"/>
        <v>-1.5733473437500001</v>
      </c>
      <c r="AE22" s="37">
        <v>-5.42</v>
      </c>
      <c r="AF22" s="37">
        <v>-12.766176666666667</v>
      </c>
      <c r="AG22" s="37">
        <v>0</v>
      </c>
    </row>
    <row r="23" spans="1:33" ht="15.75" customHeight="1" x14ac:dyDescent="0.2">
      <c r="A23" s="26" t="s">
        <v>68</v>
      </c>
      <c r="B23" s="26" t="s">
        <v>879</v>
      </c>
      <c r="C23" s="14">
        <f t="shared" si="4"/>
        <v>27.169999999999998</v>
      </c>
      <c r="D23" s="27">
        <v>5</v>
      </c>
      <c r="E23" s="27">
        <v>0</v>
      </c>
      <c r="F23" s="30">
        <v>135.85</v>
      </c>
      <c r="G23" s="28">
        <v>0</v>
      </c>
      <c r="H23" s="29">
        <f t="shared" si="1"/>
        <v>0</v>
      </c>
      <c r="I23" s="29">
        <f t="shared" si="2"/>
        <v>0.17619788791252605</v>
      </c>
      <c r="J23" s="30">
        <f t="shared" si="5"/>
        <v>23.936483072916662</v>
      </c>
      <c r="K23" s="30">
        <f t="shared" si="3"/>
        <v>4.7872966145833322</v>
      </c>
      <c r="L23" s="27">
        <v>36</v>
      </c>
      <c r="M23" s="31">
        <f t="shared" si="6"/>
        <v>0.1388888888888889</v>
      </c>
      <c r="N23" s="27">
        <v>190</v>
      </c>
      <c r="O23" s="32">
        <f t="shared" ref="O23:P23" si="31">D23/7</f>
        <v>0.7142857142857143</v>
      </c>
      <c r="P23" s="32">
        <f t="shared" si="31"/>
        <v>0</v>
      </c>
      <c r="Q23" s="27">
        <f t="shared" si="8"/>
        <v>266</v>
      </c>
      <c r="R23" s="27"/>
      <c r="S23" s="33">
        <v>0.92385786802030401</v>
      </c>
      <c r="T23" s="26">
        <v>84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8.7700520833333337E-2</v>
      </c>
      <c r="AD23" s="37">
        <f t="shared" si="12"/>
        <v>-0.60513359374999998</v>
      </c>
      <c r="AE23" s="37">
        <v>-5.42</v>
      </c>
      <c r="AF23" s="37">
        <v>-12.766176666666667</v>
      </c>
      <c r="AG23" s="37">
        <v>0</v>
      </c>
    </row>
    <row r="24" spans="1:33" ht="15.75" customHeight="1" x14ac:dyDescent="0.2">
      <c r="A24" s="26" t="s">
        <v>71</v>
      </c>
      <c r="B24" s="26" t="s">
        <v>831</v>
      </c>
      <c r="C24" s="14">
        <f t="shared" si="4"/>
        <v>25.076956521739135</v>
      </c>
      <c r="D24" s="27">
        <v>23</v>
      </c>
      <c r="E24" s="27">
        <v>0</v>
      </c>
      <c r="F24" s="30">
        <v>576.7700000000001</v>
      </c>
      <c r="G24" s="30">
        <v>0</v>
      </c>
      <c r="H24" s="29">
        <f t="shared" si="1"/>
        <v>0</v>
      </c>
      <c r="I24" s="29">
        <f t="shared" si="2"/>
        <v>0.11995912085478909</v>
      </c>
      <c r="J24" s="30">
        <f t="shared" si="5"/>
        <v>69.188822135416714</v>
      </c>
      <c r="K24" s="30">
        <f t="shared" si="3"/>
        <v>3.0082096580615962</v>
      </c>
      <c r="L24" s="27">
        <v>62</v>
      </c>
      <c r="M24" s="31">
        <f t="shared" si="6"/>
        <v>0.37096774193548387</v>
      </c>
      <c r="N24" s="27">
        <v>170</v>
      </c>
      <c r="O24" s="32">
        <f t="shared" ref="O24:P24" si="32">D24/7</f>
        <v>3.2857142857142856</v>
      </c>
      <c r="P24" s="32">
        <f t="shared" si="32"/>
        <v>0</v>
      </c>
      <c r="Q24" s="27">
        <f t="shared" si="8"/>
        <v>51</v>
      </c>
      <c r="R24" s="27"/>
      <c r="S24" s="33">
        <v>0.64220183486238502</v>
      </c>
      <c r="T24" s="26">
        <v>84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8.7700520833333337E-2</v>
      </c>
      <c r="AD24" s="37">
        <f t="shared" si="12"/>
        <v>-2.78361453125</v>
      </c>
      <c r="AE24" s="37">
        <v>-5.42</v>
      </c>
      <c r="AF24" s="37">
        <v>-12.766176666666667</v>
      </c>
      <c r="AG24" s="37">
        <v>0</v>
      </c>
    </row>
    <row r="25" spans="1:33" ht="15.75" customHeight="1" x14ac:dyDescent="0.2">
      <c r="A25" s="40" t="s">
        <v>73</v>
      </c>
      <c r="B25" s="26" t="s">
        <v>831</v>
      </c>
      <c r="C25" s="14">
        <f t="shared" si="4"/>
        <v>24.99</v>
      </c>
      <c r="D25" s="15">
        <v>8</v>
      </c>
      <c r="E25" s="15">
        <v>0</v>
      </c>
      <c r="F25" s="16">
        <v>199.92</v>
      </c>
      <c r="G25" s="16">
        <v>0</v>
      </c>
      <c r="H25" s="29">
        <f t="shared" si="1"/>
        <v>0</v>
      </c>
      <c r="I25" s="29">
        <f t="shared" si="2"/>
        <v>0.11726583758503398</v>
      </c>
      <c r="J25" s="30">
        <f t="shared" si="5"/>
        <v>23.443786249999992</v>
      </c>
      <c r="K25" s="30">
        <f t="shared" si="3"/>
        <v>2.930473281249999</v>
      </c>
      <c r="L25" s="15">
        <v>56</v>
      </c>
      <c r="M25" s="31">
        <f t="shared" si="6"/>
        <v>0.14285714285714285</v>
      </c>
      <c r="N25" s="15">
        <v>155</v>
      </c>
      <c r="O25" s="32">
        <f t="shared" ref="O25:P25" si="33">D25/7</f>
        <v>1.1428571428571428</v>
      </c>
      <c r="P25" s="32">
        <f t="shared" si="33"/>
        <v>0</v>
      </c>
      <c r="Q25" s="27">
        <f t="shared" si="8"/>
        <v>135</v>
      </c>
      <c r="R25" s="27"/>
      <c r="S25" s="41">
        <v>0.82781456953642385</v>
      </c>
      <c r="T25" s="26">
        <v>84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8.7700520833333337E-2</v>
      </c>
      <c r="AD25" s="37">
        <f t="shared" si="12"/>
        <v>-0.96821374999999998</v>
      </c>
      <c r="AE25" s="42">
        <v>-5.42</v>
      </c>
      <c r="AF25" s="42">
        <v>-12.77</v>
      </c>
      <c r="AG25" s="42">
        <v>0</v>
      </c>
    </row>
    <row r="26" spans="1:33" ht="15.75" customHeight="1" x14ac:dyDescent="0.2">
      <c r="A26" s="40" t="s">
        <v>75</v>
      </c>
      <c r="B26" s="26" t="s">
        <v>880</v>
      </c>
      <c r="C26" s="14">
        <f t="shared" si="4"/>
        <v>24.99</v>
      </c>
      <c r="D26" s="15">
        <v>6</v>
      </c>
      <c r="E26" s="15">
        <v>0</v>
      </c>
      <c r="F26" s="16">
        <v>149.94</v>
      </c>
      <c r="G26" s="16">
        <v>-0.55000000000000004</v>
      </c>
      <c r="H26" s="29">
        <f t="shared" si="1"/>
        <v>3.6681339202347609E-3</v>
      </c>
      <c r="I26" s="29">
        <f t="shared" si="2"/>
        <v>0.10334653653128187</v>
      </c>
      <c r="J26" s="30">
        <f t="shared" si="5"/>
        <v>15.495779687500402</v>
      </c>
      <c r="K26" s="30">
        <f t="shared" si="3"/>
        <v>2.5826299479167338</v>
      </c>
      <c r="L26" s="15">
        <v>29</v>
      </c>
      <c r="M26" s="31">
        <f t="shared" si="6"/>
        <v>0.20689655172413793</v>
      </c>
      <c r="N26" s="15">
        <v>150</v>
      </c>
      <c r="O26" s="32">
        <f t="shared" ref="O26:P26" si="34">D26/7</f>
        <v>0.8571428571428571</v>
      </c>
      <c r="P26" s="32">
        <f t="shared" si="34"/>
        <v>0</v>
      </c>
      <c r="Q26" s="27">
        <f t="shared" si="8"/>
        <v>175</v>
      </c>
      <c r="R26" s="27"/>
      <c r="S26" s="41">
        <v>0.94290976058931864</v>
      </c>
      <c r="T26" s="26">
        <v>84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8.7700520833333337E-2</v>
      </c>
      <c r="AD26" s="37">
        <f t="shared" si="12"/>
        <v>-0.72616031250000002</v>
      </c>
      <c r="AE26" s="42">
        <v>-5.68</v>
      </c>
      <c r="AF26" s="42">
        <v>-12.766176666666601</v>
      </c>
      <c r="AG26" s="42">
        <v>0</v>
      </c>
    </row>
    <row r="27" spans="1:33" ht="15.75" customHeight="1" x14ac:dyDescent="0.2">
      <c r="A27" s="40" t="s">
        <v>77</v>
      </c>
      <c r="B27" s="40" t="s">
        <v>881</v>
      </c>
      <c r="C27" s="14">
        <f t="shared" si="4"/>
        <v>24.99</v>
      </c>
      <c r="D27" s="15">
        <v>12</v>
      </c>
      <c r="E27" s="15">
        <v>0</v>
      </c>
      <c r="F27" s="16">
        <v>299.88</v>
      </c>
      <c r="G27" s="16">
        <v>-32.46</v>
      </c>
      <c r="H27" s="29">
        <f t="shared" si="1"/>
        <v>0.10824329731892758</v>
      </c>
      <c r="I27" s="29">
        <f t="shared" si="2"/>
        <v>-1.228626867411E-3</v>
      </c>
      <c r="J27" s="30">
        <f t="shared" si="5"/>
        <v>-0.36844062499921071</v>
      </c>
      <c r="K27" s="30">
        <f t="shared" si="3"/>
        <v>-3.0703385416600892E-2</v>
      </c>
      <c r="L27" s="15">
        <v>61</v>
      </c>
      <c r="M27" s="31">
        <f t="shared" si="6"/>
        <v>0.19672131147540983</v>
      </c>
      <c r="N27" s="15">
        <v>138</v>
      </c>
      <c r="O27" s="32">
        <f t="shared" ref="O27:P27" si="35">D27/7</f>
        <v>1.7142857142857142</v>
      </c>
      <c r="P27" s="32">
        <f t="shared" si="35"/>
        <v>0</v>
      </c>
      <c r="Q27" s="27">
        <f t="shared" si="8"/>
        <v>80</v>
      </c>
      <c r="R27" s="27"/>
      <c r="S27" s="41">
        <v>1.0676691729323311</v>
      </c>
      <c r="T27" s="26">
        <v>84</v>
      </c>
      <c r="U27" s="34" t="s">
        <v>34</v>
      </c>
      <c r="V27" s="35" t="s">
        <v>34</v>
      </c>
      <c r="W27" s="40">
        <v>2</v>
      </c>
      <c r="X27" s="36">
        <f t="shared" si="9"/>
        <v>0.16666666666666666</v>
      </c>
      <c r="Y27" s="37">
        <f t="shared" si="10"/>
        <v>16.23</v>
      </c>
      <c r="Z27" s="40">
        <v>0</v>
      </c>
      <c r="AA27" s="26" t="s">
        <v>37</v>
      </c>
      <c r="AB27" s="38">
        <f t="shared" si="11"/>
        <v>-0.69</v>
      </c>
      <c r="AC27" s="39">
        <v>8.7700520833333337E-2</v>
      </c>
      <c r="AD27" s="37">
        <f t="shared" si="12"/>
        <v>-1.452320625</v>
      </c>
      <c r="AE27" s="42">
        <v>-5.68</v>
      </c>
      <c r="AF27" s="42">
        <v>-12.766176666666601</v>
      </c>
      <c r="AG27" s="42">
        <v>0</v>
      </c>
    </row>
    <row r="28" spans="1:33" ht="15.75" customHeight="1" x14ac:dyDescent="0.2">
      <c r="A28" s="40" t="s">
        <v>79</v>
      </c>
      <c r="B28" s="40" t="s">
        <v>105</v>
      </c>
      <c r="C28" s="14">
        <f t="shared" si="4"/>
        <v>24.989999999999995</v>
      </c>
      <c r="D28" s="15">
        <v>19</v>
      </c>
      <c r="E28" s="15">
        <v>0</v>
      </c>
      <c r="F28" s="16">
        <v>474.80999999999989</v>
      </c>
      <c r="G28" s="16">
        <v>-41.12</v>
      </c>
      <c r="H28" s="29">
        <f t="shared" si="1"/>
        <v>8.6603062277542608E-2</v>
      </c>
      <c r="I28" s="29">
        <f t="shared" si="2"/>
        <v>2.0411608173973788E-2</v>
      </c>
      <c r="J28" s="30">
        <f t="shared" si="5"/>
        <v>9.6916356770844914</v>
      </c>
      <c r="K28" s="30">
        <f t="shared" si="3"/>
        <v>0.51008608826760482</v>
      </c>
      <c r="L28" s="15">
        <v>57</v>
      </c>
      <c r="M28" s="31">
        <f t="shared" si="6"/>
        <v>0.33333333333333331</v>
      </c>
      <c r="N28" s="15">
        <v>120</v>
      </c>
      <c r="O28" s="32">
        <f t="shared" ref="O28:P28" si="36">D28/7</f>
        <v>2.7142857142857144</v>
      </c>
      <c r="P28" s="32">
        <f t="shared" si="36"/>
        <v>0</v>
      </c>
      <c r="Q28" s="27">
        <f t="shared" si="8"/>
        <v>44</v>
      </c>
      <c r="R28" s="27"/>
      <c r="S28" s="41">
        <v>0.76142131979695427</v>
      </c>
      <c r="T28" s="40" t="s">
        <v>34</v>
      </c>
      <c r="U28" s="22" t="s">
        <v>34</v>
      </c>
      <c r="V28" s="1" t="s">
        <v>882</v>
      </c>
      <c r="W28" s="40">
        <v>1</v>
      </c>
      <c r="X28" s="36">
        <f t="shared" si="9"/>
        <v>5.2631578947368418E-2</v>
      </c>
      <c r="Y28" s="37">
        <f t="shared" si="10"/>
        <v>41.12</v>
      </c>
      <c r="Z28" s="40">
        <v>0</v>
      </c>
      <c r="AA28" s="26" t="s">
        <v>37</v>
      </c>
      <c r="AB28" s="38">
        <f t="shared" si="11"/>
        <v>-0.69</v>
      </c>
      <c r="AC28" s="39">
        <v>8.7700520833333337E-2</v>
      </c>
      <c r="AD28" s="37">
        <f t="shared" si="12"/>
        <v>-2.2995076562499999</v>
      </c>
      <c r="AE28" s="42">
        <v>-5.68</v>
      </c>
      <c r="AF28" s="42">
        <v>-12.766176666666601</v>
      </c>
      <c r="AG28" s="42">
        <v>0</v>
      </c>
    </row>
    <row r="29" spans="1:33" ht="15.75" customHeight="1" x14ac:dyDescent="0.2">
      <c r="A29" s="26" t="s">
        <v>82</v>
      </c>
      <c r="B29" s="26" t="s">
        <v>883</v>
      </c>
      <c r="C29" s="14">
        <f t="shared" si="4"/>
        <v>24.990000000000002</v>
      </c>
      <c r="D29" s="27">
        <v>14</v>
      </c>
      <c r="E29" s="27">
        <v>0</v>
      </c>
      <c r="F29" s="30">
        <v>349.86</v>
      </c>
      <c r="G29" s="30">
        <v>-10.35</v>
      </c>
      <c r="H29" s="29">
        <f t="shared" si="1"/>
        <v>2.9583261876179042E-2</v>
      </c>
      <c r="I29" s="29">
        <f t="shared" si="2"/>
        <v>7.7431408575337535E-2</v>
      </c>
      <c r="J29" s="30">
        <f t="shared" si="5"/>
        <v>27.090152604167589</v>
      </c>
      <c r="K29" s="30">
        <f t="shared" si="3"/>
        <v>1.935010900297685</v>
      </c>
      <c r="L29" s="27">
        <v>62</v>
      </c>
      <c r="M29" s="31">
        <f t="shared" si="6"/>
        <v>0.22580645161290322</v>
      </c>
      <c r="N29" s="15">
        <v>104</v>
      </c>
      <c r="O29" s="32">
        <f t="shared" ref="O29:P29" si="37">D29/7</f>
        <v>2</v>
      </c>
      <c r="P29" s="32">
        <f t="shared" si="37"/>
        <v>0</v>
      </c>
      <c r="Q29" s="27">
        <f t="shared" si="8"/>
        <v>52</v>
      </c>
      <c r="R29" s="27"/>
      <c r="S29" s="41">
        <v>0.90784044016506193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8.7700520833333337E-2</v>
      </c>
      <c r="AD29" s="37">
        <f t="shared" si="12"/>
        <v>-1.6943740624999999</v>
      </c>
      <c r="AE29" s="37">
        <v>-5.68</v>
      </c>
      <c r="AF29" s="42">
        <v>-12.766176666666601</v>
      </c>
      <c r="AG29" s="37">
        <v>0</v>
      </c>
    </row>
    <row r="30" spans="1:33" ht="15.75" customHeight="1" x14ac:dyDescent="0.2">
      <c r="A30" s="40" t="s">
        <v>84</v>
      </c>
      <c r="B30" s="40" t="s">
        <v>683</v>
      </c>
      <c r="C30" s="14">
        <f t="shared" si="4"/>
        <v>25.726842105263163</v>
      </c>
      <c r="D30" s="15">
        <v>19</v>
      </c>
      <c r="E30" s="15">
        <v>0</v>
      </c>
      <c r="F30" s="16">
        <v>488.81000000000012</v>
      </c>
      <c r="G30" s="16">
        <v>-0.36</v>
      </c>
      <c r="H30" s="29">
        <f t="shared" si="1"/>
        <v>7.3648247785438085E-4</v>
      </c>
      <c r="I30" s="29">
        <f t="shared" si="2"/>
        <v>0.13149002198281007</v>
      </c>
      <c r="J30" s="30">
        <f t="shared" si="5"/>
        <v>64.273637645417409</v>
      </c>
      <c r="K30" s="30">
        <f t="shared" si="3"/>
        <v>3.3828230339693373</v>
      </c>
      <c r="L30" s="15">
        <v>36</v>
      </c>
      <c r="M30" s="31">
        <f t="shared" si="6"/>
        <v>0.52777777777777779</v>
      </c>
      <c r="N30" s="15">
        <v>88</v>
      </c>
      <c r="O30" s="32">
        <f t="shared" ref="O30:P30" si="38">D30/7</f>
        <v>2.7142857142857144</v>
      </c>
      <c r="P30" s="32">
        <f t="shared" si="38"/>
        <v>0</v>
      </c>
      <c r="Q30" s="27">
        <f t="shared" si="8"/>
        <v>32</v>
      </c>
      <c r="R30" s="27"/>
      <c r="S30" s="41">
        <v>1.043219076005961</v>
      </c>
      <c r="T30" s="26">
        <v>172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8.7700520833333337E-2</v>
      </c>
      <c r="AD30" s="37">
        <f t="shared" si="12"/>
        <v>-2.2995076562499999</v>
      </c>
      <c r="AE30" s="42">
        <v>-5.68</v>
      </c>
      <c r="AF30" s="42">
        <v>-12.6650186683333</v>
      </c>
      <c r="AG30" s="42">
        <v>0</v>
      </c>
    </row>
    <row r="31" spans="1:33" ht="15.75" customHeight="1" x14ac:dyDescent="0.2">
      <c r="A31" s="40" t="s">
        <v>87</v>
      </c>
      <c r="B31" s="40" t="s">
        <v>53</v>
      </c>
      <c r="C31" s="14">
        <f t="shared" si="4"/>
        <v>26.836153846153852</v>
      </c>
      <c r="D31" s="15">
        <v>13</v>
      </c>
      <c r="E31" s="15">
        <v>1</v>
      </c>
      <c r="F31" s="16">
        <v>348.87000000000006</v>
      </c>
      <c r="G31" s="43">
        <v>-0.05</v>
      </c>
      <c r="H31" s="29">
        <f t="shared" si="1"/>
        <v>1.4331986126637429E-4</v>
      </c>
      <c r="I31" s="29">
        <f t="shared" si="2"/>
        <v>0.16175340375474154</v>
      </c>
      <c r="J31" s="30">
        <f t="shared" si="5"/>
        <v>56.430909967916691</v>
      </c>
      <c r="K31" s="30">
        <f t="shared" si="3"/>
        <v>4.3408392283012835</v>
      </c>
      <c r="L31" s="15">
        <v>37</v>
      </c>
      <c r="M31" s="31">
        <f t="shared" si="6"/>
        <v>0.35135135135135137</v>
      </c>
      <c r="N31" s="15">
        <v>76</v>
      </c>
      <c r="O31" s="32">
        <f t="shared" ref="O31:P31" si="39">D31/7</f>
        <v>1.8571428571428572</v>
      </c>
      <c r="P31" s="32">
        <f t="shared" si="39"/>
        <v>0.14285714285714285</v>
      </c>
      <c r="Q31" s="27">
        <f t="shared" si="8"/>
        <v>38</v>
      </c>
      <c r="R31" s="27"/>
      <c r="S31" s="41">
        <v>1.0759493670886</v>
      </c>
      <c r="T31" s="40">
        <v>88</v>
      </c>
      <c r="U31" s="22" t="s">
        <v>34</v>
      </c>
      <c r="V31" s="1" t="s">
        <v>882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8.7700520833333337E-2</v>
      </c>
      <c r="AD31" s="37">
        <f t="shared" si="12"/>
        <v>-1.5733473437500001</v>
      </c>
      <c r="AE31" s="45">
        <v>-5.68</v>
      </c>
      <c r="AF31" s="45">
        <v>-12.665018668333333</v>
      </c>
      <c r="AG31" s="42">
        <v>0</v>
      </c>
    </row>
    <row r="32" spans="1:33" ht="15.75" customHeight="1" x14ac:dyDescent="0.2">
      <c r="A32" s="40" t="s">
        <v>90</v>
      </c>
      <c r="B32" s="40" t="s">
        <v>53</v>
      </c>
      <c r="C32" s="14">
        <f t="shared" si="4"/>
        <v>27.039411764705882</v>
      </c>
      <c r="D32" s="15">
        <v>17</v>
      </c>
      <c r="E32" s="15">
        <v>0</v>
      </c>
      <c r="F32" s="16">
        <v>459.67</v>
      </c>
      <c r="G32" s="16">
        <v>0</v>
      </c>
      <c r="H32" s="29">
        <f t="shared" si="1"/>
        <v>0</v>
      </c>
      <c r="I32" s="29">
        <f t="shared" si="2"/>
        <v>0.16706926364475364</v>
      </c>
      <c r="J32" s="30">
        <f t="shared" si="5"/>
        <v>76.7967284195839</v>
      </c>
      <c r="K32" s="30">
        <f t="shared" si="3"/>
        <v>4.5174546129167004</v>
      </c>
      <c r="L32" s="15">
        <v>42</v>
      </c>
      <c r="M32" s="31">
        <f t="shared" si="6"/>
        <v>0.40476190476190477</v>
      </c>
      <c r="N32" s="15">
        <v>59</v>
      </c>
      <c r="O32" s="32">
        <f t="shared" ref="O32:P32" si="40">D32/7</f>
        <v>2.4285714285714284</v>
      </c>
      <c r="P32" s="32">
        <f t="shared" si="40"/>
        <v>0</v>
      </c>
      <c r="Q32" s="27">
        <f t="shared" si="8"/>
        <v>24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1.1067961165048541</v>
      </c>
      <c r="T32" s="40">
        <f ca="1">IFERROR(__xludf.DUMMYFUNCTION("IFERROR(VLOOKUP($B$2,IMPORTRANGE(""https://docs.google.com/spreadsheets/d/1KiWZV1ko8G7lnRucBRBd29jj3Be6ltMfljMDqzOkQmI/edit#gid=1381463014"",""Lookup!A:D""),4,FALSE),"""")"),88)</f>
        <v>88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88 At Factory 50-75 days from Earliest Arrival")</f>
        <v>No Transit, But 88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8.7700520833333337E-2</v>
      </c>
      <c r="AD32" s="37">
        <f t="shared" si="12"/>
        <v>-2.0574542187499998</v>
      </c>
      <c r="AE32" s="42">
        <v>-5.68</v>
      </c>
      <c r="AF32" s="42">
        <v>-12.6650186683333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Info!B1:BJ5000""),3,FALSE),"""")"),"Vinyl Record Display Wall Mount, 6 Pack - Black Record Holder Shelf")</f>
        <v>Vinyl Record Display Wall Mount, 6 Pack - Black Record Holder Shelf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Info!B1:BJ5000""),2,FALSE),"""")"),"B08NLBXTHC")</f>
        <v>B08NLBXTHC</v>
      </c>
      <c r="B2" s="3" t="s">
        <v>884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17.747476761764709</v>
      </c>
      <c r="D3" s="5">
        <f>SUM(D4:D99767)</f>
        <v>131</v>
      </c>
      <c r="E3" s="5"/>
      <c r="F3" s="6">
        <f t="shared" ref="F3:G3" si="0">SUM(F4:F99767)</f>
        <v>2800.95</v>
      </c>
      <c r="G3" s="6">
        <f t="shared" si="0"/>
        <v>-560.13</v>
      </c>
      <c r="H3" s="7">
        <f>G3/F3*-1</f>
        <v>0.1999785786965137</v>
      </c>
      <c r="I3" s="8">
        <f>J3/F3</f>
        <v>-3.0757876996720151E-2</v>
      </c>
      <c r="J3" s="6">
        <f>SUM(J4:J99767)</f>
        <v>-86.151275573963304</v>
      </c>
      <c r="K3" s="6">
        <f>J3/D3</f>
        <v>-0.65764332499208633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QTY-90")</f>
        <v>US QTY-90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41</v>
      </c>
      <c r="X3" s="7">
        <f>W3/D3</f>
        <v>0.31297709923664124</v>
      </c>
      <c r="Y3" s="6"/>
      <c r="Z3" s="5"/>
      <c r="AA3" s="5"/>
      <c r="AB3" s="5"/>
      <c r="AC3" s="5"/>
      <c r="AD3" s="6">
        <f>SUM(AD4:AD99767)</f>
        <v>-25.786714008055551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Info!B2:BZ3000""),37,FALSE)),"""")*-1"),-10.1353552475)</f>
        <v>-10.1353552475</v>
      </c>
      <c r="AG3" s="6">
        <f>SUM(AG4:AG99767)</f>
        <v>-6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35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35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hidden="1" customHeight="1" x14ac:dyDescent="0.2">
      <c r="A10" s="26"/>
      <c r="B10" s="26"/>
      <c r="C10" s="14"/>
      <c r="D10" s="27"/>
      <c r="E10" s="27"/>
      <c r="F10" s="28"/>
      <c r="G10" s="28"/>
      <c r="H10" s="29"/>
      <c r="I10" s="29"/>
      <c r="J10" s="30"/>
      <c r="K10" s="30"/>
      <c r="L10" s="27"/>
      <c r="M10" s="31"/>
      <c r="N10" s="27"/>
      <c r="O10" s="32"/>
      <c r="P10" s="32"/>
      <c r="Q10" s="27"/>
      <c r="R10" s="27"/>
      <c r="S10" s="33"/>
      <c r="T10" s="26"/>
      <c r="U10" s="34"/>
      <c r="V10" s="35"/>
      <c r="W10" s="26"/>
      <c r="X10" s="36"/>
      <c r="Y10" s="37"/>
      <c r="Z10" s="26"/>
      <c r="AA10" s="26"/>
      <c r="AB10" s="38"/>
      <c r="AC10" s="39"/>
      <c r="AD10" s="37"/>
      <c r="AE10" s="37"/>
      <c r="AF10" s="37"/>
      <c r="AG10" s="37"/>
    </row>
    <row r="11" spans="1:33" ht="15.75" hidden="1" customHeight="1" x14ac:dyDescent="0.2">
      <c r="A11" s="26"/>
      <c r="B11" s="26"/>
      <c r="C11" s="14"/>
      <c r="D11" s="27"/>
      <c r="E11" s="27"/>
      <c r="F11" s="28"/>
      <c r="G11" s="28"/>
      <c r="H11" s="29"/>
      <c r="I11" s="29"/>
      <c r="J11" s="30"/>
      <c r="K11" s="30"/>
      <c r="L11" s="27"/>
      <c r="M11" s="31"/>
      <c r="N11" s="27"/>
      <c r="O11" s="32"/>
      <c r="P11" s="32"/>
      <c r="Q11" s="27"/>
      <c r="R11" s="27"/>
      <c r="S11" s="33"/>
      <c r="T11" s="26"/>
      <c r="U11" s="34"/>
      <c r="V11" s="35"/>
      <c r="W11" s="26"/>
      <c r="X11" s="36"/>
      <c r="Y11" s="37"/>
      <c r="Z11" s="26"/>
      <c r="AA11" s="26"/>
      <c r="AB11" s="38"/>
      <c r="AC11" s="39"/>
      <c r="AD11" s="37"/>
      <c r="AE11" s="37"/>
      <c r="AF11" s="37"/>
      <c r="AG11" s="37"/>
    </row>
    <row r="12" spans="1:33" ht="15.75" hidden="1" customHeight="1" x14ac:dyDescent="0.2">
      <c r="A12" s="26"/>
      <c r="B12" s="26"/>
      <c r="C12" s="14"/>
      <c r="D12" s="27"/>
      <c r="E12" s="27"/>
      <c r="F12" s="28"/>
      <c r="G12" s="28"/>
      <c r="H12" s="29"/>
      <c r="I12" s="29"/>
      <c r="J12" s="30"/>
      <c r="K12" s="30"/>
      <c r="L12" s="27"/>
      <c r="M12" s="31"/>
      <c r="N12" s="27"/>
      <c r="O12" s="32"/>
      <c r="P12" s="32"/>
      <c r="Q12" s="27"/>
      <c r="R12" s="27"/>
      <c r="S12" s="33"/>
      <c r="T12" s="26"/>
      <c r="U12" s="34"/>
      <c r="V12" s="35"/>
      <c r="W12" s="26"/>
      <c r="X12" s="36"/>
      <c r="Y12" s="37"/>
      <c r="Z12" s="26"/>
      <c r="AA12" s="26"/>
      <c r="AB12" s="38"/>
      <c r="AC12" s="39"/>
      <c r="AD12" s="37"/>
      <c r="AE12" s="37"/>
      <c r="AF12" s="37"/>
      <c r="AG12" s="37"/>
    </row>
    <row r="13" spans="1:33" ht="15.75" hidden="1" customHeight="1" x14ac:dyDescent="0.2">
      <c r="A13" s="26"/>
      <c r="B13" s="26"/>
      <c r="C13" s="14"/>
      <c r="D13" s="27"/>
      <c r="E13" s="27"/>
      <c r="F13" s="30"/>
      <c r="G13" s="28"/>
      <c r="H13" s="29"/>
      <c r="I13" s="29"/>
      <c r="J13" s="30"/>
      <c r="K13" s="30"/>
      <c r="L13" s="27"/>
      <c r="M13" s="31"/>
      <c r="N13" s="27"/>
      <c r="O13" s="32"/>
      <c r="P13" s="32"/>
      <c r="Q13" s="27"/>
      <c r="R13" s="27"/>
      <c r="S13" s="33"/>
      <c r="T13" s="26"/>
      <c r="U13" s="34"/>
      <c r="V13" s="35"/>
      <c r="W13" s="26"/>
      <c r="X13" s="36"/>
      <c r="Y13" s="37"/>
      <c r="Z13" s="26"/>
      <c r="AA13" s="26"/>
      <c r="AB13" s="38"/>
      <c r="AC13" s="39"/>
      <c r="AD13" s="37"/>
      <c r="AE13" s="37"/>
      <c r="AF13" s="37"/>
      <c r="AG13" s="37"/>
    </row>
    <row r="14" spans="1:33" ht="15.75" hidden="1" customHeight="1" x14ac:dyDescent="0.2">
      <c r="A14" s="26"/>
      <c r="B14" s="26"/>
      <c r="C14" s="14"/>
      <c r="D14" s="27"/>
      <c r="E14" s="27"/>
      <c r="F14" s="30"/>
      <c r="G14" s="28"/>
      <c r="H14" s="29"/>
      <c r="I14" s="29"/>
      <c r="J14" s="30"/>
      <c r="K14" s="30"/>
      <c r="L14" s="27"/>
      <c r="M14" s="31"/>
      <c r="N14" s="27"/>
      <c r="O14" s="32"/>
      <c r="P14" s="32"/>
      <c r="Q14" s="27"/>
      <c r="R14" s="27"/>
      <c r="S14" s="33"/>
      <c r="T14" s="26"/>
      <c r="U14" s="34"/>
      <c r="V14" s="35"/>
      <c r="W14" s="26"/>
      <c r="X14" s="36"/>
      <c r="Y14" s="37"/>
      <c r="Z14" s="26"/>
      <c r="AA14" s="26"/>
      <c r="AB14" s="38"/>
      <c r="AC14" s="39"/>
      <c r="AD14" s="37"/>
      <c r="AE14" s="37"/>
      <c r="AF14" s="37"/>
      <c r="AG14" s="37"/>
    </row>
    <row r="15" spans="1:33" ht="15.75" customHeight="1" x14ac:dyDescent="0.2">
      <c r="A15" s="26" t="s">
        <v>58</v>
      </c>
      <c r="B15" s="26" t="s">
        <v>885</v>
      </c>
      <c r="C15" s="14">
        <f t="shared" ref="C15:C32" si="1">IFERROR(F15/D15," - ")</f>
        <v>22.99</v>
      </c>
      <c r="D15" s="27">
        <v>5</v>
      </c>
      <c r="E15" s="27">
        <v>0</v>
      </c>
      <c r="F15" s="30">
        <v>114.94999999999999</v>
      </c>
      <c r="G15" s="28">
        <v>-42.650000000000006</v>
      </c>
      <c r="H15" s="29">
        <f t="shared" ref="H15:H32" si="2">G15/F15*-1</f>
        <v>0.37103088299260556</v>
      </c>
      <c r="I15" s="29">
        <f t="shared" ref="I15:I32" si="3">J15/F15</f>
        <v>-9.3087595544395607E-2</v>
      </c>
      <c r="J15" s="30">
        <f t="shared" ref="J15:J32" si="4">F15*0.85+G15+AF15*D15+D15*AE15+AG15+AD15</f>
        <v>-10.700419107828274</v>
      </c>
      <c r="K15" s="30">
        <f t="shared" ref="K15:K32" si="5">J15/D15</f>
        <v>-2.1400838215656548</v>
      </c>
      <c r="L15" s="27">
        <v>20</v>
      </c>
      <c r="M15" s="31">
        <f t="shared" ref="M15:M32" si="6">IFERROR(D15/L15,"-")</f>
        <v>0.25</v>
      </c>
      <c r="N15" s="27">
        <v>207</v>
      </c>
      <c r="O15" s="32">
        <f t="shared" ref="O15:P15" si="7">D15/7</f>
        <v>0.7142857142857143</v>
      </c>
      <c r="P15" s="32">
        <f t="shared" si="7"/>
        <v>0</v>
      </c>
      <c r="Q15" s="27">
        <f t="shared" ref="Q15:Q32" si="8">ROUNDDOWN(N15/(O15+P15),0)</f>
        <v>289</v>
      </c>
      <c r="R15" s="27"/>
      <c r="S15" s="33">
        <v>1.43540669856459E-2</v>
      </c>
      <c r="T15" s="26">
        <v>90</v>
      </c>
      <c r="U15" s="34">
        <v>90</v>
      </c>
      <c r="V15" s="35" t="s">
        <v>886</v>
      </c>
      <c r="W15" s="26">
        <v>3</v>
      </c>
      <c r="X15" s="36">
        <f t="shared" ref="X15:X32" si="9">IFERROR(W15/D15,0)</f>
        <v>0.6</v>
      </c>
      <c r="Y15" s="37">
        <f t="shared" ref="Y15:Y32" si="10">IFERROR(G15/(W15+Z15)*-1,0)</f>
        <v>10.662500000000001</v>
      </c>
      <c r="Z15" s="26">
        <v>1</v>
      </c>
      <c r="AA15" s="26" t="s">
        <v>37</v>
      </c>
      <c r="AB15" s="38">
        <f t="shared" ref="AB15:AB32" si="11">IF(OR(AA15="UsLargeStandardSize",AA15="UsSmallStandardSize"),-0.69,-0.48)</f>
        <v>-0.69</v>
      </c>
      <c r="AC15" s="39">
        <v>0.13787628703703703</v>
      </c>
      <c r="AD15" s="37">
        <f t="shared" ref="AD15:AD32" si="12">IFERROR(AB15*AC15*D15*2,0)</f>
        <v>-0.95134638055555543</v>
      </c>
      <c r="AE15" s="37">
        <v>-4.9000000000000004</v>
      </c>
      <c r="AF15" s="37">
        <v>-8.0613145454545396</v>
      </c>
      <c r="AG15" s="37">
        <v>0</v>
      </c>
    </row>
    <row r="16" spans="1:33" ht="15.75" customHeight="1" x14ac:dyDescent="0.2">
      <c r="A16" s="26" t="s">
        <v>60</v>
      </c>
      <c r="B16" s="26" t="s">
        <v>887</v>
      </c>
      <c r="C16" s="14">
        <f t="shared" si="1"/>
        <v>20.451538461538462</v>
      </c>
      <c r="D16" s="27">
        <v>13</v>
      </c>
      <c r="E16" s="27">
        <v>0</v>
      </c>
      <c r="F16" s="30">
        <v>265.87</v>
      </c>
      <c r="G16" s="28">
        <v>-69.260000000000005</v>
      </c>
      <c r="H16" s="29">
        <f t="shared" si="2"/>
        <v>0.26050325346974085</v>
      </c>
      <c r="I16" s="29">
        <f t="shared" si="3"/>
        <v>-5.3564109077193688E-2</v>
      </c>
      <c r="J16" s="30">
        <f t="shared" si="4"/>
        <v>-14.241089680353486</v>
      </c>
      <c r="K16" s="30">
        <f t="shared" si="5"/>
        <v>-1.0954684369502681</v>
      </c>
      <c r="L16" s="27">
        <v>87</v>
      </c>
      <c r="M16" s="31">
        <f t="shared" si="6"/>
        <v>0.14942528735632185</v>
      </c>
      <c r="N16" s="27">
        <v>194</v>
      </c>
      <c r="O16" s="32">
        <f t="shared" ref="O16:P16" si="13">D16/7</f>
        <v>1.8571428571428572</v>
      </c>
      <c r="P16" s="32">
        <f t="shared" si="13"/>
        <v>0</v>
      </c>
      <c r="Q16" s="27">
        <f t="shared" si="8"/>
        <v>104</v>
      </c>
      <c r="R16" s="27"/>
      <c r="S16" s="33">
        <v>0.23076923076923</v>
      </c>
      <c r="T16" s="26">
        <v>90</v>
      </c>
      <c r="U16" s="34">
        <v>90</v>
      </c>
      <c r="V16" s="35" t="s">
        <v>888</v>
      </c>
      <c r="W16" s="26">
        <v>7</v>
      </c>
      <c r="X16" s="36">
        <f t="shared" si="9"/>
        <v>0.53846153846153844</v>
      </c>
      <c r="Y16" s="37">
        <f t="shared" si="10"/>
        <v>8.6575000000000006</v>
      </c>
      <c r="Z16" s="26">
        <v>1</v>
      </c>
      <c r="AA16" s="26" t="s">
        <v>37</v>
      </c>
      <c r="AB16" s="38">
        <f t="shared" si="11"/>
        <v>-0.69</v>
      </c>
      <c r="AC16" s="39">
        <v>0.13787628703703703</v>
      </c>
      <c r="AD16" s="37">
        <f t="shared" si="12"/>
        <v>-2.473500589444444</v>
      </c>
      <c r="AE16" s="37">
        <v>-4.9000000000000004</v>
      </c>
      <c r="AF16" s="37">
        <v>-8.0613145454545396</v>
      </c>
      <c r="AG16" s="37">
        <v>0</v>
      </c>
    </row>
    <row r="17" spans="1:33" ht="15.75" customHeight="1" x14ac:dyDescent="0.2">
      <c r="A17" s="26" t="s">
        <v>61</v>
      </c>
      <c r="B17" s="26" t="s">
        <v>105</v>
      </c>
      <c r="C17" s="14">
        <f t="shared" si="1"/>
        <v>21.523636363636367</v>
      </c>
      <c r="D17" s="27">
        <v>11</v>
      </c>
      <c r="E17" s="27">
        <v>0</v>
      </c>
      <c r="F17" s="30">
        <v>236.76000000000002</v>
      </c>
      <c r="G17" s="28">
        <v>-55.25</v>
      </c>
      <c r="H17" s="29">
        <f t="shared" si="2"/>
        <v>0.23335867545193442</v>
      </c>
      <c r="I17" s="29">
        <f t="shared" si="3"/>
        <v>5.6114967172573166E-3</v>
      </c>
      <c r="J17" s="30">
        <f t="shared" si="4"/>
        <v>1.3285779627778425</v>
      </c>
      <c r="K17" s="30">
        <f t="shared" si="5"/>
        <v>0.12077981479798568</v>
      </c>
      <c r="L17" s="27">
        <v>44</v>
      </c>
      <c r="M17" s="31">
        <f t="shared" si="6"/>
        <v>0.25</v>
      </c>
      <c r="N17" s="27">
        <v>171</v>
      </c>
      <c r="O17" s="32">
        <f t="shared" ref="O17:P17" si="14">D17/7</f>
        <v>1.5714285714285714</v>
      </c>
      <c r="P17" s="32">
        <f t="shared" si="14"/>
        <v>0</v>
      </c>
      <c r="Q17" s="27">
        <f t="shared" si="8"/>
        <v>108</v>
      </c>
      <c r="R17" s="27"/>
      <c r="S17" s="33">
        <v>0.41142857142857098</v>
      </c>
      <c r="T17" s="26">
        <v>90</v>
      </c>
      <c r="U17" s="34">
        <v>90</v>
      </c>
      <c r="V17" s="35" t="s">
        <v>888</v>
      </c>
      <c r="W17" s="26">
        <v>3</v>
      </c>
      <c r="X17" s="36">
        <f t="shared" si="9"/>
        <v>0.27272727272727271</v>
      </c>
      <c r="Y17" s="37">
        <f t="shared" si="10"/>
        <v>11.05</v>
      </c>
      <c r="Z17" s="26">
        <v>2</v>
      </c>
      <c r="AA17" s="26" t="s">
        <v>37</v>
      </c>
      <c r="AB17" s="38">
        <f t="shared" si="11"/>
        <v>-0.69</v>
      </c>
      <c r="AC17" s="39">
        <v>0.13787628703703703</v>
      </c>
      <c r="AD17" s="37">
        <f t="shared" si="12"/>
        <v>-2.0929620372222217</v>
      </c>
      <c r="AE17" s="37">
        <v>-4.9000000000000004</v>
      </c>
      <c r="AF17" s="37">
        <v>-8.0613145454545396</v>
      </c>
      <c r="AG17" s="37">
        <v>0</v>
      </c>
    </row>
    <row r="18" spans="1:33" ht="15.75" customHeight="1" x14ac:dyDescent="0.2">
      <c r="A18" s="26" t="s">
        <v>62</v>
      </c>
      <c r="B18" s="26" t="s">
        <v>105</v>
      </c>
      <c r="C18" s="14">
        <f t="shared" si="1"/>
        <v>22.310909090909096</v>
      </c>
      <c r="D18" s="27">
        <v>11</v>
      </c>
      <c r="E18" s="27">
        <v>2</v>
      </c>
      <c r="F18" s="30">
        <v>245.42000000000004</v>
      </c>
      <c r="G18" s="28">
        <v>-37.000000000000007</v>
      </c>
      <c r="H18" s="29">
        <f t="shared" si="2"/>
        <v>0.15076195909053866</v>
      </c>
      <c r="I18" s="29">
        <f t="shared" si="3"/>
        <v>0.10976928515515384</v>
      </c>
      <c r="J18" s="30">
        <f t="shared" si="4"/>
        <v>26.939577962777861</v>
      </c>
      <c r="K18" s="30">
        <f t="shared" si="5"/>
        <v>2.4490525420707145</v>
      </c>
      <c r="L18" s="27">
        <v>58</v>
      </c>
      <c r="M18" s="31">
        <f t="shared" si="6"/>
        <v>0.18965517241379309</v>
      </c>
      <c r="N18" s="27">
        <v>167</v>
      </c>
      <c r="O18" s="32">
        <f t="shared" ref="O18:P18" si="15">D18/7</f>
        <v>1.5714285714285714</v>
      </c>
      <c r="P18" s="32">
        <f t="shared" si="15"/>
        <v>0.2857142857142857</v>
      </c>
      <c r="Q18" s="27">
        <f t="shared" si="8"/>
        <v>89</v>
      </c>
      <c r="R18" s="27"/>
      <c r="S18" s="33">
        <v>0.67058823529411704</v>
      </c>
      <c r="T18" s="26">
        <v>90</v>
      </c>
      <c r="U18" s="34">
        <v>90</v>
      </c>
      <c r="V18" s="35" t="s">
        <v>888</v>
      </c>
      <c r="W18" s="26">
        <v>1</v>
      </c>
      <c r="X18" s="36">
        <f t="shared" si="9"/>
        <v>9.0909090909090912E-2</v>
      </c>
      <c r="Y18" s="37">
        <f t="shared" si="10"/>
        <v>9.2500000000000018</v>
      </c>
      <c r="Z18" s="26">
        <v>3</v>
      </c>
      <c r="AA18" s="26" t="s">
        <v>37</v>
      </c>
      <c r="AB18" s="38">
        <f t="shared" si="11"/>
        <v>-0.69</v>
      </c>
      <c r="AC18" s="39">
        <v>0.13787628703703703</v>
      </c>
      <c r="AD18" s="37">
        <f t="shared" si="12"/>
        <v>-2.0929620372222217</v>
      </c>
      <c r="AE18" s="37">
        <v>-4.9000000000000004</v>
      </c>
      <c r="AF18" s="37">
        <v>-8.0613145454545396</v>
      </c>
      <c r="AG18" s="37">
        <v>0</v>
      </c>
    </row>
    <row r="19" spans="1:33" ht="15.75" customHeight="1" x14ac:dyDescent="0.2">
      <c r="A19" s="26" t="s">
        <v>64</v>
      </c>
      <c r="B19" s="26" t="s">
        <v>889</v>
      </c>
      <c r="C19" s="14">
        <f t="shared" si="1"/>
        <v>22.22333333333334</v>
      </c>
      <c r="D19" s="27">
        <v>15</v>
      </c>
      <c r="E19" s="27">
        <v>2</v>
      </c>
      <c r="F19" s="30">
        <v>333.35000000000008</v>
      </c>
      <c r="G19" s="28">
        <v>-37.14</v>
      </c>
      <c r="H19" s="29">
        <f t="shared" si="2"/>
        <v>0.11141442927853605</v>
      </c>
      <c r="I19" s="29">
        <f t="shared" si="3"/>
        <v>0.14679388833512899</v>
      </c>
      <c r="J19" s="30">
        <f t="shared" si="4"/>
        <v>48.933742676515259</v>
      </c>
      <c r="K19" s="30">
        <f t="shared" si="5"/>
        <v>3.262249511767684</v>
      </c>
      <c r="L19" s="27">
        <v>53</v>
      </c>
      <c r="M19" s="31">
        <f t="shared" si="6"/>
        <v>0.28301886792452829</v>
      </c>
      <c r="N19" s="27">
        <v>151</v>
      </c>
      <c r="O19" s="32">
        <f t="shared" ref="O19:P19" si="16">D19/7</f>
        <v>2.1428571428571428</v>
      </c>
      <c r="P19" s="32">
        <f t="shared" si="16"/>
        <v>0.2857142857142857</v>
      </c>
      <c r="Q19" s="27">
        <f t="shared" si="8"/>
        <v>62</v>
      </c>
      <c r="R19" s="27"/>
      <c r="S19" s="33">
        <v>0.96153846153846101</v>
      </c>
      <c r="T19" s="26">
        <v>90</v>
      </c>
      <c r="U19" s="34" t="s">
        <v>34</v>
      </c>
      <c r="V19" s="35" t="s">
        <v>890</v>
      </c>
      <c r="W19" s="26">
        <v>6</v>
      </c>
      <c r="X19" s="36">
        <f t="shared" si="9"/>
        <v>0.4</v>
      </c>
      <c r="Y19" s="37">
        <f t="shared" si="10"/>
        <v>6.19</v>
      </c>
      <c r="Z19" s="26">
        <v>0</v>
      </c>
      <c r="AA19" s="26" t="s">
        <v>37</v>
      </c>
      <c r="AB19" s="38">
        <f t="shared" si="11"/>
        <v>-0.69</v>
      </c>
      <c r="AC19" s="39">
        <v>0.13787628703703703</v>
      </c>
      <c r="AD19" s="37">
        <f t="shared" si="12"/>
        <v>-2.8540391416666662</v>
      </c>
      <c r="AE19" s="37">
        <v>-4.9000000000000004</v>
      </c>
      <c r="AF19" s="37">
        <v>-8.061314545454545</v>
      </c>
      <c r="AG19" s="37">
        <v>0</v>
      </c>
    </row>
    <row r="20" spans="1:33" ht="15.75" customHeight="1" x14ac:dyDescent="0.2">
      <c r="A20" s="26" t="s">
        <v>65</v>
      </c>
      <c r="B20" s="26" t="s">
        <v>891</v>
      </c>
      <c r="C20" s="14">
        <f t="shared" si="1"/>
        <v>23.358333333333334</v>
      </c>
      <c r="D20" s="27">
        <v>6</v>
      </c>
      <c r="E20" s="27">
        <v>1</v>
      </c>
      <c r="F20" s="30">
        <v>140.15</v>
      </c>
      <c r="G20" s="28">
        <v>-35.619999999999997</v>
      </c>
      <c r="H20" s="29">
        <f t="shared" si="2"/>
        <v>0.25415626114876916</v>
      </c>
      <c r="I20" s="29">
        <f t="shared" si="3"/>
        <v>-5.9109831818722397E-2</v>
      </c>
      <c r="J20" s="30">
        <f t="shared" si="4"/>
        <v>-8.2842429293939439</v>
      </c>
      <c r="K20" s="30">
        <f t="shared" si="5"/>
        <v>-1.3807071548989907</v>
      </c>
      <c r="L20" s="27">
        <v>38</v>
      </c>
      <c r="M20" s="31">
        <f t="shared" si="6"/>
        <v>0.15789473684210525</v>
      </c>
      <c r="N20" s="27">
        <v>142</v>
      </c>
      <c r="O20" s="32">
        <f t="shared" ref="O20:P20" si="17">D20/7</f>
        <v>0.8571428571428571</v>
      </c>
      <c r="P20" s="32">
        <f t="shared" si="17"/>
        <v>0.14285714285714285</v>
      </c>
      <c r="Q20" s="27">
        <f t="shared" si="8"/>
        <v>142</v>
      </c>
      <c r="R20" s="27"/>
      <c r="S20" s="33">
        <v>0.712643678160919</v>
      </c>
      <c r="T20" s="26">
        <v>90</v>
      </c>
      <c r="U20" s="34" t="s">
        <v>34</v>
      </c>
      <c r="V20" s="35" t="s">
        <v>890</v>
      </c>
      <c r="W20" s="26">
        <v>3</v>
      </c>
      <c r="X20" s="36">
        <f t="shared" si="9"/>
        <v>0.5</v>
      </c>
      <c r="Y20" s="37">
        <f t="shared" si="10"/>
        <v>7.1239999999999997</v>
      </c>
      <c r="Z20" s="26">
        <v>2</v>
      </c>
      <c r="AA20" s="26" t="s">
        <v>37</v>
      </c>
      <c r="AB20" s="38">
        <f t="shared" si="11"/>
        <v>-0.69</v>
      </c>
      <c r="AC20" s="39">
        <v>0.13787628703703703</v>
      </c>
      <c r="AD20" s="37">
        <f t="shared" si="12"/>
        <v>-1.1416156566666664</v>
      </c>
      <c r="AE20" s="37">
        <v>-4.9000000000000004</v>
      </c>
      <c r="AF20" s="37">
        <v>-10.208354545454545</v>
      </c>
      <c r="AG20" s="37">
        <v>0</v>
      </c>
    </row>
    <row r="21" spans="1:33" ht="15.75" customHeight="1" x14ac:dyDescent="0.2">
      <c r="A21" s="26" t="s">
        <v>66</v>
      </c>
      <c r="B21" s="26" t="s">
        <v>105</v>
      </c>
      <c r="C21" s="14">
        <f t="shared" si="1"/>
        <v>23.267500000000002</v>
      </c>
      <c r="D21" s="27">
        <v>12</v>
      </c>
      <c r="E21" s="27">
        <v>2</v>
      </c>
      <c r="F21" s="30">
        <v>279.21000000000004</v>
      </c>
      <c r="G21" s="28">
        <v>-35.22999999999999</v>
      </c>
      <c r="H21" s="29">
        <f t="shared" si="2"/>
        <v>0.12617742917517275</v>
      </c>
      <c r="I21" s="29">
        <f t="shared" si="3"/>
        <v>6.631214548623672E-2</v>
      </c>
      <c r="J21" s="30">
        <f t="shared" si="4"/>
        <v>18.515014141212156</v>
      </c>
      <c r="K21" s="30">
        <f t="shared" si="5"/>
        <v>1.542917845101013</v>
      </c>
      <c r="L21" s="27">
        <v>13</v>
      </c>
      <c r="M21" s="31">
        <f t="shared" si="6"/>
        <v>0.92307692307692313</v>
      </c>
      <c r="N21" s="27">
        <v>129</v>
      </c>
      <c r="O21" s="32">
        <f t="shared" ref="O21:P21" si="18">D21/7</f>
        <v>1.7142857142857142</v>
      </c>
      <c r="P21" s="32">
        <f t="shared" si="18"/>
        <v>0.2857142857142857</v>
      </c>
      <c r="Q21" s="27">
        <f t="shared" si="8"/>
        <v>64</v>
      </c>
      <c r="R21" s="27"/>
      <c r="S21" s="33">
        <v>0.91025641025641002</v>
      </c>
      <c r="T21" s="26" t="s">
        <v>34</v>
      </c>
      <c r="U21" s="34" t="s">
        <v>34</v>
      </c>
      <c r="V21" s="35" t="s">
        <v>34</v>
      </c>
      <c r="W21" s="26">
        <v>2</v>
      </c>
      <c r="X21" s="36">
        <f t="shared" si="9"/>
        <v>0.16666666666666666</v>
      </c>
      <c r="Y21" s="37">
        <f t="shared" si="10"/>
        <v>17.614999999999995</v>
      </c>
      <c r="Z21" s="26">
        <v>0</v>
      </c>
      <c r="AA21" s="26" t="s">
        <v>37</v>
      </c>
      <c r="AB21" s="38">
        <f t="shared" si="11"/>
        <v>-0.69</v>
      </c>
      <c r="AC21" s="39">
        <v>0.13787628703703703</v>
      </c>
      <c r="AD21" s="37">
        <f t="shared" si="12"/>
        <v>-2.2832313133333328</v>
      </c>
      <c r="AE21" s="37">
        <v>-4.9000000000000004</v>
      </c>
      <c r="AF21" s="37">
        <v>-10.208354545454545</v>
      </c>
      <c r="AG21" s="37">
        <v>0</v>
      </c>
    </row>
    <row r="22" spans="1:33" ht="15.75" customHeight="1" x14ac:dyDescent="0.2">
      <c r="A22" s="26" t="s">
        <v>67</v>
      </c>
      <c r="B22" s="26" t="s">
        <v>892</v>
      </c>
      <c r="C22" s="14">
        <f t="shared" si="1"/>
        <v>22.99</v>
      </c>
      <c r="D22" s="27">
        <v>3</v>
      </c>
      <c r="E22" s="27">
        <v>1</v>
      </c>
      <c r="F22" s="28">
        <v>68.97</v>
      </c>
      <c r="G22" s="28">
        <v>-34.609999999999992</v>
      </c>
      <c r="H22" s="29">
        <f t="shared" si="2"/>
        <v>0.50181238219515722</v>
      </c>
      <c r="I22" s="29">
        <f t="shared" si="3"/>
        <v>-0.34052383131719532</v>
      </c>
      <c r="J22" s="30">
        <f t="shared" si="4"/>
        <v>-23.485928645946959</v>
      </c>
      <c r="K22" s="30">
        <f t="shared" si="5"/>
        <v>-7.8286428819823195</v>
      </c>
      <c r="L22" s="27">
        <v>23</v>
      </c>
      <c r="M22" s="31">
        <f t="shared" si="6"/>
        <v>0.13043478260869565</v>
      </c>
      <c r="N22" s="27">
        <v>124</v>
      </c>
      <c r="O22" s="32">
        <f t="shared" ref="O22:P22" si="19">D22/7</f>
        <v>0.42857142857142855</v>
      </c>
      <c r="P22" s="32">
        <f t="shared" si="19"/>
        <v>0.14285714285714285</v>
      </c>
      <c r="Q22" s="27">
        <f t="shared" si="8"/>
        <v>217</v>
      </c>
      <c r="R22" s="27"/>
      <c r="S22" s="33">
        <v>1.10067114093959</v>
      </c>
      <c r="T22" s="26" t="s">
        <v>34</v>
      </c>
      <c r="U22" s="34" t="s">
        <v>34</v>
      </c>
      <c r="V22" s="35" t="s">
        <v>34</v>
      </c>
      <c r="W22" s="26">
        <v>2</v>
      </c>
      <c r="X22" s="36">
        <f t="shared" si="9"/>
        <v>0.66666666666666663</v>
      </c>
      <c r="Y22" s="37">
        <f t="shared" si="10"/>
        <v>6.9219999999999988</v>
      </c>
      <c r="Z22" s="26">
        <v>3</v>
      </c>
      <c r="AA22" s="26" t="s">
        <v>37</v>
      </c>
      <c r="AB22" s="38">
        <f t="shared" si="11"/>
        <v>-0.69</v>
      </c>
      <c r="AC22" s="39">
        <v>0.14863889120370372</v>
      </c>
      <c r="AD22" s="37">
        <f t="shared" si="12"/>
        <v>-0.61536500958333329</v>
      </c>
      <c r="AE22" s="37">
        <v>-5.42</v>
      </c>
      <c r="AF22" s="37">
        <v>-10.208354545454545</v>
      </c>
      <c r="AG22" s="37">
        <v>0</v>
      </c>
    </row>
    <row r="23" spans="1:33" ht="15.75" customHeight="1" x14ac:dyDescent="0.2">
      <c r="A23" s="26" t="s">
        <v>68</v>
      </c>
      <c r="B23" s="26" t="s">
        <v>668</v>
      </c>
      <c r="C23" s="14">
        <f t="shared" si="1"/>
        <v>22.526666666666667</v>
      </c>
      <c r="D23" s="27">
        <v>6</v>
      </c>
      <c r="E23" s="27">
        <v>0</v>
      </c>
      <c r="F23" s="30">
        <v>135.16</v>
      </c>
      <c r="G23" s="28">
        <v>-27.320000000000007</v>
      </c>
      <c r="H23" s="29">
        <f t="shared" si="2"/>
        <v>0.20213080793134069</v>
      </c>
      <c r="I23" s="29">
        <f t="shared" si="3"/>
        <v>-5.5007822520671379E-2</v>
      </c>
      <c r="J23" s="30">
        <f t="shared" si="4"/>
        <v>-7.4348572918939437</v>
      </c>
      <c r="K23" s="30">
        <f t="shared" si="5"/>
        <v>-1.239142881982324</v>
      </c>
      <c r="L23" s="27">
        <v>38</v>
      </c>
      <c r="M23" s="31">
        <f t="shared" si="6"/>
        <v>0.15789473684210525</v>
      </c>
      <c r="N23" s="27">
        <v>119</v>
      </c>
      <c r="O23" s="32">
        <f t="shared" ref="O23:P23" si="20">D23/7</f>
        <v>0.8571428571428571</v>
      </c>
      <c r="P23" s="32">
        <f t="shared" si="20"/>
        <v>0</v>
      </c>
      <c r="Q23" s="27">
        <f t="shared" si="8"/>
        <v>138</v>
      </c>
      <c r="R23" s="27"/>
      <c r="S23" s="33">
        <v>1.1888111888111801</v>
      </c>
      <c r="T23" s="26">
        <v>90</v>
      </c>
      <c r="U23" s="34" t="s">
        <v>34</v>
      </c>
      <c r="V23" s="35" t="s">
        <v>890</v>
      </c>
      <c r="W23" s="26">
        <v>1</v>
      </c>
      <c r="X23" s="36">
        <f t="shared" si="9"/>
        <v>0.16666666666666666</v>
      </c>
      <c r="Y23" s="37">
        <f t="shared" si="10"/>
        <v>6.8300000000000018</v>
      </c>
      <c r="Z23" s="26">
        <v>3</v>
      </c>
      <c r="AA23" s="26" t="s">
        <v>37</v>
      </c>
      <c r="AB23" s="38">
        <f t="shared" si="11"/>
        <v>-0.69</v>
      </c>
      <c r="AC23" s="39">
        <v>0.14863889120370372</v>
      </c>
      <c r="AD23" s="37">
        <f t="shared" si="12"/>
        <v>-1.2307300191666666</v>
      </c>
      <c r="AE23" s="37">
        <v>-5.42</v>
      </c>
      <c r="AF23" s="37">
        <v>-10.208354545454545</v>
      </c>
      <c r="AG23" s="37">
        <v>0</v>
      </c>
    </row>
    <row r="24" spans="1:33" ht="15.75" customHeight="1" x14ac:dyDescent="0.2">
      <c r="A24" s="26" t="s">
        <v>71</v>
      </c>
      <c r="B24" s="26" t="s">
        <v>893</v>
      </c>
      <c r="C24" s="14">
        <f t="shared" si="1"/>
        <v>20.21857142857143</v>
      </c>
      <c r="D24" s="27">
        <v>7</v>
      </c>
      <c r="E24" s="27">
        <v>0</v>
      </c>
      <c r="F24" s="30">
        <v>141.53</v>
      </c>
      <c r="G24" s="30">
        <v>-25.21</v>
      </c>
      <c r="H24" s="29">
        <f t="shared" si="2"/>
        <v>0.17812477919875644</v>
      </c>
      <c r="I24" s="29">
        <f t="shared" si="3"/>
        <v>-0.111240256533665</v>
      </c>
      <c r="J24" s="30">
        <f t="shared" si="4"/>
        <v>-15.743833507209608</v>
      </c>
      <c r="K24" s="30">
        <f t="shared" si="5"/>
        <v>-2.2491190724585155</v>
      </c>
      <c r="L24" s="27">
        <v>45</v>
      </c>
      <c r="M24" s="31">
        <f t="shared" si="6"/>
        <v>0.15555555555555556</v>
      </c>
      <c r="N24" s="27">
        <v>110</v>
      </c>
      <c r="O24" s="32">
        <f t="shared" ref="O24:P24" si="21">D24/7</f>
        <v>1</v>
      </c>
      <c r="P24" s="32">
        <f t="shared" si="21"/>
        <v>0</v>
      </c>
      <c r="Q24" s="27">
        <f t="shared" si="8"/>
        <v>110</v>
      </c>
      <c r="R24" s="27"/>
      <c r="S24" s="33">
        <v>0.77966101694915202</v>
      </c>
      <c r="T24" s="26">
        <v>90</v>
      </c>
      <c r="U24" s="34" t="s">
        <v>34</v>
      </c>
      <c r="V24" s="35" t="s">
        <v>890</v>
      </c>
      <c r="W24" s="26">
        <v>2</v>
      </c>
      <c r="X24" s="36">
        <f t="shared" si="9"/>
        <v>0.2857142857142857</v>
      </c>
      <c r="Y24" s="37">
        <f t="shared" si="10"/>
        <v>4.2016666666666671</v>
      </c>
      <c r="Z24" s="26">
        <v>4</v>
      </c>
      <c r="AA24" s="26" t="s">
        <v>37</v>
      </c>
      <c r="AB24" s="38">
        <f t="shared" si="11"/>
        <v>-0.69</v>
      </c>
      <c r="AC24" s="39">
        <v>0.14863889120370372</v>
      </c>
      <c r="AD24" s="37">
        <f t="shared" si="12"/>
        <v>-1.4358516890277777</v>
      </c>
      <c r="AE24" s="37">
        <v>-5.42</v>
      </c>
      <c r="AF24" s="37">
        <v>-10.208354545454545</v>
      </c>
      <c r="AG24" s="37">
        <v>0</v>
      </c>
    </row>
    <row r="25" spans="1:33" ht="15.75" customHeight="1" x14ac:dyDescent="0.2">
      <c r="A25" s="40" t="s">
        <v>73</v>
      </c>
      <c r="B25" s="26" t="s">
        <v>105</v>
      </c>
      <c r="C25" s="14">
        <f t="shared" si="1"/>
        <v>19.989999999999998</v>
      </c>
      <c r="D25" s="15">
        <v>9</v>
      </c>
      <c r="E25" s="15">
        <v>0</v>
      </c>
      <c r="F25" s="16">
        <v>179.91</v>
      </c>
      <c r="G25" s="16">
        <v>-23.18</v>
      </c>
      <c r="H25" s="29">
        <f t="shared" si="2"/>
        <v>0.12884219887721637</v>
      </c>
      <c r="I25" s="29">
        <f t="shared" si="3"/>
        <v>-7.099435845005854E-2</v>
      </c>
      <c r="J25" s="30">
        <f t="shared" si="4"/>
        <v>-12.772595028750032</v>
      </c>
      <c r="K25" s="30">
        <f t="shared" si="5"/>
        <v>-1.4191772254166704</v>
      </c>
      <c r="L25" s="15">
        <v>46</v>
      </c>
      <c r="M25" s="31">
        <f t="shared" si="6"/>
        <v>0.19565217391304349</v>
      </c>
      <c r="N25" s="15">
        <v>100</v>
      </c>
      <c r="O25" s="32">
        <f t="shared" ref="O25:P25" si="22">D25/7</f>
        <v>1.2857142857142858</v>
      </c>
      <c r="P25" s="32">
        <f t="shared" si="22"/>
        <v>0</v>
      </c>
      <c r="Q25" s="27">
        <f t="shared" si="8"/>
        <v>77</v>
      </c>
      <c r="R25" s="27"/>
      <c r="S25" s="41">
        <v>0.92027334851936216</v>
      </c>
      <c r="T25" s="26">
        <v>90</v>
      </c>
      <c r="U25" s="34" t="s">
        <v>34</v>
      </c>
      <c r="V25" s="35" t="s">
        <v>890</v>
      </c>
      <c r="W25" s="40">
        <v>2</v>
      </c>
      <c r="X25" s="36">
        <f t="shared" si="9"/>
        <v>0.22222222222222221</v>
      </c>
      <c r="Y25" s="37">
        <f t="shared" si="10"/>
        <v>7.7266666666666666</v>
      </c>
      <c r="Z25" s="40">
        <v>1</v>
      </c>
      <c r="AA25" s="26" t="s">
        <v>37</v>
      </c>
      <c r="AB25" s="38">
        <f t="shared" si="11"/>
        <v>-0.69</v>
      </c>
      <c r="AC25" s="39">
        <v>0.14863889120370372</v>
      </c>
      <c r="AD25" s="37">
        <f t="shared" si="12"/>
        <v>-1.84609502875</v>
      </c>
      <c r="AE25" s="42">
        <v>-5.42</v>
      </c>
      <c r="AF25" s="42">
        <v>-10.210000000000001</v>
      </c>
      <c r="AG25" s="42">
        <v>0</v>
      </c>
    </row>
    <row r="26" spans="1:33" ht="15.75" customHeight="1" x14ac:dyDescent="0.2">
      <c r="A26" s="40" t="s">
        <v>75</v>
      </c>
      <c r="B26" s="40" t="s">
        <v>894</v>
      </c>
      <c r="C26" s="14">
        <f t="shared" si="1"/>
        <v>19.989999999999998</v>
      </c>
      <c r="D26" s="15">
        <v>1</v>
      </c>
      <c r="E26" s="15">
        <v>0</v>
      </c>
      <c r="F26" s="16">
        <v>19.989999999999998</v>
      </c>
      <c r="G26" s="16">
        <v>-12.05</v>
      </c>
      <c r="H26" s="29">
        <f t="shared" si="2"/>
        <v>0.60280140070035027</v>
      </c>
      <c r="I26" s="29">
        <f t="shared" si="3"/>
        <v>-0.52135949051103625</v>
      </c>
      <c r="J26" s="30">
        <f t="shared" si="4"/>
        <v>-10.421976215315613</v>
      </c>
      <c r="K26" s="30">
        <f t="shared" si="5"/>
        <v>-10.421976215315613</v>
      </c>
      <c r="L26" s="15">
        <v>18</v>
      </c>
      <c r="M26" s="31">
        <f t="shared" si="6"/>
        <v>5.5555555555555552E-2</v>
      </c>
      <c r="N26" s="15">
        <v>100</v>
      </c>
      <c r="O26" s="32">
        <f t="shared" ref="O26:P26" si="23">D26/7</f>
        <v>0.14285714285714285</v>
      </c>
      <c r="P26" s="32">
        <f t="shared" si="23"/>
        <v>0</v>
      </c>
      <c r="Q26" s="27">
        <f t="shared" si="8"/>
        <v>700</v>
      </c>
      <c r="R26" s="27"/>
      <c r="S26" s="41">
        <v>1.0653266331658291</v>
      </c>
      <c r="T26" s="26">
        <v>90</v>
      </c>
      <c r="U26" s="34" t="s">
        <v>34</v>
      </c>
      <c r="V26" s="35" t="s">
        <v>890</v>
      </c>
      <c r="W26" s="40">
        <v>1</v>
      </c>
      <c r="X26" s="36">
        <f t="shared" si="9"/>
        <v>1</v>
      </c>
      <c r="Y26" s="37">
        <f t="shared" si="10"/>
        <v>12.05</v>
      </c>
      <c r="Z26" s="40">
        <v>0</v>
      </c>
      <c r="AA26" s="26" t="s">
        <v>37</v>
      </c>
      <c r="AB26" s="38">
        <f t="shared" si="11"/>
        <v>-0.69</v>
      </c>
      <c r="AC26" s="40">
        <v>0.14863889120370372</v>
      </c>
      <c r="AD26" s="37">
        <f t="shared" si="12"/>
        <v>-0.20512166986111111</v>
      </c>
      <c r="AE26" s="42">
        <v>-4.95</v>
      </c>
      <c r="AF26" s="42">
        <v>-10.208354545454499</v>
      </c>
      <c r="AG26" s="42">
        <v>0</v>
      </c>
    </row>
    <row r="27" spans="1:33" ht="15.75" customHeight="1" x14ac:dyDescent="0.2">
      <c r="A27" s="40" t="s">
        <v>77</v>
      </c>
      <c r="B27" s="40" t="s">
        <v>895</v>
      </c>
      <c r="C27" s="14">
        <f t="shared" si="1"/>
        <v>19.990000000000002</v>
      </c>
      <c r="D27" s="15">
        <v>14</v>
      </c>
      <c r="E27" s="15">
        <v>0</v>
      </c>
      <c r="F27" s="16">
        <v>279.86</v>
      </c>
      <c r="G27" s="16">
        <v>-40.61</v>
      </c>
      <c r="H27" s="29">
        <f t="shared" si="2"/>
        <v>0.14510826841992425</v>
      </c>
      <c r="I27" s="29">
        <f t="shared" si="3"/>
        <v>-7.0812788588646217E-2</v>
      </c>
      <c r="J27" s="30">
        <f t="shared" si="4"/>
        <v>-19.817667014418532</v>
      </c>
      <c r="K27" s="30">
        <f t="shared" si="5"/>
        <v>-1.415547643887038</v>
      </c>
      <c r="L27" s="15">
        <v>22</v>
      </c>
      <c r="M27" s="31">
        <f t="shared" si="6"/>
        <v>0.63636363636363635</v>
      </c>
      <c r="N27" s="15">
        <v>86</v>
      </c>
      <c r="O27" s="32">
        <f t="shared" ref="O27:P27" si="24">D27/7</f>
        <v>2</v>
      </c>
      <c r="P27" s="32">
        <f t="shared" si="24"/>
        <v>0</v>
      </c>
      <c r="Q27" s="27">
        <f t="shared" si="8"/>
        <v>43</v>
      </c>
      <c r="R27" s="27"/>
      <c r="S27" s="41">
        <v>1.248</v>
      </c>
      <c r="T27" s="26">
        <v>90</v>
      </c>
      <c r="U27" s="34" t="s">
        <v>34</v>
      </c>
      <c r="V27" s="35" t="s">
        <v>890</v>
      </c>
      <c r="W27" s="40">
        <v>3</v>
      </c>
      <c r="X27" s="36">
        <f t="shared" si="9"/>
        <v>0.21428571428571427</v>
      </c>
      <c r="Y27" s="37">
        <f t="shared" si="10"/>
        <v>13.536666666666667</v>
      </c>
      <c r="Z27" s="40">
        <v>0</v>
      </c>
      <c r="AA27" s="26" t="s">
        <v>37</v>
      </c>
      <c r="AB27" s="38">
        <f t="shared" si="11"/>
        <v>-0.69</v>
      </c>
      <c r="AC27" s="39">
        <v>0.14863889120370372</v>
      </c>
      <c r="AD27" s="37">
        <f t="shared" si="12"/>
        <v>-2.8717033780555554</v>
      </c>
      <c r="AE27" s="42">
        <v>-4.95</v>
      </c>
      <c r="AF27" s="42">
        <v>-10.208354545454499</v>
      </c>
      <c r="AG27" s="42">
        <v>-2</v>
      </c>
    </row>
    <row r="28" spans="1:33" ht="15.75" customHeight="1" x14ac:dyDescent="0.2">
      <c r="A28" s="40" t="s">
        <v>79</v>
      </c>
      <c r="B28" s="40" t="s">
        <v>105</v>
      </c>
      <c r="C28" s="14">
        <f t="shared" si="1"/>
        <v>19.989999999999998</v>
      </c>
      <c r="D28" s="15">
        <v>4</v>
      </c>
      <c r="E28" s="15">
        <v>1</v>
      </c>
      <c r="F28" s="16">
        <v>79.959999999999994</v>
      </c>
      <c r="G28" s="16">
        <v>-37.67</v>
      </c>
      <c r="H28" s="29">
        <f t="shared" si="2"/>
        <v>0.4711105552776389</v>
      </c>
      <c r="I28" s="29">
        <f t="shared" si="3"/>
        <v>-0.38966864508832477</v>
      </c>
      <c r="J28" s="30">
        <f t="shared" si="4"/>
        <v>-31.157904861262448</v>
      </c>
      <c r="K28" s="30">
        <f t="shared" si="5"/>
        <v>-7.7894762153156121</v>
      </c>
      <c r="L28" s="15">
        <v>26</v>
      </c>
      <c r="M28" s="31">
        <f t="shared" si="6"/>
        <v>0.15384615384615385</v>
      </c>
      <c r="N28" s="15">
        <v>81</v>
      </c>
      <c r="O28" s="32">
        <f t="shared" ref="O28:P28" si="25">D28/7</f>
        <v>0.5714285714285714</v>
      </c>
      <c r="P28" s="32">
        <f t="shared" si="25"/>
        <v>0.14285714285714285</v>
      </c>
      <c r="Q28" s="27">
        <f t="shared" si="8"/>
        <v>113</v>
      </c>
      <c r="R28" s="27"/>
      <c r="S28" s="41">
        <v>0.87455197132616491</v>
      </c>
      <c r="T28" s="40" t="s">
        <v>34</v>
      </c>
      <c r="U28" s="22" t="s">
        <v>34</v>
      </c>
      <c r="V28" s="1" t="s">
        <v>578</v>
      </c>
      <c r="W28" s="40">
        <v>1</v>
      </c>
      <c r="X28" s="36">
        <f t="shared" si="9"/>
        <v>0.25</v>
      </c>
      <c r="Y28" s="37">
        <f t="shared" si="10"/>
        <v>18.835000000000001</v>
      </c>
      <c r="Z28" s="40">
        <v>1</v>
      </c>
      <c r="AA28" s="26" t="s">
        <v>37</v>
      </c>
      <c r="AB28" s="38">
        <f t="shared" si="11"/>
        <v>-0.69</v>
      </c>
      <c r="AC28" s="39">
        <v>0.14863889120370372</v>
      </c>
      <c r="AD28" s="37">
        <f t="shared" si="12"/>
        <v>-0.82048667944444442</v>
      </c>
      <c r="AE28" s="42">
        <v>-4.95</v>
      </c>
      <c r="AF28" s="42">
        <v>-10.208354545454499</v>
      </c>
      <c r="AG28" s="42">
        <v>0</v>
      </c>
    </row>
    <row r="29" spans="1:33" ht="15.75" customHeight="1" x14ac:dyDescent="0.2">
      <c r="A29" s="26" t="s">
        <v>82</v>
      </c>
      <c r="B29" s="40" t="s">
        <v>105</v>
      </c>
      <c r="C29" s="14">
        <f t="shared" si="1"/>
        <v>19.989999999999998</v>
      </c>
      <c r="D29" s="27">
        <v>4</v>
      </c>
      <c r="E29" s="27">
        <v>3</v>
      </c>
      <c r="F29" s="30">
        <v>79.959999999999994</v>
      </c>
      <c r="G29" s="30">
        <v>-20.07</v>
      </c>
      <c r="H29" s="29">
        <f t="shared" si="2"/>
        <v>0.2510005002501251</v>
      </c>
      <c r="I29" s="29">
        <f t="shared" si="3"/>
        <v>-0.16955859006081103</v>
      </c>
      <c r="J29" s="30">
        <f t="shared" si="4"/>
        <v>-13.557904861262449</v>
      </c>
      <c r="K29" s="30">
        <f t="shared" si="5"/>
        <v>-3.3894762153156122</v>
      </c>
      <c r="L29" s="27">
        <v>28</v>
      </c>
      <c r="M29" s="31">
        <f t="shared" si="6"/>
        <v>0.14285714285714285</v>
      </c>
      <c r="N29" s="15">
        <v>75</v>
      </c>
      <c r="O29" s="32">
        <f t="shared" ref="O29:P29" si="26">D29/7</f>
        <v>0.5714285714285714</v>
      </c>
      <c r="P29" s="32">
        <f t="shared" si="26"/>
        <v>0.42857142857142855</v>
      </c>
      <c r="Q29" s="27">
        <f t="shared" si="8"/>
        <v>75</v>
      </c>
      <c r="R29" s="27"/>
      <c r="S29" s="41">
        <v>0.88461538461538458</v>
      </c>
      <c r="T29" s="40" t="s">
        <v>34</v>
      </c>
      <c r="U29" s="22" t="s">
        <v>34</v>
      </c>
      <c r="V29" s="1" t="s">
        <v>34</v>
      </c>
      <c r="W29" s="40">
        <v>3</v>
      </c>
      <c r="X29" s="36">
        <f t="shared" si="9"/>
        <v>0.75</v>
      </c>
      <c r="Y29" s="37">
        <f t="shared" si="10"/>
        <v>6.69</v>
      </c>
      <c r="Z29" s="40">
        <v>0</v>
      </c>
      <c r="AA29" s="26" t="s">
        <v>37</v>
      </c>
      <c r="AB29" s="38">
        <f t="shared" si="11"/>
        <v>-0.69</v>
      </c>
      <c r="AC29" s="39">
        <v>0.14863889120370372</v>
      </c>
      <c r="AD29" s="37">
        <f t="shared" si="12"/>
        <v>-0.82048667944444442</v>
      </c>
      <c r="AE29" s="37">
        <v>-4.95</v>
      </c>
      <c r="AF29" s="42">
        <v>-10.208354545454499</v>
      </c>
      <c r="AG29" s="37">
        <v>0</v>
      </c>
    </row>
    <row r="30" spans="1:33" ht="15.75" customHeight="1" x14ac:dyDescent="0.2">
      <c r="A30" s="40" t="s">
        <v>84</v>
      </c>
      <c r="B30" s="40" t="s">
        <v>544</v>
      </c>
      <c r="C30" s="14" t="str">
        <f t="shared" si="1"/>
        <v xml:space="preserve"> - </v>
      </c>
      <c r="D30" s="15">
        <v>0</v>
      </c>
      <c r="E30" s="15">
        <v>0</v>
      </c>
      <c r="F30" s="16">
        <v>0</v>
      </c>
      <c r="G30" s="16">
        <v>-26.36</v>
      </c>
      <c r="H30" s="29" t="e">
        <f t="shared" si="2"/>
        <v>#DIV/0!</v>
      </c>
      <c r="I30" s="29" t="e">
        <f t="shared" si="3"/>
        <v>#DIV/0!</v>
      </c>
      <c r="J30" s="30">
        <f t="shared" si="4"/>
        <v>-26.36</v>
      </c>
      <c r="K30" s="30" t="e">
        <f t="shared" si="5"/>
        <v>#DIV/0!</v>
      </c>
      <c r="L30" s="15">
        <v>0</v>
      </c>
      <c r="M30" s="31" t="str">
        <f t="shared" si="6"/>
        <v>-</v>
      </c>
      <c r="N30" s="15">
        <v>74</v>
      </c>
      <c r="O30" s="32">
        <f t="shared" ref="O30:P30" si="27">D30/7</f>
        <v>0</v>
      </c>
      <c r="P30" s="32">
        <f t="shared" si="27"/>
        <v>0</v>
      </c>
      <c r="Q30" s="27" t="e">
        <f t="shared" si="8"/>
        <v>#DIV/0!</v>
      </c>
      <c r="R30" s="27"/>
      <c r="S30" s="41">
        <v>0.89161554192229042</v>
      </c>
      <c r="T30" s="26">
        <v>90</v>
      </c>
      <c r="U30" s="34" t="s">
        <v>34</v>
      </c>
      <c r="V30" s="35" t="s">
        <v>890</v>
      </c>
      <c r="W30" s="40">
        <v>0</v>
      </c>
      <c r="X30" s="36">
        <f t="shared" si="9"/>
        <v>0</v>
      </c>
      <c r="Y30" s="37">
        <f t="shared" si="10"/>
        <v>8.7866666666666671</v>
      </c>
      <c r="Z30" s="40">
        <v>3</v>
      </c>
      <c r="AA30" s="26" t="s">
        <v>37</v>
      </c>
      <c r="AB30" s="38">
        <f t="shared" si="11"/>
        <v>-0.69</v>
      </c>
      <c r="AC30" s="39">
        <v>0.14863889120370372</v>
      </c>
      <c r="AD30" s="37">
        <f t="shared" si="12"/>
        <v>0</v>
      </c>
      <c r="AE30" s="42">
        <v>-4.95</v>
      </c>
      <c r="AF30" s="42">
        <v>-10.1353552475</v>
      </c>
      <c r="AG30" s="42">
        <v>0</v>
      </c>
    </row>
    <row r="31" spans="1:33" ht="15.75" customHeight="1" x14ac:dyDescent="0.2">
      <c r="A31" s="40" t="s">
        <v>87</v>
      </c>
      <c r="B31" s="40" t="s">
        <v>896</v>
      </c>
      <c r="C31" s="14">
        <f t="shared" si="1"/>
        <v>19.989999999999998</v>
      </c>
      <c r="D31" s="15">
        <v>5</v>
      </c>
      <c r="E31" s="15">
        <v>0</v>
      </c>
      <c r="F31" s="16">
        <v>99.949999999999989</v>
      </c>
      <c r="G31" s="43">
        <v>-0.65</v>
      </c>
      <c r="H31" s="29">
        <f t="shared" si="2"/>
        <v>6.5032516258129074E-3</v>
      </c>
      <c r="I31" s="29">
        <f t="shared" si="3"/>
        <v>5.8580444354121269E-2</v>
      </c>
      <c r="J31" s="30">
        <f t="shared" si="4"/>
        <v>5.8551154131944205</v>
      </c>
      <c r="K31" s="30">
        <f t="shared" si="5"/>
        <v>1.1710230826388841</v>
      </c>
      <c r="L31" s="15">
        <v>31</v>
      </c>
      <c r="M31" s="31">
        <f t="shared" si="6"/>
        <v>0.16129032258064516</v>
      </c>
      <c r="N31" s="15">
        <v>68</v>
      </c>
      <c r="O31" s="32">
        <f t="shared" ref="O31:P31" si="28">D31/7</f>
        <v>0.7142857142857143</v>
      </c>
      <c r="P31" s="32">
        <f t="shared" si="28"/>
        <v>0</v>
      </c>
      <c r="Q31" s="27">
        <f t="shared" si="8"/>
        <v>95</v>
      </c>
      <c r="R31" s="27"/>
      <c r="S31" s="41">
        <v>0.83440860215053703</v>
      </c>
      <c r="T31" s="40">
        <v>90</v>
      </c>
      <c r="U31" s="22" t="s">
        <v>34</v>
      </c>
      <c r="V31" s="1" t="s">
        <v>578</v>
      </c>
      <c r="W31" s="40">
        <v>1</v>
      </c>
      <c r="X31" s="36">
        <f t="shared" si="9"/>
        <v>0.2</v>
      </c>
      <c r="Y31" s="37">
        <f t="shared" si="10"/>
        <v>0.65</v>
      </c>
      <c r="Z31" s="40">
        <v>0</v>
      </c>
      <c r="AA31" s="40" t="s">
        <v>37</v>
      </c>
      <c r="AB31" s="38">
        <f t="shared" si="11"/>
        <v>-0.69</v>
      </c>
      <c r="AC31" s="44">
        <v>0.14863889120370372</v>
      </c>
      <c r="AD31" s="37">
        <f t="shared" si="12"/>
        <v>-1.0256083493055554</v>
      </c>
      <c r="AE31" s="45">
        <v>-4.95</v>
      </c>
      <c r="AF31" s="45">
        <v>-10.1353552475</v>
      </c>
      <c r="AG31" s="42">
        <v>-2</v>
      </c>
    </row>
    <row r="32" spans="1:33" ht="15.75" customHeight="1" x14ac:dyDescent="0.2">
      <c r="A32" s="40" t="s">
        <v>90</v>
      </c>
      <c r="B32" s="40" t="s">
        <v>896</v>
      </c>
      <c r="C32" s="14">
        <f t="shared" si="1"/>
        <v>19.989999999999998</v>
      </c>
      <c r="D32" s="15">
        <v>5</v>
      </c>
      <c r="E32" s="15">
        <v>0</v>
      </c>
      <c r="F32" s="16">
        <v>99.949999999999989</v>
      </c>
      <c r="G32" s="16">
        <v>-0.25</v>
      </c>
      <c r="H32" s="29">
        <f t="shared" si="2"/>
        <v>2.5012506253126567E-3</v>
      </c>
      <c r="I32" s="29">
        <f t="shared" si="3"/>
        <v>6.2582445354621583E-2</v>
      </c>
      <c r="J32" s="30">
        <f t="shared" si="4"/>
        <v>6.2551154131944262</v>
      </c>
      <c r="K32" s="30">
        <f t="shared" si="5"/>
        <v>1.2510230826388853</v>
      </c>
      <c r="L32" s="15">
        <v>21</v>
      </c>
      <c r="M32" s="31">
        <f t="shared" si="6"/>
        <v>0.23809523809523808</v>
      </c>
      <c r="N32" s="15">
        <v>65</v>
      </c>
      <c r="O32" s="32">
        <f t="shared" ref="O32:P32" si="29">D32/7</f>
        <v>0.7142857142857143</v>
      </c>
      <c r="P32" s="32">
        <f t="shared" si="29"/>
        <v>0</v>
      </c>
      <c r="Q32" s="27">
        <f t="shared" si="8"/>
        <v>91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0.82125603864734298</v>
      </c>
      <c r="T32" s="40">
        <f ca="1">IFERROR(__xludf.DUMMYFUNCTION("IFERROR(VLOOKUP($B$2,IMPORTRANGE(""https://docs.google.com/spreadsheets/d/1KiWZV1ko8G7lnRucBRBd29jj3Be6ltMfljMDqzOkQmI/edit#gid=1381463014"",""Lookup!A:D""),4,FALSE),"""")"),90)</f>
        <v>90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90 At Factory 50-75 days from Earliest Arrival")</f>
        <v>No Transit, But 90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0.14863889120370372</v>
      </c>
      <c r="AD32" s="37">
        <f t="shared" si="12"/>
        <v>-1.0256083493055554</v>
      </c>
      <c r="AE32" s="42">
        <v>-4.95</v>
      </c>
      <c r="AF32" s="42">
        <v>-10.1353552475</v>
      </c>
      <c r="AG32" s="42">
        <v>-2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A201" s="40"/>
      <c r="B201" s="40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</row>
    <row r="202" spans="1:33" ht="15.75" customHeight="1" x14ac:dyDescent="0.2">
      <c r="A202" s="40"/>
      <c r="B202" s="40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</row>
    <row r="203" spans="1:33" ht="15.75" customHeight="1" x14ac:dyDescent="0.2">
      <c r="A203" s="40"/>
      <c r="B203" s="40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</row>
    <row r="204" spans="1:33" ht="15.75" customHeight="1" x14ac:dyDescent="0.2">
      <c r="A204" s="40"/>
      <c r="B204" s="40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</row>
    <row r="205" spans="1:33" ht="15.75" customHeight="1" x14ac:dyDescent="0.2">
      <c r="A205" s="40"/>
      <c r="B205" s="40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</row>
    <row r="206" spans="1:33" ht="15.75" customHeight="1" x14ac:dyDescent="0.2">
      <c r="A206" s="40"/>
      <c r="B206" s="40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</row>
    <row r="207" spans="1:33" ht="15.75" customHeight="1" x14ac:dyDescent="0.2">
      <c r="A207" s="40"/>
      <c r="B207" s="40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</row>
    <row r="208" spans="1:33" ht="15.75" customHeight="1" x14ac:dyDescent="0.2">
      <c r="A208" s="40"/>
      <c r="B208" s="40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</row>
    <row r="209" spans="1:33" ht="15.75" customHeight="1" x14ac:dyDescent="0.2">
      <c r="A209" s="40"/>
      <c r="B209" s="40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</row>
    <row r="210" spans="1:33" ht="15.75" customHeight="1" x14ac:dyDescent="0.2">
      <c r="A210" s="40"/>
      <c r="B210" s="40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</row>
    <row r="211" spans="1:33" ht="15.75" customHeight="1" x14ac:dyDescent="0.2">
      <c r="A211" s="40"/>
      <c r="B211" s="40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</row>
    <row r="212" spans="1:33" ht="15.75" customHeight="1" x14ac:dyDescent="0.2">
      <c r="A212" s="40"/>
      <c r="B212" s="40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</row>
    <row r="213" spans="1:33" ht="15.75" customHeight="1" x14ac:dyDescent="0.2">
      <c r="A213" s="40"/>
      <c r="B213" s="40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</row>
    <row r="214" spans="1:33" ht="15.75" customHeight="1" x14ac:dyDescent="0.2">
      <c r="A214" s="40"/>
      <c r="B214" s="40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</row>
    <row r="215" spans="1:33" ht="15.75" customHeight="1" x14ac:dyDescent="0.2">
      <c r="A215" s="40"/>
      <c r="B215" s="40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</row>
    <row r="216" spans="1:33" ht="15.75" customHeight="1" x14ac:dyDescent="0.2">
      <c r="A216" s="40"/>
      <c r="B216" s="40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</row>
    <row r="217" spans="1:33" ht="15.75" customHeight="1" x14ac:dyDescent="0.2">
      <c r="A217" s="40"/>
      <c r="B217" s="40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</row>
    <row r="218" spans="1:33" ht="15.75" customHeight="1" x14ac:dyDescent="0.2">
      <c r="A218" s="40"/>
      <c r="B218" s="40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</row>
    <row r="219" spans="1:33" ht="15.75" customHeight="1" x14ac:dyDescent="0.2">
      <c r="A219" s="40"/>
      <c r="B219" s="40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</row>
    <row r="220" spans="1:33" ht="15.75" customHeight="1" x14ac:dyDescent="0.2">
      <c r="A220" s="40"/>
      <c r="B220" s="40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</row>
    <row r="221" spans="1:33" ht="15.75" customHeight="1" x14ac:dyDescent="0.2">
      <c r="R221" s="40"/>
      <c r="S221" s="41"/>
    </row>
    <row r="222" spans="1:33" ht="15.75" customHeight="1" x14ac:dyDescent="0.2">
      <c r="R222" s="40"/>
      <c r="S222" s="41"/>
    </row>
    <row r="223" spans="1:33" ht="15.75" customHeight="1" x14ac:dyDescent="0.2">
      <c r="R223" s="40"/>
      <c r="S223" s="41"/>
    </row>
    <row r="224" spans="1:33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Info!B1:BJ5000""),3,FALSE),"""")"),"Vinyl Records Holder Shelf, 6 Pack - Clear Acrylic Wall Mount Record Display")</f>
        <v>Vinyl Records Holder Shelf, 6 Pack - Clear Acrylic Wall Mount Record Display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Info!B1:BJ5000""),2,FALSE),"""")"),"B086Q66WW5")</f>
        <v>B086Q66WW5</v>
      </c>
      <c r="B2" s="3" t="s">
        <v>897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17.747476761764709</v>
      </c>
      <c r="D3" s="5">
        <f>SUM(D4:D99767)</f>
        <v>755</v>
      </c>
      <c r="E3" s="5"/>
      <c r="F3" s="6">
        <f t="shared" ref="F3:G3" si="0">SUM(F4:F99767)</f>
        <v>17725.589999999982</v>
      </c>
      <c r="G3" s="6">
        <f t="shared" si="0"/>
        <v>-821.76999999999987</v>
      </c>
      <c r="H3" s="7">
        <f t="shared" ref="H3:H32" si="1">G3/F3*-1</f>
        <v>4.6360657106477174E-2</v>
      </c>
      <c r="I3" s="8">
        <f t="shared" ref="I3:I32" si="2">J3/F3</f>
        <v>0.15535427080930864</v>
      </c>
      <c r="J3" s="6">
        <f>SUM(J4:J99767)</f>
        <v>2753.7461091147702</v>
      </c>
      <c r="K3" s="6">
        <f t="shared" ref="K3:K32" si="3">J3/D3</f>
        <v>3.6473458398871128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QTY-120")</f>
        <v>US QTY-120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59</v>
      </c>
      <c r="X3" s="7">
        <f>W3/D3</f>
        <v>7.8145695364238404E-2</v>
      </c>
      <c r="Y3" s="6"/>
      <c r="Z3" s="5"/>
      <c r="AA3" s="5"/>
      <c r="AB3" s="5"/>
      <c r="AC3" s="5"/>
      <c r="AD3" s="6">
        <f>SUM(AD4:AD99767)</f>
        <v>-137.84801058620505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Info!B2:BZ3000""),37,FALSE)),"""")*-1"),-10.1353552475)</f>
        <v>-10.1353552475</v>
      </c>
      <c r="AG3" s="6">
        <f>SUM(AG4:AG99767)</f>
        <v>-14</v>
      </c>
    </row>
    <row r="4" spans="1:33" x14ac:dyDescent="0.2">
      <c r="A4" s="1" t="s">
        <v>32</v>
      </c>
      <c r="B4" s="2" t="s">
        <v>898</v>
      </c>
      <c r="C4" s="14">
        <f t="shared" ref="C4:C32" si="4">IFERROR(F4/D4," - ")</f>
        <v>26.074797297297241</v>
      </c>
      <c r="D4" s="15">
        <v>148</v>
      </c>
      <c r="E4" s="15">
        <v>0</v>
      </c>
      <c r="F4" s="16">
        <v>3859.0699999999915</v>
      </c>
      <c r="G4" s="16">
        <v>0</v>
      </c>
      <c r="H4" s="17">
        <f t="shared" si="1"/>
        <v>0</v>
      </c>
      <c r="I4" s="17">
        <f t="shared" si="2"/>
        <v>0.27034645587934342</v>
      </c>
      <c r="J4" s="16">
        <f t="shared" ref="J4:J32" si="5">F4*0.85+G4+AF4*D4+D4*AE4+AG4+AD4</f>
        <v>1043.2858974902956</v>
      </c>
      <c r="K4" s="16">
        <f t="shared" si="3"/>
        <v>7.049229037096592</v>
      </c>
      <c r="L4" s="15">
        <v>604</v>
      </c>
      <c r="M4" s="18">
        <f t="shared" ref="M4:M32" si="6">IFERROR(D4/L4,"-")</f>
        <v>0.24503311258278146</v>
      </c>
      <c r="N4" s="15">
        <v>284</v>
      </c>
      <c r="O4" s="19">
        <f t="shared" ref="O4:P4" si="7">D4/7</f>
        <v>21.142857142857142</v>
      </c>
      <c r="P4" s="19">
        <f t="shared" si="7"/>
        <v>0</v>
      </c>
      <c r="Q4" s="15">
        <f t="shared" ref="Q4:Q32" si="8">ROUNDDOWN(N4/(O4+P4),0)</f>
        <v>13</v>
      </c>
      <c r="R4" s="15"/>
      <c r="S4" s="20">
        <v>1.3333333333333299</v>
      </c>
      <c r="T4" s="2">
        <v>1020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0.13227724999999999</v>
      </c>
      <c r="AD4" s="24">
        <f t="shared" ref="AD4:AD32" si="12">IFERROR(AB4*AC4*D4*2,0)</f>
        <v>-27.016305539999994</v>
      </c>
      <c r="AE4" s="24">
        <v>-4.9000000000000004</v>
      </c>
      <c r="AF4" s="24">
        <v>-10.03180606060606</v>
      </c>
      <c r="AG4" s="24">
        <v>0</v>
      </c>
    </row>
    <row r="5" spans="1:33" ht="15.75" customHeight="1" x14ac:dyDescent="0.2">
      <c r="A5" s="26" t="s">
        <v>35</v>
      </c>
      <c r="B5" s="26" t="s">
        <v>899</v>
      </c>
      <c r="C5" s="14">
        <f t="shared" si="4"/>
        <v>26.133283582089497</v>
      </c>
      <c r="D5" s="27">
        <v>134</v>
      </c>
      <c r="E5" s="27">
        <v>0</v>
      </c>
      <c r="F5" s="28">
        <v>3501.8599999999924</v>
      </c>
      <c r="G5" s="28">
        <v>0</v>
      </c>
      <c r="H5" s="29">
        <f t="shared" si="1"/>
        <v>0</v>
      </c>
      <c r="I5" s="29">
        <f t="shared" si="2"/>
        <v>0.27163562649494216</v>
      </c>
      <c r="J5" s="30">
        <f t="shared" si="5"/>
        <v>951.22993499757604</v>
      </c>
      <c r="K5" s="30">
        <f t="shared" si="3"/>
        <v>7.0987308581908657</v>
      </c>
      <c r="L5" s="27">
        <v>666</v>
      </c>
      <c r="M5" s="31">
        <f t="shared" si="6"/>
        <v>0.20120120120120119</v>
      </c>
      <c r="N5" s="27">
        <v>124</v>
      </c>
      <c r="O5" s="32">
        <f t="shared" ref="O5:P5" si="13">D5/7</f>
        <v>19.142857142857142</v>
      </c>
      <c r="P5" s="32">
        <f t="shared" si="13"/>
        <v>0</v>
      </c>
      <c r="Q5" s="27">
        <f t="shared" si="8"/>
        <v>6</v>
      </c>
      <c r="R5" s="27"/>
      <c r="S5" s="33">
        <v>2.2857142857142798</v>
      </c>
      <c r="T5" s="26">
        <v>1890</v>
      </c>
      <c r="U5" s="34" t="s">
        <v>34</v>
      </c>
      <c r="V5" s="35" t="s">
        <v>900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0.13243052607184241</v>
      </c>
      <c r="AD5" s="37">
        <f t="shared" si="12"/>
        <v>-24.489052881205097</v>
      </c>
      <c r="AE5" s="37">
        <v>-4.9000000000000004</v>
      </c>
      <c r="AF5" s="37">
        <v>-10.03180606060606</v>
      </c>
      <c r="AG5" s="37">
        <v>0</v>
      </c>
    </row>
    <row r="6" spans="1:33" ht="15.75" customHeight="1" x14ac:dyDescent="0.2">
      <c r="A6" s="26" t="s">
        <v>38</v>
      </c>
      <c r="B6" s="26" t="s">
        <v>461</v>
      </c>
      <c r="C6" s="14">
        <f t="shared" si="4"/>
        <v>27.006161616161609</v>
      </c>
      <c r="D6" s="27">
        <v>99</v>
      </c>
      <c r="E6" s="27">
        <v>0</v>
      </c>
      <c r="F6" s="28">
        <v>2673.6099999999992</v>
      </c>
      <c r="G6" s="28">
        <v>0</v>
      </c>
      <c r="H6" s="29">
        <f t="shared" si="1"/>
        <v>0</v>
      </c>
      <c r="I6" s="29">
        <f t="shared" si="2"/>
        <v>0.29033702825206359</v>
      </c>
      <c r="J6" s="30">
        <f t="shared" si="5"/>
        <v>776.24798210499944</v>
      </c>
      <c r="K6" s="30">
        <f t="shared" si="3"/>
        <v>7.840888708131307</v>
      </c>
      <c r="L6" s="27">
        <v>526</v>
      </c>
      <c r="M6" s="31">
        <f t="shared" si="6"/>
        <v>0.18821292775665399</v>
      </c>
      <c r="N6" s="27">
        <v>16</v>
      </c>
      <c r="O6" s="32">
        <f t="shared" ref="O6:P6" si="14">D6/7</f>
        <v>14.142857142857142</v>
      </c>
      <c r="P6" s="32">
        <f t="shared" si="14"/>
        <v>0</v>
      </c>
      <c r="Q6" s="27">
        <f t="shared" si="8"/>
        <v>1</v>
      </c>
      <c r="R6" s="27"/>
      <c r="S6" s="33">
        <v>3.4635568513119499</v>
      </c>
      <c r="T6" s="26">
        <v>2040</v>
      </c>
      <c r="U6" s="34">
        <v>720</v>
      </c>
      <c r="V6" s="35" t="s">
        <v>901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0.13227724999999999</v>
      </c>
      <c r="AD6" s="37">
        <f t="shared" si="12"/>
        <v>-18.071717894999995</v>
      </c>
      <c r="AE6" s="37">
        <v>-4.9000000000000004</v>
      </c>
      <c r="AF6" s="37">
        <v>-10.03180606060606</v>
      </c>
      <c r="AG6" s="37">
        <v>0</v>
      </c>
    </row>
    <row r="7" spans="1:33" ht="15.75" customHeight="1" x14ac:dyDescent="0.2">
      <c r="A7" s="26" t="s">
        <v>41</v>
      </c>
      <c r="B7" s="26"/>
      <c r="C7" s="14">
        <f t="shared" si="4"/>
        <v>26.99</v>
      </c>
      <c r="D7" s="27">
        <v>5</v>
      </c>
      <c r="E7" s="27">
        <v>0</v>
      </c>
      <c r="F7" s="28">
        <v>134.94999999999999</v>
      </c>
      <c r="G7" s="28">
        <v>0</v>
      </c>
      <c r="H7" s="29">
        <f t="shared" si="1"/>
        <v>0</v>
      </c>
      <c r="I7" s="29">
        <f t="shared" si="2"/>
        <v>0.29000190197828585</v>
      </c>
      <c r="J7" s="30">
        <f t="shared" si="5"/>
        <v>39.135756671969673</v>
      </c>
      <c r="K7" s="30">
        <f t="shared" si="3"/>
        <v>7.8271513343939345</v>
      </c>
      <c r="L7" s="27">
        <v>124</v>
      </c>
      <c r="M7" s="31">
        <f t="shared" si="6"/>
        <v>4.0322580645161289E-2</v>
      </c>
      <c r="N7" s="27">
        <v>0</v>
      </c>
      <c r="O7" s="32">
        <f t="shared" ref="O7:P7" si="15">D7/7</f>
        <v>0.7142857142857143</v>
      </c>
      <c r="P7" s="32">
        <f t="shared" si="15"/>
        <v>0</v>
      </c>
      <c r="Q7" s="27">
        <f t="shared" si="8"/>
        <v>0</v>
      </c>
      <c r="R7" s="27"/>
      <c r="S7" s="33">
        <v>4.7457627118644004</v>
      </c>
      <c r="T7" s="26">
        <v>2040</v>
      </c>
      <c r="U7" s="34">
        <v>720</v>
      </c>
      <c r="V7" s="35" t="s">
        <v>901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0.13227724999999999</v>
      </c>
      <c r="AD7" s="37">
        <f t="shared" si="12"/>
        <v>-0.91271302499999984</v>
      </c>
      <c r="AE7" s="37">
        <v>-4.9000000000000004</v>
      </c>
      <c r="AF7" s="37">
        <v>-10.03180606060606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2040</v>
      </c>
      <c r="U8" s="34">
        <v>720</v>
      </c>
      <c r="V8" s="35" t="s">
        <v>901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-10.029999999999999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2040</v>
      </c>
      <c r="U9" s="34">
        <v>720</v>
      </c>
      <c r="V9" s="35" t="s">
        <v>902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-10.1474757575757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>
        <f t="shared" si="4"/>
        <v>26.99</v>
      </c>
      <c r="D10" s="27">
        <v>1</v>
      </c>
      <c r="E10" s="27">
        <v>0</v>
      </c>
      <c r="F10" s="28">
        <v>26.99</v>
      </c>
      <c r="G10" s="28">
        <v>0</v>
      </c>
      <c r="H10" s="29">
        <f t="shared" si="1"/>
        <v>0</v>
      </c>
      <c r="I10" s="29">
        <f t="shared" si="2"/>
        <v>0.28571625184973315</v>
      </c>
      <c r="J10" s="30">
        <f t="shared" si="5"/>
        <v>7.7114816374242974</v>
      </c>
      <c r="K10" s="30">
        <f t="shared" si="3"/>
        <v>7.7114816374242974</v>
      </c>
      <c r="L10" s="27">
        <v>10</v>
      </c>
      <c r="M10" s="31">
        <f t="shared" si="6"/>
        <v>0.1</v>
      </c>
      <c r="N10" s="27">
        <v>1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7</v>
      </c>
      <c r="R10" s="27"/>
      <c r="S10" s="33">
        <v>3.5891238670694801</v>
      </c>
      <c r="T10" s="26">
        <v>2040</v>
      </c>
      <c r="U10" s="34">
        <v>720</v>
      </c>
      <c r="V10" s="35" t="s">
        <v>902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0.13227724999999999</v>
      </c>
      <c r="AD10" s="37">
        <f t="shared" si="12"/>
        <v>-0.18254260499999997</v>
      </c>
      <c r="AE10" s="37">
        <v>-4.9000000000000004</v>
      </c>
      <c r="AF10" s="37">
        <v>-10.1474757575757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2040</v>
      </c>
      <c r="U11" s="34">
        <v>720</v>
      </c>
      <c r="V11" s="35" t="s">
        <v>903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-10.1474757575757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2040</v>
      </c>
      <c r="U12" s="34">
        <v>720</v>
      </c>
      <c r="V12" s="35" t="s">
        <v>904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-10.1474757575757</v>
      </c>
      <c r="AG12" s="37">
        <v>0</v>
      </c>
    </row>
    <row r="13" spans="1:33" ht="15.75" customHeight="1" x14ac:dyDescent="0.2">
      <c r="A13" s="26" t="s">
        <v>54</v>
      </c>
      <c r="B13" s="26" t="s">
        <v>76</v>
      </c>
      <c r="C13" s="14">
        <f t="shared" si="4"/>
        <v>26.99</v>
      </c>
      <c r="D13" s="27">
        <v>2</v>
      </c>
      <c r="E13" s="27">
        <v>0</v>
      </c>
      <c r="F13" s="30">
        <v>53.98</v>
      </c>
      <c r="G13" s="28">
        <v>-0.08</v>
      </c>
      <c r="H13" s="29">
        <f t="shared" si="1"/>
        <v>1.4820303816228235E-3</v>
      </c>
      <c r="I13" s="29">
        <f t="shared" si="2"/>
        <v>0.28197861613729158</v>
      </c>
      <c r="J13" s="30">
        <f t="shared" si="5"/>
        <v>15.221205699090998</v>
      </c>
      <c r="K13" s="30">
        <f t="shared" si="3"/>
        <v>7.6106028495454989</v>
      </c>
      <c r="L13" s="27">
        <v>2</v>
      </c>
      <c r="M13" s="31">
        <f t="shared" si="6"/>
        <v>1</v>
      </c>
      <c r="N13" s="27">
        <v>0</v>
      </c>
      <c r="O13" s="32">
        <f t="shared" ref="O13:P13" si="21">D13/7</f>
        <v>0.2857142857142857</v>
      </c>
      <c r="P13" s="32">
        <f t="shared" si="21"/>
        <v>0</v>
      </c>
      <c r="Q13" s="27">
        <f t="shared" si="8"/>
        <v>0</v>
      </c>
      <c r="R13" s="27"/>
      <c r="S13" s="33" t="e">
        <v>#N/A</v>
      </c>
      <c r="T13" s="26">
        <v>2040</v>
      </c>
      <c r="U13" s="34">
        <v>720</v>
      </c>
      <c r="V13" s="35" t="s">
        <v>905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0.13227724999999999</v>
      </c>
      <c r="AD13" s="37">
        <f t="shared" si="12"/>
        <v>-0.36508520999999994</v>
      </c>
      <c r="AE13" s="37">
        <v>-4.9000000000000004</v>
      </c>
      <c r="AF13" s="37">
        <v>-10.208354545454499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300</v>
      </c>
      <c r="U14" s="34">
        <v>300</v>
      </c>
      <c r="V14" s="35" t="s">
        <v>906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0.13227724999999999</v>
      </c>
      <c r="AD14" s="37">
        <f t="shared" si="12"/>
        <v>0</v>
      </c>
      <c r="AE14" s="37">
        <v>-4.9000000000000004</v>
      </c>
      <c r="AF14" s="37">
        <v>-10.208354545454499</v>
      </c>
      <c r="AG14" s="37">
        <v>0</v>
      </c>
    </row>
    <row r="15" spans="1:33" ht="15.75" customHeight="1" x14ac:dyDescent="0.2">
      <c r="A15" s="26" t="s">
        <v>58</v>
      </c>
      <c r="B15" s="26" t="s">
        <v>907</v>
      </c>
      <c r="C15" s="14">
        <f t="shared" si="4"/>
        <v>22.99</v>
      </c>
      <c r="D15" s="27">
        <v>3</v>
      </c>
      <c r="E15" s="27">
        <v>0</v>
      </c>
      <c r="F15" s="30">
        <v>68.97</v>
      </c>
      <c r="G15" s="28">
        <v>-0.02</v>
      </c>
      <c r="H15" s="29">
        <f t="shared" si="1"/>
        <v>2.8998115122517038E-4</v>
      </c>
      <c r="I15" s="29">
        <f t="shared" si="2"/>
        <v>0.1845992250056038</v>
      </c>
      <c r="J15" s="30">
        <f t="shared" si="5"/>
        <v>12.731808548636494</v>
      </c>
      <c r="K15" s="30">
        <f t="shared" si="3"/>
        <v>4.2439361828788309</v>
      </c>
      <c r="L15" s="27">
        <v>19</v>
      </c>
      <c r="M15" s="31">
        <f t="shared" si="6"/>
        <v>0.15789473684210525</v>
      </c>
      <c r="N15" s="27">
        <v>718</v>
      </c>
      <c r="O15" s="32">
        <f t="shared" ref="O15:P15" si="23">D15/7</f>
        <v>0.42857142857142855</v>
      </c>
      <c r="P15" s="32">
        <f t="shared" si="23"/>
        <v>0</v>
      </c>
      <c r="Q15" s="27">
        <f t="shared" si="8"/>
        <v>1675</v>
      </c>
      <c r="R15" s="27"/>
      <c r="S15" s="33">
        <v>1.6539682539682501</v>
      </c>
      <c r="T15" s="26">
        <v>300</v>
      </c>
      <c r="U15" s="34">
        <v>300</v>
      </c>
      <c r="V15" s="35" t="s">
        <v>908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0.13227724999999999</v>
      </c>
      <c r="AD15" s="37">
        <f t="shared" si="12"/>
        <v>-0.54762781499999991</v>
      </c>
      <c r="AE15" s="37">
        <v>-4.9000000000000004</v>
      </c>
      <c r="AF15" s="37">
        <v>-10.208354545454499</v>
      </c>
      <c r="AG15" s="37">
        <v>0</v>
      </c>
    </row>
    <row r="16" spans="1:33" ht="15.75" customHeight="1" x14ac:dyDescent="0.2">
      <c r="A16" s="26" t="s">
        <v>60</v>
      </c>
      <c r="B16" s="26" t="s">
        <v>909</v>
      </c>
      <c r="C16" s="14">
        <f t="shared" si="4"/>
        <v>23.932499999999997</v>
      </c>
      <c r="D16" s="27">
        <v>8</v>
      </c>
      <c r="E16" s="27">
        <v>0</v>
      </c>
      <c r="F16" s="30">
        <v>191.45999999999998</v>
      </c>
      <c r="G16" s="28">
        <v>-43.75</v>
      </c>
      <c r="H16" s="29">
        <f t="shared" si="1"/>
        <v>0.22850726000208924</v>
      </c>
      <c r="I16" s="29">
        <f t="shared" si="2"/>
        <v>-1.7424930552783931E-2</v>
      </c>
      <c r="J16" s="30">
        <f t="shared" si="5"/>
        <v>-3.3361772036360113</v>
      </c>
      <c r="K16" s="30">
        <f t="shared" si="3"/>
        <v>-0.41702215045450142</v>
      </c>
      <c r="L16" s="27">
        <v>172</v>
      </c>
      <c r="M16" s="31">
        <f t="shared" si="6"/>
        <v>4.6511627906976744E-2</v>
      </c>
      <c r="N16" s="27">
        <v>714</v>
      </c>
      <c r="O16" s="32">
        <f t="shared" ref="O16:P16" si="24">D16/7</f>
        <v>1.1428571428571428</v>
      </c>
      <c r="P16" s="32">
        <f t="shared" si="24"/>
        <v>0</v>
      </c>
      <c r="Q16" s="27">
        <f t="shared" si="8"/>
        <v>624</v>
      </c>
      <c r="R16" s="27"/>
      <c r="S16" s="33">
        <v>1.49914236706689</v>
      </c>
      <c r="T16" s="26">
        <v>300</v>
      </c>
      <c r="U16" s="34">
        <v>300</v>
      </c>
      <c r="V16" s="35" t="s">
        <v>910</v>
      </c>
      <c r="W16" s="26">
        <v>3</v>
      </c>
      <c r="X16" s="36">
        <f t="shared" si="9"/>
        <v>0.375</v>
      </c>
      <c r="Y16" s="37">
        <f t="shared" si="10"/>
        <v>8.75</v>
      </c>
      <c r="Z16" s="26">
        <v>2</v>
      </c>
      <c r="AA16" s="26" t="s">
        <v>37</v>
      </c>
      <c r="AB16" s="38">
        <f t="shared" si="11"/>
        <v>-0.69</v>
      </c>
      <c r="AC16" s="39">
        <v>0.13227724999999999</v>
      </c>
      <c r="AD16" s="37">
        <f t="shared" si="12"/>
        <v>-1.4603408399999998</v>
      </c>
      <c r="AE16" s="37">
        <v>-4.9000000000000004</v>
      </c>
      <c r="AF16" s="37">
        <v>-10.208354545454499</v>
      </c>
      <c r="AG16" s="37">
        <v>0</v>
      </c>
    </row>
    <row r="17" spans="1:33" ht="15.75" customHeight="1" x14ac:dyDescent="0.2">
      <c r="A17" s="26" t="s">
        <v>61</v>
      </c>
      <c r="B17" s="26" t="s">
        <v>911</v>
      </c>
      <c r="C17" s="14">
        <f t="shared" si="4"/>
        <v>21.976999999999997</v>
      </c>
      <c r="D17" s="27">
        <v>20</v>
      </c>
      <c r="E17" s="27">
        <v>0</v>
      </c>
      <c r="F17" s="30">
        <v>439.53999999999996</v>
      </c>
      <c r="G17" s="28">
        <v>-75.510000000000019</v>
      </c>
      <c r="H17" s="29">
        <f t="shared" si="1"/>
        <v>0.171793238385585</v>
      </c>
      <c r="I17" s="29">
        <f t="shared" si="2"/>
        <v>-1.7561411951335593E-2</v>
      </c>
      <c r="J17" s="30">
        <f t="shared" si="5"/>
        <v>-7.7189430090900455</v>
      </c>
      <c r="K17" s="30">
        <f t="shared" si="3"/>
        <v>-0.38594715045450229</v>
      </c>
      <c r="L17" s="27">
        <v>217</v>
      </c>
      <c r="M17" s="31">
        <f t="shared" si="6"/>
        <v>9.2165898617511524E-2</v>
      </c>
      <c r="N17" s="27">
        <v>687</v>
      </c>
      <c r="O17" s="32">
        <f t="shared" ref="O17:P17" si="25">D17/7</f>
        <v>2.8571428571428572</v>
      </c>
      <c r="P17" s="32">
        <f t="shared" si="25"/>
        <v>0</v>
      </c>
      <c r="Q17" s="27">
        <f t="shared" si="8"/>
        <v>240</v>
      </c>
      <c r="R17" s="27"/>
      <c r="S17" s="33">
        <v>1.3146853146853099</v>
      </c>
      <c r="T17" s="26">
        <v>300</v>
      </c>
      <c r="U17" s="34">
        <v>300</v>
      </c>
      <c r="V17" s="35" t="s">
        <v>910</v>
      </c>
      <c r="W17" s="26">
        <v>7</v>
      </c>
      <c r="X17" s="36">
        <f t="shared" si="9"/>
        <v>0.35</v>
      </c>
      <c r="Y17" s="37">
        <f t="shared" si="10"/>
        <v>9.4387500000000024</v>
      </c>
      <c r="Z17" s="26">
        <v>1</v>
      </c>
      <c r="AA17" s="26" t="s">
        <v>37</v>
      </c>
      <c r="AB17" s="38">
        <f t="shared" si="11"/>
        <v>-0.69</v>
      </c>
      <c r="AC17" s="39">
        <v>0.13227724999999999</v>
      </c>
      <c r="AD17" s="37">
        <f t="shared" si="12"/>
        <v>-3.6508520999999994</v>
      </c>
      <c r="AE17" s="37">
        <v>-4.9000000000000004</v>
      </c>
      <c r="AF17" s="37">
        <v>-10.208354545454499</v>
      </c>
      <c r="AG17" s="37">
        <v>0</v>
      </c>
    </row>
    <row r="18" spans="1:33" ht="15.75" customHeight="1" x14ac:dyDescent="0.2">
      <c r="A18" s="26" t="s">
        <v>62</v>
      </c>
      <c r="B18" s="26" t="s">
        <v>912</v>
      </c>
      <c r="C18" s="14">
        <f t="shared" si="4"/>
        <v>20.02016129032258</v>
      </c>
      <c r="D18" s="27">
        <v>62</v>
      </c>
      <c r="E18" s="27">
        <v>0</v>
      </c>
      <c r="F18" s="30">
        <v>1241.25</v>
      </c>
      <c r="G18" s="28">
        <v>-87.99</v>
      </c>
      <c r="H18" s="29">
        <f t="shared" si="1"/>
        <v>7.08882175226586E-2</v>
      </c>
      <c r="I18" s="29">
        <f t="shared" si="2"/>
        <v>1.5336859352927288E-2</v>
      </c>
      <c r="J18" s="30">
        <f t="shared" si="5"/>
        <v>19.036876671820995</v>
      </c>
      <c r="K18" s="30">
        <f t="shared" si="3"/>
        <v>0.30704639793259669</v>
      </c>
      <c r="L18" s="27">
        <v>334</v>
      </c>
      <c r="M18" s="31">
        <f t="shared" si="6"/>
        <v>0.18562874251497005</v>
      </c>
      <c r="N18" s="27">
        <v>638</v>
      </c>
      <c r="O18" s="32">
        <f t="shared" ref="O18:P18" si="26">D18/7</f>
        <v>8.8571428571428577</v>
      </c>
      <c r="P18" s="32">
        <f t="shared" si="26"/>
        <v>0</v>
      </c>
      <c r="Q18" s="27">
        <f t="shared" si="8"/>
        <v>72</v>
      </c>
      <c r="R18" s="27"/>
      <c r="S18" s="33">
        <v>0.98727735368956704</v>
      </c>
      <c r="T18" s="26">
        <v>300</v>
      </c>
      <c r="U18" s="34">
        <v>300</v>
      </c>
      <c r="V18" s="35" t="s">
        <v>910</v>
      </c>
      <c r="W18" s="26">
        <v>6</v>
      </c>
      <c r="X18" s="36">
        <f t="shared" si="9"/>
        <v>9.6774193548387094E-2</v>
      </c>
      <c r="Y18" s="37">
        <f t="shared" si="10"/>
        <v>9.7766666666666655</v>
      </c>
      <c r="Z18" s="26">
        <v>3</v>
      </c>
      <c r="AA18" s="26" t="s">
        <v>37</v>
      </c>
      <c r="AB18" s="38">
        <f t="shared" si="11"/>
        <v>-0.69</v>
      </c>
      <c r="AC18" s="39">
        <v>0.13227724999999999</v>
      </c>
      <c r="AD18" s="37">
        <f t="shared" si="12"/>
        <v>-11.317641509999998</v>
      </c>
      <c r="AE18" s="37">
        <v>-4.9000000000000004</v>
      </c>
      <c r="AF18" s="37">
        <v>-10.208354545454499</v>
      </c>
      <c r="AG18" s="37">
        <v>0</v>
      </c>
    </row>
    <row r="19" spans="1:33" ht="15.75" customHeight="1" x14ac:dyDescent="0.2">
      <c r="A19" s="26" t="s">
        <v>64</v>
      </c>
      <c r="B19" s="26" t="s">
        <v>913</v>
      </c>
      <c r="C19" s="14">
        <f t="shared" si="4"/>
        <v>20.906764705882352</v>
      </c>
      <c r="D19" s="27">
        <v>34</v>
      </c>
      <c r="E19" s="27">
        <v>0</v>
      </c>
      <c r="F19" s="30">
        <v>710.83</v>
      </c>
      <c r="G19" s="28">
        <v>-72.509999999999991</v>
      </c>
      <c r="H19" s="29">
        <f t="shared" si="1"/>
        <v>0.10200751234472376</v>
      </c>
      <c r="I19" s="29">
        <f t="shared" si="2"/>
        <v>1.6607341958760156E-2</v>
      </c>
      <c r="J19" s="30">
        <f t="shared" si="5"/>
        <v>11.804996884545481</v>
      </c>
      <c r="K19" s="30">
        <f t="shared" si="3"/>
        <v>0.34720579072192592</v>
      </c>
      <c r="L19" s="27">
        <v>220</v>
      </c>
      <c r="M19" s="31">
        <f t="shared" si="6"/>
        <v>0.15454545454545454</v>
      </c>
      <c r="N19" s="27">
        <v>774</v>
      </c>
      <c r="O19" s="32">
        <f t="shared" ref="O19:P19" si="27">D19/7</f>
        <v>4.8571428571428568</v>
      </c>
      <c r="P19" s="32">
        <f t="shared" si="27"/>
        <v>0</v>
      </c>
      <c r="Q19" s="27">
        <f t="shared" si="8"/>
        <v>159</v>
      </c>
      <c r="R19" s="27"/>
      <c r="S19" s="33">
        <v>0.91394658753709201</v>
      </c>
      <c r="T19" s="26">
        <v>300</v>
      </c>
      <c r="U19" s="34" t="s">
        <v>34</v>
      </c>
      <c r="V19" s="35" t="s">
        <v>914</v>
      </c>
      <c r="W19" s="26">
        <v>7</v>
      </c>
      <c r="X19" s="36">
        <f t="shared" si="9"/>
        <v>0.20588235294117646</v>
      </c>
      <c r="Y19" s="37">
        <f t="shared" si="10"/>
        <v>7.2509999999999994</v>
      </c>
      <c r="Z19" s="26">
        <v>3</v>
      </c>
      <c r="AA19" s="26" t="s">
        <v>37</v>
      </c>
      <c r="AB19" s="38">
        <f t="shared" si="11"/>
        <v>-0.69</v>
      </c>
      <c r="AC19" s="39">
        <v>0.13227724999999999</v>
      </c>
      <c r="AD19" s="37">
        <f t="shared" si="12"/>
        <v>-6.2064485699999992</v>
      </c>
      <c r="AE19" s="37">
        <v>-4.9000000000000004</v>
      </c>
      <c r="AF19" s="37">
        <v>-10.208354545454545</v>
      </c>
      <c r="AG19" s="37">
        <v>0</v>
      </c>
    </row>
    <row r="20" spans="1:33" ht="15.75" customHeight="1" x14ac:dyDescent="0.2">
      <c r="A20" s="26" t="s">
        <v>65</v>
      </c>
      <c r="B20" s="26" t="s">
        <v>915</v>
      </c>
      <c r="C20" s="14">
        <f t="shared" si="4"/>
        <v>20.526060606060614</v>
      </c>
      <c r="D20" s="27">
        <v>33</v>
      </c>
      <c r="E20" s="27">
        <v>0</v>
      </c>
      <c r="F20" s="30">
        <v>677.36000000000024</v>
      </c>
      <c r="G20" s="28">
        <v>-69.02000000000001</v>
      </c>
      <c r="H20" s="29">
        <f t="shared" si="1"/>
        <v>0.10189559466162747</v>
      </c>
      <c r="I20" s="29">
        <f t="shared" si="2"/>
        <v>3.1540008784106026E-3</v>
      </c>
      <c r="J20" s="30">
        <f t="shared" si="5"/>
        <v>2.1363940350002064</v>
      </c>
      <c r="K20" s="30">
        <f t="shared" si="3"/>
        <v>6.4739213181824434E-2</v>
      </c>
      <c r="L20" s="27">
        <v>178</v>
      </c>
      <c r="M20" s="31">
        <f t="shared" si="6"/>
        <v>0.1853932584269663</v>
      </c>
      <c r="N20" s="27">
        <v>743</v>
      </c>
      <c r="O20" s="32">
        <f t="shared" ref="O20:P20" si="28">D20/7</f>
        <v>4.7142857142857144</v>
      </c>
      <c r="P20" s="32">
        <f t="shared" si="28"/>
        <v>0</v>
      </c>
      <c r="Q20" s="27">
        <f t="shared" si="8"/>
        <v>157</v>
      </c>
      <c r="R20" s="27"/>
      <c r="S20" s="33">
        <v>0.40564137004701101</v>
      </c>
      <c r="T20" s="26">
        <v>300</v>
      </c>
      <c r="U20" s="34" t="s">
        <v>34</v>
      </c>
      <c r="V20" s="35" t="s">
        <v>914</v>
      </c>
      <c r="W20" s="26">
        <v>7</v>
      </c>
      <c r="X20" s="36">
        <f t="shared" si="9"/>
        <v>0.21212121212121213</v>
      </c>
      <c r="Y20" s="37">
        <f t="shared" si="10"/>
        <v>8.6275000000000013</v>
      </c>
      <c r="Z20" s="26">
        <v>1</v>
      </c>
      <c r="AA20" s="26" t="s">
        <v>37</v>
      </c>
      <c r="AB20" s="38">
        <f t="shared" si="11"/>
        <v>-0.69</v>
      </c>
      <c r="AC20" s="39">
        <v>0.13227724999999999</v>
      </c>
      <c r="AD20" s="37">
        <f t="shared" si="12"/>
        <v>-6.0239059649999991</v>
      </c>
      <c r="AE20" s="37">
        <v>-4.9000000000000004</v>
      </c>
      <c r="AF20" s="37">
        <v>-10.208354545454545</v>
      </c>
      <c r="AG20" s="37">
        <v>0</v>
      </c>
    </row>
    <row r="21" spans="1:33" ht="15.75" customHeight="1" x14ac:dyDescent="0.2">
      <c r="A21" s="26" t="s">
        <v>66</v>
      </c>
      <c r="B21" s="26" t="s">
        <v>916</v>
      </c>
      <c r="C21" s="14">
        <f t="shared" si="4"/>
        <v>22.013076923076923</v>
      </c>
      <c r="D21" s="27">
        <v>13</v>
      </c>
      <c r="E21" s="27">
        <v>0</v>
      </c>
      <c r="F21" s="30">
        <v>286.17</v>
      </c>
      <c r="G21" s="28">
        <v>-100.63999999999999</v>
      </c>
      <c r="H21" s="29">
        <f t="shared" si="1"/>
        <v>0.35167907188035075</v>
      </c>
      <c r="I21" s="29">
        <f t="shared" si="2"/>
        <v>-0.19630696074329612</v>
      </c>
      <c r="J21" s="30">
        <f t="shared" si="5"/>
        <v>-56.177162955909054</v>
      </c>
      <c r="K21" s="30">
        <f t="shared" si="3"/>
        <v>-4.3213202273776199</v>
      </c>
      <c r="L21" s="27">
        <v>88</v>
      </c>
      <c r="M21" s="31">
        <f t="shared" si="6"/>
        <v>0.14772727272727273</v>
      </c>
      <c r="N21" s="27">
        <v>727</v>
      </c>
      <c r="O21" s="32">
        <f t="shared" ref="O21:P21" si="29">D21/7</f>
        <v>1.8571428571428572</v>
      </c>
      <c r="P21" s="32">
        <f t="shared" si="29"/>
        <v>0</v>
      </c>
      <c r="Q21" s="27">
        <f t="shared" si="8"/>
        <v>391</v>
      </c>
      <c r="R21" s="27"/>
      <c r="S21" s="33">
        <v>0.49460819554277402</v>
      </c>
      <c r="T21" s="26" t="s">
        <v>34</v>
      </c>
      <c r="U21" s="34" t="s">
        <v>34</v>
      </c>
      <c r="V21" s="35" t="s">
        <v>34</v>
      </c>
      <c r="W21" s="26">
        <v>4</v>
      </c>
      <c r="X21" s="36">
        <f t="shared" si="9"/>
        <v>0.30769230769230771</v>
      </c>
      <c r="Y21" s="37">
        <f t="shared" si="10"/>
        <v>14.377142857142855</v>
      </c>
      <c r="Z21" s="26">
        <v>3</v>
      </c>
      <c r="AA21" s="26" t="s">
        <v>37</v>
      </c>
      <c r="AB21" s="38">
        <f t="shared" si="11"/>
        <v>-0.69</v>
      </c>
      <c r="AC21" s="39">
        <v>0.13227724999999999</v>
      </c>
      <c r="AD21" s="37">
        <f t="shared" si="12"/>
        <v>-2.3730538649999997</v>
      </c>
      <c r="AE21" s="37">
        <v>-4.9000000000000004</v>
      </c>
      <c r="AF21" s="37">
        <v>-10.208354545454545</v>
      </c>
      <c r="AG21" s="37">
        <v>0</v>
      </c>
    </row>
    <row r="22" spans="1:33" ht="15.75" customHeight="1" x14ac:dyDescent="0.2">
      <c r="A22" s="26" t="s">
        <v>67</v>
      </c>
      <c r="B22" s="26" t="s">
        <v>917</v>
      </c>
      <c r="C22" s="14">
        <f t="shared" si="4"/>
        <v>20.031111111111116</v>
      </c>
      <c r="D22" s="27">
        <v>36</v>
      </c>
      <c r="E22" s="27">
        <v>0</v>
      </c>
      <c r="F22" s="28">
        <v>721.12000000000023</v>
      </c>
      <c r="G22" s="28">
        <v>-73.25</v>
      </c>
      <c r="H22" s="29">
        <f t="shared" si="1"/>
        <v>0.10157810073219434</v>
      </c>
      <c r="I22" s="29">
        <f t="shared" si="2"/>
        <v>-1.493551339078571E-2</v>
      </c>
      <c r="J22" s="30">
        <f t="shared" si="5"/>
        <v>-10.770297416363395</v>
      </c>
      <c r="K22" s="30">
        <f t="shared" si="3"/>
        <v>-0.29917492823231651</v>
      </c>
      <c r="L22" s="27">
        <v>211</v>
      </c>
      <c r="M22" s="31">
        <f t="shared" si="6"/>
        <v>0.17061611374407584</v>
      </c>
      <c r="N22" s="27">
        <v>698</v>
      </c>
      <c r="O22" s="32">
        <f t="shared" ref="O22:P22" si="30">D22/7</f>
        <v>5.1428571428571432</v>
      </c>
      <c r="P22" s="32">
        <f t="shared" si="30"/>
        <v>0</v>
      </c>
      <c r="Q22" s="27">
        <f t="shared" si="8"/>
        <v>135</v>
      </c>
      <c r="R22" s="27"/>
      <c r="S22" s="33">
        <v>0.58008658008657998</v>
      </c>
      <c r="T22" s="26" t="s">
        <v>34</v>
      </c>
      <c r="U22" s="34" t="s">
        <v>34</v>
      </c>
      <c r="V22" s="35" t="s">
        <v>34</v>
      </c>
      <c r="W22" s="26">
        <v>6</v>
      </c>
      <c r="X22" s="36">
        <f t="shared" si="9"/>
        <v>0.16666666666666666</v>
      </c>
      <c r="Y22" s="37">
        <f t="shared" si="10"/>
        <v>10.464285714285714</v>
      </c>
      <c r="Z22" s="26">
        <v>1</v>
      </c>
      <c r="AA22" s="26" t="s">
        <v>37</v>
      </c>
      <c r="AB22" s="38">
        <f t="shared" si="11"/>
        <v>-0.69</v>
      </c>
      <c r="AC22" s="39">
        <v>0.13227724999999999</v>
      </c>
      <c r="AD22" s="37">
        <f t="shared" si="12"/>
        <v>-6.5715337799999993</v>
      </c>
      <c r="AE22" s="37">
        <v>-4.9000000000000004</v>
      </c>
      <c r="AF22" s="37">
        <v>-10.208354545454545</v>
      </c>
      <c r="AG22" s="37">
        <v>0</v>
      </c>
    </row>
    <row r="23" spans="1:33" ht="15.75" customHeight="1" x14ac:dyDescent="0.2">
      <c r="A23" s="26" t="s">
        <v>68</v>
      </c>
      <c r="B23" s="26" t="s">
        <v>668</v>
      </c>
      <c r="C23" s="14">
        <f t="shared" si="4"/>
        <v>19.990000000000006</v>
      </c>
      <c r="D23" s="27">
        <v>34</v>
      </c>
      <c r="E23" s="27">
        <v>0</v>
      </c>
      <c r="F23" s="30">
        <v>679.6600000000002</v>
      </c>
      <c r="G23" s="28">
        <v>-37.400000000000013</v>
      </c>
      <c r="H23" s="29">
        <f t="shared" si="1"/>
        <v>5.5027513756878442E-2</v>
      </c>
      <c r="I23" s="29">
        <f t="shared" si="2"/>
        <v>3.0045165059802821E-2</v>
      </c>
      <c r="J23" s="30">
        <f t="shared" si="5"/>
        <v>20.420496884545592</v>
      </c>
      <c r="K23" s="30">
        <f t="shared" si="3"/>
        <v>0.60060284954545862</v>
      </c>
      <c r="L23" s="27">
        <v>221</v>
      </c>
      <c r="M23" s="31">
        <f t="shared" si="6"/>
        <v>0.15384615384615385</v>
      </c>
      <c r="N23" s="27">
        <v>659</v>
      </c>
      <c r="O23" s="32">
        <f t="shared" ref="O23:P23" si="31">D23/7</f>
        <v>4.8571428571428568</v>
      </c>
      <c r="P23" s="32">
        <f t="shared" si="31"/>
        <v>0</v>
      </c>
      <c r="Q23" s="27">
        <f t="shared" si="8"/>
        <v>135</v>
      </c>
      <c r="R23" s="27"/>
      <c r="S23" s="33">
        <v>0.68136882129277498</v>
      </c>
      <c r="T23" s="26">
        <v>300</v>
      </c>
      <c r="U23" s="34" t="s">
        <v>34</v>
      </c>
      <c r="V23" s="35" t="s">
        <v>914</v>
      </c>
      <c r="W23" s="26">
        <v>2</v>
      </c>
      <c r="X23" s="36">
        <f t="shared" si="9"/>
        <v>5.8823529411764705E-2</v>
      </c>
      <c r="Y23" s="37">
        <f t="shared" si="10"/>
        <v>12.46666666666667</v>
      </c>
      <c r="Z23" s="26">
        <v>1</v>
      </c>
      <c r="AA23" s="26" t="s">
        <v>37</v>
      </c>
      <c r="AB23" s="38">
        <f t="shared" si="11"/>
        <v>-0.69</v>
      </c>
      <c r="AC23" s="39">
        <v>0.13227724999999999</v>
      </c>
      <c r="AD23" s="37">
        <f t="shared" si="12"/>
        <v>-6.2064485699999992</v>
      </c>
      <c r="AE23" s="37">
        <v>-4.9000000000000004</v>
      </c>
      <c r="AF23" s="37">
        <v>-10.208354545454545</v>
      </c>
      <c r="AG23" s="37">
        <v>0</v>
      </c>
    </row>
    <row r="24" spans="1:33" ht="15.75" customHeight="1" x14ac:dyDescent="0.2">
      <c r="A24" s="26" t="s">
        <v>71</v>
      </c>
      <c r="B24" s="26" t="s">
        <v>918</v>
      </c>
      <c r="C24" s="14">
        <f t="shared" si="4"/>
        <v>19.990000000000006</v>
      </c>
      <c r="D24" s="27">
        <v>29</v>
      </c>
      <c r="E24" s="27">
        <v>0</v>
      </c>
      <c r="F24" s="30">
        <v>579.71000000000015</v>
      </c>
      <c r="G24" s="30">
        <v>-19.270000000000003</v>
      </c>
      <c r="H24" s="29">
        <f t="shared" si="1"/>
        <v>3.3240758310189578E-2</v>
      </c>
      <c r="I24" s="29">
        <f t="shared" si="2"/>
        <v>5.1831920506491595E-2</v>
      </c>
      <c r="J24" s="30">
        <f t="shared" si="5"/>
        <v>30.047482636818252</v>
      </c>
      <c r="K24" s="30">
        <f t="shared" si="3"/>
        <v>1.0361200909247672</v>
      </c>
      <c r="L24" s="27">
        <v>205</v>
      </c>
      <c r="M24" s="31">
        <f t="shared" si="6"/>
        <v>0.14146341463414633</v>
      </c>
      <c r="N24" s="27">
        <v>633</v>
      </c>
      <c r="O24" s="32">
        <f t="shared" ref="O24:P24" si="32">D24/7</f>
        <v>4.1428571428571432</v>
      </c>
      <c r="P24" s="32">
        <f t="shared" si="32"/>
        <v>0</v>
      </c>
      <c r="Q24" s="27">
        <f t="shared" si="8"/>
        <v>152</v>
      </c>
      <c r="R24" s="27"/>
      <c r="S24" s="33">
        <v>0.47410172655156302</v>
      </c>
      <c r="T24" s="26">
        <v>300</v>
      </c>
      <c r="U24" s="34" t="s">
        <v>34</v>
      </c>
      <c r="V24" s="35" t="s">
        <v>914</v>
      </c>
      <c r="W24" s="26">
        <v>4</v>
      </c>
      <c r="X24" s="36">
        <f t="shared" si="9"/>
        <v>0.13793103448275862</v>
      </c>
      <c r="Y24" s="37">
        <f t="shared" si="10"/>
        <v>3.2116666666666673</v>
      </c>
      <c r="Z24" s="26">
        <v>2</v>
      </c>
      <c r="AA24" s="26" t="s">
        <v>37</v>
      </c>
      <c r="AB24" s="38">
        <f t="shared" si="11"/>
        <v>-0.69</v>
      </c>
      <c r="AC24" s="39">
        <v>0.13227724999999999</v>
      </c>
      <c r="AD24" s="37">
        <f t="shared" si="12"/>
        <v>-5.2937355449999988</v>
      </c>
      <c r="AE24" s="37">
        <v>-4.9000000000000004</v>
      </c>
      <c r="AF24" s="37">
        <v>-10.208354545454545</v>
      </c>
      <c r="AG24" s="37">
        <v>0</v>
      </c>
    </row>
    <row r="25" spans="1:33" ht="15.75" customHeight="1" x14ac:dyDescent="0.2">
      <c r="A25" s="40" t="s">
        <v>73</v>
      </c>
      <c r="B25" s="40" t="s">
        <v>919</v>
      </c>
      <c r="C25" s="14">
        <f t="shared" si="4"/>
        <v>19.989999999999995</v>
      </c>
      <c r="D25" s="15">
        <v>19</v>
      </c>
      <c r="E25" s="15">
        <v>0</v>
      </c>
      <c r="F25" s="16">
        <v>379.80999999999989</v>
      </c>
      <c r="G25" s="16">
        <v>-36.79</v>
      </c>
      <c r="H25" s="29">
        <f t="shared" si="1"/>
        <v>9.6864221584476481E-2</v>
      </c>
      <c r="I25" s="29">
        <f t="shared" si="2"/>
        <v>-1.187385665201059E-2</v>
      </c>
      <c r="J25" s="30">
        <f t="shared" si="5"/>
        <v>-4.5098094950001411</v>
      </c>
      <c r="K25" s="30">
        <f t="shared" si="3"/>
        <v>-0.23735839447369164</v>
      </c>
      <c r="L25" s="15">
        <v>205</v>
      </c>
      <c r="M25" s="31">
        <f t="shared" si="6"/>
        <v>9.2682926829268292E-2</v>
      </c>
      <c r="N25" s="15">
        <v>606</v>
      </c>
      <c r="O25" s="32">
        <f t="shared" ref="O25:P25" si="33">D25/7</f>
        <v>2.7142857142857144</v>
      </c>
      <c r="P25" s="32">
        <f t="shared" si="33"/>
        <v>0</v>
      </c>
      <c r="Q25" s="27">
        <f t="shared" si="8"/>
        <v>223</v>
      </c>
      <c r="R25" s="27"/>
      <c r="S25" s="41">
        <v>0.5584100824042656</v>
      </c>
      <c r="T25" s="26">
        <v>300</v>
      </c>
      <c r="U25" s="34" t="s">
        <v>34</v>
      </c>
      <c r="V25" s="35" t="s">
        <v>914</v>
      </c>
      <c r="W25" s="40">
        <v>3</v>
      </c>
      <c r="X25" s="36">
        <f t="shared" si="9"/>
        <v>0.15789473684210525</v>
      </c>
      <c r="Y25" s="37">
        <f t="shared" si="10"/>
        <v>12.263333333333334</v>
      </c>
      <c r="Z25" s="40">
        <v>0</v>
      </c>
      <c r="AA25" s="26" t="s">
        <v>37</v>
      </c>
      <c r="AB25" s="38">
        <f t="shared" si="11"/>
        <v>-0.69</v>
      </c>
      <c r="AC25" s="39">
        <v>0.13227724999999999</v>
      </c>
      <c r="AD25" s="37">
        <f t="shared" si="12"/>
        <v>-3.4683094949999993</v>
      </c>
      <c r="AE25" s="42">
        <v>-4.9000000000000004</v>
      </c>
      <c r="AF25" s="42">
        <v>-10.210000000000001</v>
      </c>
      <c r="AG25" s="42">
        <v>0</v>
      </c>
    </row>
    <row r="26" spans="1:33" ht="15.75" customHeight="1" x14ac:dyDescent="0.2">
      <c r="A26" s="40" t="s">
        <v>75</v>
      </c>
      <c r="B26" s="40" t="s">
        <v>920</v>
      </c>
      <c r="C26" s="14">
        <f t="shared" si="4"/>
        <v>19.989999999999998</v>
      </c>
      <c r="D26" s="15">
        <v>12</v>
      </c>
      <c r="E26" s="15">
        <v>0</v>
      </c>
      <c r="F26" s="16">
        <v>239.88</v>
      </c>
      <c r="G26" s="16">
        <v>-23.6</v>
      </c>
      <c r="H26" s="29">
        <f t="shared" si="1"/>
        <v>9.8382524595631154E-2</v>
      </c>
      <c r="I26" s="29">
        <f t="shared" si="2"/>
        <v>-1.5811096404260472E-2</v>
      </c>
      <c r="J26" s="30">
        <f t="shared" si="5"/>
        <v>-3.7927658054540019</v>
      </c>
      <c r="K26" s="30">
        <f t="shared" si="3"/>
        <v>-0.31606381712116682</v>
      </c>
      <c r="L26" s="15">
        <v>76</v>
      </c>
      <c r="M26" s="31">
        <f t="shared" si="6"/>
        <v>0.15789473684210525</v>
      </c>
      <c r="N26" s="15">
        <v>592</v>
      </c>
      <c r="O26" s="32">
        <f t="shared" ref="O26:P26" si="34">D26/7</f>
        <v>1.7142857142857142</v>
      </c>
      <c r="P26" s="32">
        <f t="shared" si="34"/>
        <v>0</v>
      </c>
      <c r="Q26" s="27">
        <f t="shared" si="8"/>
        <v>345</v>
      </c>
      <c r="R26" s="27"/>
      <c r="S26" s="41">
        <v>0.58677274987568373</v>
      </c>
      <c r="T26" s="26">
        <v>300</v>
      </c>
      <c r="U26" s="34" t="s">
        <v>34</v>
      </c>
      <c r="V26" s="35" t="s">
        <v>914</v>
      </c>
      <c r="W26" s="40">
        <v>0</v>
      </c>
      <c r="X26" s="36">
        <f t="shared" si="9"/>
        <v>0</v>
      </c>
      <c r="Y26" s="37">
        <f t="shared" si="10"/>
        <v>11.8</v>
      </c>
      <c r="Z26" s="40">
        <v>2</v>
      </c>
      <c r="AA26" s="26" t="s">
        <v>37</v>
      </c>
      <c r="AB26" s="38">
        <f t="shared" si="11"/>
        <v>-0.69</v>
      </c>
      <c r="AC26" s="40">
        <v>0.13227724999999999</v>
      </c>
      <c r="AD26" s="37">
        <f t="shared" si="12"/>
        <v>-2.1905112599999996</v>
      </c>
      <c r="AE26" s="42">
        <v>-4.95</v>
      </c>
      <c r="AF26" s="42">
        <v>-10.208354545454499</v>
      </c>
      <c r="AG26" s="42">
        <v>0</v>
      </c>
    </row>
    <row r="27" spans="1:33" ht="15.75" customHeight="1" x14ac:dyDescent="0.2">
      <c r="A27" s="40" t="s">
        <v>77</v>
      </c>
      <c r="B27" s="40" t="s">
        <v>105</v>
      </c>
      <c r="C27" s="14">
        <f t="shared" si="4"/>
        <v>19.989999999999998</v>
      </c>
      <c r="D27" s="15">
        <v>6</v>
      </c>
      <c r="E27" s="15">
        <v>1</v>
      </c>
      <c r="F27" s="16">
        <v>119.94</v>
      </c>
      <c r="G27" s="16">
        <v>-33.89</v>
      </c>
      <c r="H27" s="29">
        <f t="shared" si="1"/>
        <v>0.28255794563948644</v>
      </c>
      <c r="I27" s="29">
        <f t="shared" si="2"/>
        <v>-0.2083240195324913</v>
      </c>
      <c r="J27" s="30">
        <f t="shared" si="5"/>
        <v>-24.986382902727005</v>
      </c>
      <c r="K27" s="30">
        <f t="shared" si="3"/>
        <v>-4.1643971504545005</v>
      </c>
      <c r="L27" s="15">
        <v>64</v>
      </c>
      <c r="M27" s="31">
        <f t="shared" si="6"/>
        <v>9.375E-2</v>
      </c>
      <c r="N27" s="15">
        <v>586</v>
      </c>
      <c r="O27" s="32">
        <f t="shared" ref="O27:P27" si="35">D27/7</f>
        <v>0.8571428571428571</v>
      </c>
      <c r="P27" s="32">
        <f t="shared" si="35"/>
        <v>0.14285714285714285</v>
      </c>
      <c r="Q27" s="27">
        <f t="shared" si="8"/>
        <v>586</v>
      </c>
      <c r="R27" s="27"/>
      <c r="S27" s="41">
        <v>0.64312071692145489</v>
      </c>
      <c r="T27" s="26">
        <v>300</v>
      </c>
      <c r="U27" s="34" t="s">
        <v>34</v>
      </c>
      <c r="V27" s="35" t="s">
        <v>914</v>
      </c>
      <c r="W27" s="40">
        <v>0</v>
      </c>
      <c r="X27" s="36">
        <f t="shared" si="9"/>
        <v>0</v>
      </c>
      <c r="Y27" s="37">
        <f t="shared" si="10"/>
        <v>16.945</v>
      </c>
      <c r="Z27" s="40">
        <v>2</v>
      </c>
      <c r="AA27" s="26" t="s">
        <v>37</v>
      </c>
      <c r="AB27" s="38">
        <f t="shared" si="11"/>
        <v>-0.69</v>
      </c>
      <c r="AC27" s="39">
        <v>0.13227724999999999</v>
      </c>
      <c r="AD27" s="37">
        <f t="shared" si="12"/>
        <v>-1.0952556299999998</v>
      </c>
      <c r="AE27" s="42">
        <v>-4.95</v>
      </c>
      <c r="AF27" s="42">
        <v>-10.208354545454499</v>
      </c>
      <c r="AG27" s="42">
        <v>-1</v>
      </c>
    </row>
    <row r="28" spans="1:33" ht="15.75" customHeight="1" x14ac:dyDescent="0.2">
      <c r="A28" s="40" t="s">
        <v>79</v>
      </c>
      <c r="B28" s="40" t="s">
        <v>105</v>
      </c>
      <c r="C28" s="14">
        <f t="shared" si="4"/>
        <v>19.989999999999998</v>
      </c>
      <c r="D28" s="15">
        <v>11</v>
      </c>
      <c r="E28" s="15">
        <v>0</v>
      </c>
      <c r="F28" s="16">
        <v>219.89</v>
      </c>
      <c r="G28" s="16">
        <v>-42.510000000000012</v>
      </c>
      <c r="H28" s="29">
        <f t="shared" si="1"/>
        <v>0.19332393469462011</v>
      </c>
      <c r="I28" s="29">
        <f t="shared" si="2"/>
        <v>-0.11075250650324943</v>
      </c>
      <c r="J28" s="30">
        <f t="shared" si="5"/>
        <v>-24.353368654999514</v>
      </c>
      <c r="K28" s="30">
        <f t="shared" si="3"/>
        <v>-2.2139426049999558</v>
      </c>
      <c r="L28" s="15">
        <v>67</v>
      </c>
      <c r="M28" s="31">
        <f t="shared" si="6"/>
        <v>0.16417910447761194</v>
      </c>
      <c r="N28" s="15">
        <v>571</v>
      </c>
      <c r="O28" s="32">
        <f t="shared" ref="O28:P28" si="36">D28/7</f>
        <v>1.5714285714285714</v>
      </c>
      <c r="P28" s="32">
        <f t="shared" si="36"/>
        <v>0</v>
      </c>
      <c r="Q28" s="27">
        <f t="shared" si="8"/>
        <v>363</v>
      </c>
      <c r="R28" s="27"/>
      <c r="S28" s="41">
        <v>0.45995591476855252</v>
      </c>
      <c r="T28" s="40" t="s">
        <v>34</v>
      </c>
      <c r="U28" s="22" t="s">
        <v>34</v>
      </c>
      <c r="V28" s="1" t="s">
        <v>921</v>
      </c>
      <c r="W28" s="40">
        <v>3</v>
      </c>
      <c r="X28" s="36">
        <f t="shared" si="9"/>
        <v>0.27272727272727271</v>
      </c>
      <c r="Y28" s="37">
        <f t="shared" si="10"/>
        <v>10.627500000000003</v>
      </c>
      <c r="Z28" s="40">
        <v>1</v>
      </c>
      <c r="AA28" s="26" t="s">
        <v>37</v>
      </c>
      <c r="AB28" s="38">
        <f t="shared" si="11"/>
        <v>-0.69</v>
      </c>
      <c r="AC28" s="39">
        <v>0.13227724999999999</v>
      </c>
      <c r="AD28" s="37">
        <f t="shared" si="12"/>
        <v>-2.0079686549999995</v>
      </c>
      <c r="AE28" s="42">
        <v>-4.95</v>
      </c>
      <c r="AF28" s="42">
        <v>-10.208354545454499</v>
      </c>
      <c r="AG28" s="42">
        <v>0</v>
      </c>
    </row>
    <row r="29" spans="1:33" ht="15.75" customHeight="1" x14ac:dyDescent="0.2">
      <c r="A29" s="26" t="s">
        <v>82</v>
      </c>
      <c r="B29" s="26" t="s">
        <v>922</v>
      </c>
      <c r="C29" s="14">
        <f t="shared" si="4"/>
        <v>19.989999999999998</v>
      </c>
      <c r="D29" s="27">
        <v>5</v>
      </c>
      <c r="E29" s="27">
        <v>0</v>
      </c>
      <c r="F29" s="30">
        <v>99.949999999999989</v>
      </c>
      <c r="G29" s="30">
        <v>-19.41</v>
      </c>
      <c r="H29" s="29">
        <f t="shared" si="1"/>
        <v>0.19419709854927467</v>
      </c>
      <c r="I29" s="29">
        <f t="shared" si="2"/>
        <v>-0.11162567035790406</v>
      </c>
      <c r="J29" s="30">
        <f t="shared" si="5"/>
        <v>-11.15698575227251</v>
      </c>
      <c r="K29" s="30">
        <f t="shared" si="3"/>
        <v>-2.231397150454502</v>
      </c>
      <c r="L29" s="27">
        <v>40</v>
      </c>
      <c r="M29" s="31">
        <f t="shared" si="6"/>
        <v>0.125</v>
      </c>
      <c r="N29" s="15">
        <v>563</v>
      </c>
      <c r="O29" s="32">
        <f t="shared" ref="O29:P29" si="37">D29/7</f>
        <v>0.7142857142857143</v>
      </c>
      <c r="P29" s="32">
        <f t="shared" si="37"/>
        <v>0</v>
      </c>
      <c r="Q29" s="27">
        <f t="shared" si="8"/>
        <v>788</v>
      </c>
      <c r="R29" s="27"/>
      <c r="S29" s="41">
        <v>0.47485822306238179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9.7050000000000001</v>
      </c>
      <c r="Z29" s="40">
        <v>2</v>
      </c>
      <c r="AA29" s="26" t="s">
        <v>37</v>
      </c>
      <c r="AB29" s="38">
        <f t="shared" si="11"/>
        <v>-0.69</v>
      </c>
      <c r="AC29" s="39">
        <v>0.13227724999999999</v>
      </c>
      <c r="AD29" s="37">
        <f t="shared" si="12"/>
        <v>-0.91271302499999984</v>
      </c>
      <c r="AE29" s="37">
        <v>-4.95</v>
      </c>
      <c r="AF29" s="42">
        <v>-10.208354545454499</v>
      </c>
      <c r="AG29" s="37">
        <v>0</v>
      </c>
    </row>
    <row r="30" spans="1:33" ht="15.75" customHeight="1" x14ac:dyDescent="0.2">
      <c r="A30" s="40" t="s">
        <v>84</v>
      </c>
      <c r="B30" s="40" t="s">
        <v>544</v>
      </c>
      <c r="C30" s="14">
        <f t="shared" si="4"/>
        <v>19.989999999999998</v>
      </c>
      <c r="D30" s="15">
        <v>9</v>
      </c>
      <c r="E30" s="15">
        <v>0</v>
      </c>
      <c r="F30" s="16">
        <v>179.91</v>
      </c>
      <c r="G30" s="16">
        <v>-17.489999999999998</v>
      </c>
      <c r="H30" s="29">
        <f t="shared" si="1"/>
        <v>9.7215274303818572E-2</v>
      </c>
      <c r="I30" s="29">
        <f t="shared" si="2"/>
        <v>-2.2108724765160483E-2</v>
      </c>
      <c r="J30" s="30">
        <f t="shared" si="5"/>
        <v>-3.9775806725000225</v>
      </c>
      <c r="K30" s="30">
        <f t="shared" si="3"/>
        <v>-0.44195340805555805</v>
      </c>
      <c r="L30" s="15">
        <v>82</v>
      </c>
      <c r="M30" s="31">
        <f t="shared" si="6"/>
        <v>0.10975609756097561</v>
      </c>
      <c r="N30" s="15">
        <v>561</v>
      </c>
      <c r="O30" s="32">
        <f t="shared" ref="O30:P30" si="38">D30/7</f>
        <v>1.2857142857142858</v>
      </c>
      <c r="P30" s="32">
        <f t="shared" si="38"/>
        <v>0</v>
      </c>
      <c r="Q30" s="27">
        <f t="shared" si="8"/>
        <v>436</v>
      </c>
      <c r="R30" s="27"/>
      <c r="S30" s="41">
        <v>0.4837573385518591</v>
      </c>
      <c r="T30" s="26">
        <v>300</v>
      </c>
      <c r="U30" s="34" t="s">
        <v>34</v>
      </c>
      <c r="V30" s="35" t="s">
        <v>914</v>
      </c>
      <c r="W30" s="40">
        <v>1</v>
      </c>
      <c r="X30" s="36">
        <f t="shared" si="9"/>
        <v>0.1111111111111111</v>
      </c>
      <c r="Y30" s="37">
        <f t="shared" si="10"/>
        <v>17.489999999999998</v>
      </c>
      <c r="Z30" s="40">
        <v>0</v>
      </c>
      <c r="AA30" s="26" t="s">
        <v>37</v>
      </c>
      <c r="AB30" s="38">
        <f t="shared" si="11"/>
        <v>-0.69</v>
      </c>
      <c r="AC30" s="39">
        <v>0.13227724999999999</v>
      </c>
      <c r="AD30" s="37">
        <f t="shared" si="12"/>
        <v>-1.6428834449999998</v>
      </c>
      <c r="AE30" s="42">
        <v>-4.95</v>
      </c>
      <c r="AF30" s="42">
        <v>-10.1353552475</v>
      </c>
      <c r="AG30" s="42">
        <v>-2</v>
      </c>
    </row>
    <row r="31" spans="1:33" ht="15.75" customHeight="1" x14ac:dyDescent="0.2">
      <c r="A31" s="40" t="s">
        <v>87</v>
      </c>
      <c r="B31" s="40" t="s">
        <v>123</v>
      </c>
      <c r="C31" s="14">
        <f t="shared" si="4"/>
        <v>19.990000000000002</v>
      </c>
      <c r="D31" s="15">
        <v>14</v>
      </c>
      <c r="E31" s="15">
        <v>0</v>
      </c>
      <c r="F31" s="16">
        <v>279.86</v>
      </c>
      <c r="G31" s="43">
        <v>-29.980000000000004</v>
      </c>
      <c r="H31" s="29">
        <f t="shared" si="1"/>
        <v>0.10712499106696206</v>
      </c>
      <c r="I31" s="29">
        <f t="shared" si="2"/>
        <v>-3.8767847977560131E-2</v>
      </c>
      <c r="J31" s="30">
        <f t="shared" si="5"/>
        <v>-10.849569934999979</v>
      </c>
      <c r="K31" s="30">
        <f t="shared" si="3"/>
        <v>-0.77496928107142704</v>
      </c>
      <c r="L31" s="15">
        <v>145</v>
      </c>
      <c r="M31" s="31">
        <f t="shared" si="6"/>
        <v>9.6551724137931033E-2</v>
      </c>
      <c r="N31" s="15">
        <v>545</v>
      </c>
      <c r="O31" s="32">
        <f t="shared" ref="O31:P31" si="39">D31/7</f>
        <v>2</v>
      </c>
      <c r="P31" s="32">
        <f t="shared" si="39"/>
        <v>0</v>
      </c>
      <c r="Q31" s="27">
        <f t="shared" si="8"/>
        <v>272</v>
      </c>
      <c r="R31" s="27"/>
      <c r="S31" s="41">
        <v>0.44036697247706402</v>
      </c>
      <c r="T31" s="40">
        <v>300</v>
      </c>
      <c r="U31" s="22" t="s">
        <v>34</v>
      </c>
      <c r="V31" s="1" t="s">
        <v>921</v>
      </c>
      <c r="W31" s="40">
        <v>2</v>
      </c>
      <c r="X31" s="36">
        <f t="shared" si="9"/>
        <v>0.14285714285714285</v>
      </c>
      <c r="Y31" s="37">
        <f t="shared" si="10"/>
        <v>9.9933333333333341</v>
      </c>
      <c r="Z31" s="40">
        <v>1</v>
      </c>
      <c r="AA31" s="40" t="s">
        <v>37</v>
      </c>
      <c r="AB31" s="38">
        <f t="shared" si="11"/>
        <v>-0.69</v>
      </c>
      <c r="AC31" s="44">
        <v>0.13227724999999999</v>
      </c>
      <c r="AD31" s="37">
        <f t="shared" si="12"/>
        <v>-2.5555964699999993</v>
      </c>
      <c r="AE31" s="45">
        <v>-4.95</v>
      </c>
      <c r="AF31" s="45">
        <v>-10.1353552475</v>
      </c>
      <c r="AG31" s="42">
        <v>-5</v>
      </c>
    </row>
    <row r="32" spans="1:33" ht="15.75" customHeight="1" x14ac:dyDescent="0.2">
      <c r="A32" s="40" t="s">
        <v>90</v>
      </c>
      <c r="B32" s="50" t="s">
        <v>923</v>
      </c>
      <c r="C32" s="14">
        <f t="shared" si="4"/>
        <v>19.989999999999998</v>
      </c>
      <c r="D32" s="15">
        <v>18</v>
      </c>
      <c r="E32" s="15">
        <v>0</v>
      </c>
      <c r="F32" s="16">
        <v>359.82</v>
      </c>
      <c r="G32" s="16">
        <v>-38.659999999999997</v>
      </c>
      <c r="H32" s="29">
        <f t="shared" si="1"/>
        <v>0.10744261019398588</v>
      </c>
      <c r="I32" s="29">
        <f t="shared" si="2"/>
        <v>-3.7894395378244662E-2</v>
      </c>
      <c r="J32" s="30">
        <f t="shared" si="5"/>
        <v>-13.635161344999995</v>
      </c>
      <c r="K32" s="30">
        <f t="shared" si="3"/>
        <v>-0.75750896361111086</v>
      </c>
      <c r="L32" s="15">
        <v>167</v>
      </c>
      <c r="M32" s="31">
        <f t="shared" si="6"/>
        <v>0.10778443113772455</v>
      </c>
      <c r="N32" s="15">
        <v>524</v>
      </c>
      <c r="O32" s="32">
        <f t="shared" ref="O32:P32" si="40">D32/7</f>
        <v>2.5714285714285716</v>
      </c>
      <c r="P32" s="32">
        <f t="shared" si="40"/>
        <v>0</v>
      </c>
      <c r="Q32" s="27">
        <f t="shared" si="8"/>
        <v>203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0.36763550667714062</v>
      </c>
      <c r="T32" s="40">
        <f ca="1">IFERROR(__xludf.DUMMYFUNCTION("IFERROR(VLOOKUP($B$2,IMPORTRANGE(""https://docs.google.com/spreadsheets/d/1KiWZV1ko8G7lnRucBRBd29jj3Be6ltMfljMDqzOkQmI/edit#gid=1381463014"",""Lookup!A:D""),4,FALSE),"""")"),300)</f>
        <v>300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300 At Factory 50-75 days from Earliest Arrival")</f>
        <v>No Transit, But 300 At Factory 50-75 days from Earliest Arrival</v>
      </c>
      <c r="W32" s="40">
        <v>4</v>
      </c>
      <c r="X32" s="36">
        <f t="shared" si="9"/>
        <v>0.22222222222222221</v>
      </c>
      <c r="Y32" s="37">
        <f t="shared" si="10"/>
        <v>9.6649999999999991</v>
      </c>
      <c r="Z32" s="40">
        <v>0</v>
      </c>
      <c r="AA32" s="40" t="s">
        <v>37</v>
      </c>
      <c r="AB32" s="38">
        <f t="shared" si="11"/>
        <v>-0.69</v>
      </c>
      <c r="AC32" s="44">
        <v>0.13227724999999999</v>
      </c>
      <c r="AD32" s="37">
        <f t="shared" si="12"/>
        <v>-3.2857668899999997</v>
      </c>
      <c r="AE32" s="42">
        <v>-4.95</v>
      </c>
      <c r="AF32" s="42">
        <v>-10.1353552475</v>
      </c>
      <c r="AG32" s="42">
        <v>-6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9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Info!B1:BJ5000""),3,FALSE),"""")"),"Vinyl Record Display Wall Mount, 8 Pack - Clear Acrylic Record Holder Shelf")</f>
        <v>Vinyl Record Display Wall Mount, 8 Pack - Clear Acrylic Record Holder Shelf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Info!B1:BJ5000""),2,FALSE),"""")"),"B08NLJ5M7T")</f>
        <v>B08NLJ5M7T</v>
      </c>
      <c r="B2" s="3" t="s">
        <v>924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21.95058823529412</v>
      </c>
      <c r="D3" s="5">
        <f>SUM(D4:D99767)</f>
        <v>158</v>
      </c>
      <c r="E3" s="5"/>
      <c r="F3" s="6">
        <f t="shared" ref="F3:G3" si="0">SUM(F4:F99767)</f>
        <v>4249.7000000000007</v>
      </c>
      <c r="G3" s="6">
        <f t="shared" si="0"/>
        <v>-195.72</v>
      </c>
      <c r="H3" s="7">
        <f>G3/F3*-1</f>
        <v>4.6055015648163389E-2</v>
      </c>
      <c r="I3" s="8">
        <f>J3/F3</f>
        <v>0.15844873149697822</v>
      </c>
      <c r="J3" s="6">
        <f>SUM(J4:J99767)</f>
        <v>673.3595742427085</v>
      </c>
      <c r="K3" s="6">
        <f>J3/D3</f>
        <v>4.2617694572323321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2 - Dec
2 - Jan
1 - Feb")</f>
        <v>1 - March
1 - April
1 - May
1 - June
1 - July
1 - Aug
1 - Sept
1 - Oct
1 - Nov
2 - Dec
2 -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10</v>
      </c>
      <c r="X3" s="7">
        <f>W3/D3</f>
        <v>6.3291139240506333E-2</v>
      </c>
      <c r="Y3" s="6"/>
      <c r="Z3" s="5"/>
      <c r="AA3" s="5"/>
      <c r="AB3" s="5"/>
      <c r="AC3" s="5"/>
      <c r="AD3" s="6">
        <f>SUM(AD4:AD99767)</f>
        <v>-37.45470575729167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Info!B2:BZ3000""),37,FALSE)),"""")*-1"),-12.978)</f>
        <v>-12.978</v>
      </c>
      <c r="AG3" s="6">
        <f>SUM(AG4:AG99767)</f>
        <v>0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35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35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hidden="1" customHeight="1" x14ac:dyDescent="0.2">
      <c r="A10" s="26"/>
      <c r="B10" s="26"/>
      <c r="C10" s="14"/>
      <c r="D10" s="27"/>
      <c r="E10" s="27"/>
      <c r="F10" s="28"/>
      <c r="G10" s="28"/>
      <c r="H10" s="29"/>
      <c r="I10" s="29"/>
      <c r="J10" s="30"/>
      <c r="K10" s="30"/>
      <c r="L10" s="27"/>
      <c r="M10" s="31"/>
      <c r="N10" s="27"/>
      <c r="O10" s="32"/>
      <c r="P10" s="32"/>
      <c r="Q10" s="27"/>
      <c r="R10" s="27"/>
      <c r="S10" s="33"/>
      <c r="T10" s="26"/>
      <c r="U10" s="34"/>
      <c r="V10" s="35"/>
      <c r="W10" s="26"/>
      <c r="X10" s="36"/>
      <c r="Y10" s="37"/>
      <c r="Z10" s="26"/>
      <c r="AA10" s="26"/>
      <c r="AB10" s="38"/>
      <c r="AC10" s="39"/>
      <c r="AD10" s="37"/>
      <c r="AE10" s="37"/>
      <c r="AF10" s="37"/>
      <c r="AG10" s="37"/>
    </row>
    <row r="11" spans="1:33" ht="15.75" hidden="1" customHeight="1" x14ac:dyDescent="0.2">
      <c r="A11" s="26"/>
      <c r="B11" s="26"/>
      <c r="C11" s="14"/>
      <c r="D11" s="27"/>
      <c r="E11" s="27"/>
      <c r="F11" s="28"/>
      <c r="G11" s="28"/>
      <c r="H11" s="29"/>
      <c r="I11" s="29"/>
      <c r="J11" s="30"/>
      <c r="K11" s="30"/>
      <c r="L11" s="27"/>
      <c r="M11" s="31"/>
      <c r="N11" s="27"/>
      <c r="O11" s="32"/>
      <c r="P11" s="32"/>
      <c r="Q11" s="27"/>
      <c r="R11" s="27"/>
      <c r="S11" s="33"/>
      <c r="T11" s="26"/>
      <c r="U11" s="34"/>
      <c r="V11" s="35"/>
      <c r="W11" s="26"/>
      <c r="X11" s="36"/>
      <c r="Y11" s="37"/>
      <c r="Z11" s="26"/>
      <c r="AA11" s="26"/>
      <c r="AB11" s="38"/>
      <c r="AC11" s="39"/>
      <c r="AD11" s="37"/>
      <c r="AE11" s="37"/>
      <c r="AF11" s="37"/>
      <c r="AG11" s="37"/>
    </row>
    <row r="12" spans="1:33" ht="15.75" hidden="1" customHeight="1" x14ac:dyDescent="0.2">
      <c r="A12" s="26"/>
      <c r="B12" s="26"/>
      <c r="C12" s="14"/>
      <c r="D12" s="27"/>
      <c r="E12" s="27"/>
      <c r="F12" s="28"/>
      <c r="G12" s="28"/>
      <c r="H12" s="29"/>
      <c r="I12" s="29"/>
      <c r="J12" s="30"/>
      <c r="K12" s="30"/>
      <c r="L12" s="27"/>
      <c r="M12" s="31"/>
      <c r="N12" s="27"/>
      <c r="O12" s="32"/>
      <c r="P12" s="32"/>
      <c r="Q12" s="27"/>
      <c r="R12" s="27"/>
      <c r="S12" s="33"/>
      <c r="T12" s="26"/>
      <c r="U12" s="34"/>
      <c r="V12" s="35"/>
      <c r="W12" s="26"/>
      <c r="X12" s="36"/>
      <c r="Y12" s="37"/>
      <c r="Z12" s="26"/>
      <c r="AA12" s="26"/>
      <c r="AB12" s="38"/>
      <c r="AC12" s="39"/>
      <c r="AD12" s="37"/>
      <c r="AE12" s="37"/>
      <c r="AF12" s="37"/>
      <c r="AG12" s="37"/>
    </row>
    <row r="13" spans="1:33" ht="15.75" hidden="1" customHeight="1" x14ac:dyDescent="0.2">
      <c r="A13" s="26"/>
      <c r="B13" s="26"/>
      <c r="C13" s="14"/>
      <c r="D13" s="27"/>
      <c r="E13" s="27"/>
      <c r="F13" s="30"/>
      <c r="G13" s="28"/>
      <c r="H13" s="29"/>
      <c r="I13" s="29"/>
      <c r="J13" s="30"/>
      <c r="K13" s="30"/>
      <c r="L13" s="27"/>
      <c r="M13" s="31"/>
      <c r="N13" s="27"/>
      <c r="O13" s="32"/>
      <c r="P13" s="32"/>
      <c r="Q13" s="27"/>
      <c r="R13" s="27"/>
      <c r="S13" s="33"/>
      <c r="T13" s="26"/>
      <c r="U13" s="34"/>
      <c r="V13" s="35"/>
      <c r="W13" s="26"/>
      <c r="X13" s="36"/>
      <c r="Y13" s="37"/>
      <c r="Z13" s="26"/>
      <c r="AA13" s="26"/>
      <c r="AB13" s="38"/>
      <c r="AC13" s="39"/>
      <c r="AD13" s="37"/>
      <c r="AE13" s="37"/>
      <c r="AF13" s="37"/>
      <c r="AG13" s="37"/>
    </row>
    <row r="14" spans="1:33" ht="15.75" hidden="1" customHeight="1" x14ac:dyDescent="0.2">
      <c r="A14" s="26"/>
      <c r="B14" s="26"/>
      <c r="C14" s="14"/>
      <c r="D14" s="27"/>
      <c r="E14" s="27"/>
      <c r="F14" s="30"/>
      <c r="G14" s="28"/>
      <c r="H14" s="29"/>
      <c r="I14" s="29"/>
      <c r="J14" s="30"/>
      <c r="K14" s="30"/>
      <c r="L14" s="27"/>
      <c r="M14" s="31"/>
      <c r="N14" s="27"/>
      <c r="O14" s="32"/>
      <c r="P14" s="32"/>
      <c r="Q14" s="27"/>
      <c r="R14" s="27"/>
      <c r="S14" s="33"/>
      <c r="T14" s="26"/>
      <c r="U14" s="34"/>
      <c r="V14" s="35"/>
      <c r="W14" s="26"/>
      <c r="X14" s="36"/>
      <c r="Y14" s="37"/>
      <c r="Z14" s="26"/>
      <c r="AA14" s="26"/>
      <c r="AB14" s="38"/>
      <c r="AC14" s="39"/>
      <c r="AD14" s="37"/>
      <c r="AE14" s="37"/>
      <c r="AF14" s="37"/>
      <c r="AG14" s="37"/>
    </row>
    <row r="15" spans="1:33" ht="15.75" customHeight="1" x14ac:dyDescent="0.2">
      <c r="A15" s="26" t="s">
        <v>58</v>
      </c>
      <c r="B15" s="26" t="s">
        <v>925</v>
      </c>
      <c r="C15" s="14">
        <f t="shared" ref="C15:C32" si="1">IFERROR(F15/D15," - ")</f>
        <v>26.990000000000002</v>
      </c>
      <c r="D15" s="27">
        <v>7</v>
      </c>
      <c r="E15" s="27">
        <v>0</v>
      </c>
      <c r="F15" s="30">
        <v>188.93</v>
      </c>
      <c r="G15" s="28">
        <v>-42.009999999999991</v>
      </c>
      <c r="H15" s="29">
        <f t="shared" ref="H15:H32" si="2">G15/F15*-1</f>
        <v>0.22235748689990997</v>
      </c>
      <c r="I15" s="29">
        <f t="shared" ref="I15:I32" si="3">J15/F15</f>
        <v>4.3171844951392924E-2</v>
      </c>
      <c r="J15" s="30">
        <f t="shared" ref="J15:J32" si="4">F15*0.85+G15+AF15*D15+D15*AE15+AG15+AD15</f>
        <v>8.1564566666666654</v>
      </c>
      <c r="K15" s="30">
        <f t="shared" ref="K15:K32" si="5">J15/D15</f>
        <v>1.165208095238095</v>
      </c>
      <c r="L15" s="27">
        <v>30</v>
      </c>
      <c r="M15" s="31">
        <f t="shared" ref="M15:M32" si="6">IFERROR(D15/L15,"-")</f>
        <v>0.23333333333333334</v>
      </c>
      <c r="N15" s="27">
        <v>216</v>
      </c>
      <c r="O15" s="32">
        <f t="shared" ref="O15:P15" si="7">D15/7</f>
        <v>1</v>
      </c>
      <c r="P15" s="32">
        <f t="shared" si="7"/>
        <v>0</v>
      </c>
      <c r="Q15" s="27">
        <f t="shared" ref="Q15:Q32" si="8">ROUNDDOWN(N15/(O15+P15),0)</f>
        <v>216</v>
      </c>
      <c r="R15" s="27"/>
      <c r="S15" s="33">
        <v>5.4794520547945202E-2</v>
      </c>
      <c r="T15" s="26">
        <v>0</v>
      </c>
      <c r="U15" s="34" t="s">
        <v>34</v>
      </c>
      <c r="V15" s="35" t="s">
        <v>34</v>
      </c>
      <c r="W15" s="26">
        <v>4</v>
      </c>
      <c r="X15" s="36">
        <f t="shared" ref="X15:X32" si="9">IFERROR(W15/D15,0)</f>
        <v>0.5714285714285714</v>
      </c>
      <c r="Y15" s="37">
        <f t="shared" ref="Y15:Y32" si="10">IFERROR(G15/(W15+Z15)*-1,0)</f>
        <v>10.502499999999998</v>
      </c>
      <c r="Z15" s="26">
        <v>0</v>
      </c>
      <c r="AA15" s="26" t="s">
        <v>37</v>
      </c>
      <c r="AB15" s="38">
        <f t="shared" ref="AB15:AB32" si="11">IF(OR(AA15="UsLargeStandardSize",AA15="UsSmallStandardSize"),-0.69,-0.48)</f>
        <v>-0.69</v>
      </c>
      <c r="AC15" s="39">
        <v>0.1736111111111111</v>
      </c>
      <c r="AD15" s="37">
        <f t="shared" ref="AD15:AD32" si="12">IFERROR(AB15*AC15*D15*2,0)</f>
        <v>-1.6770833333333333</v>
      </c>
      <c r="AE15" s="37">
        <v>-5.42</v>
      </c>
      <c r="AF15" s="37">
        <v>-10.11528</v>
      </c>
      <c r="AG15" s="37">
        <v>0</v>
      </c>
    </row>
    <row r="16" spans="1:33" ht="15.75" customHeight="1" x14ac:dyDescent="0.2">
      <c r="A16" s="26" t="s">
        <v>60</v>
      </c>
      <c r="B16" s="26" t="s">
        <v>926</v>
      </c>
      <c r="C16" s="14">
        <f t="shared" si="1"/>
        <v>25.107647058823535</v>
      </c>
      <c r="D16" s="27">
        <v>17</v>
      </c>
      <c r="E16" s="27">
        <v>0</v>
      </c>
      <c r="F16" s="30">
        <v>426.8300000000001</v>
      </c>
      <c r="G16" s="28">
        <v>-71.8</v>
      </c>
      <c r="H16" s="29">
        <f t="shared" si="2"/>
        <v>0.16821685448539225</v>
      </c>
      <c r="I16" s="29">
        <f t="shared" si="3"/>
        <v>5.3493951534178366E-2</v>
      </c>
      <c r="J16" s="30">
        <f t="shared" si="4"/>
        <v>22.832823333333359</v>
      </c>
      <c r="K16" s="30">
        <f t="shared" si="5"/>
        <v>1.3431072549019623</v>
      </c>
      <c r="L16" s="27">
        <v>74</v>
      </c>
      <c r="M16" s="31">
        <f t="shared" si="6"/>
        <v>0.22972972972972974</v>
      </c>
      <c r="N16" s="27">
        <v>186</v>
      </c>
      <c r="O16" s="32">
        <f t="shared" ref="O16:P16" si="13">D16/7</f>
        <v>2.4285714285714284</v>
      </c>
      <c r="P16" s="32">
        <f t="shared" si="13"/>
        <v>0</v>
      </c>
      <c r="Q16" s="27">
        <f t="shared" si="8"/>
        <v>76</v>
      </c>
      <c r="R16" s="27"/>
      <c r="S16" s="33">
        <v>0.24242424242424199</v>
      </c>
      <c r="T16" s="26">
        <v>0</v>
      </c>
      <c r="U16" s="34" t="s">
        <v>34</v>
      </c>
      <c r="V16" s="35" t="s">
        <v>34</v>
      </c>
      <c r="W16" s="26">
        <v>2</v>
      </c>
      <c r="X16" s="36">
        <f t="shared" si="9"/>
        <v>0.11764705882352941</v>
      </c>
      <c r="Y16" s="37">
        <f t="shared" si="10"/>
        <v>14.36</v>
      </c>
      <c r="Z16" s="26">
        <v>3</v>
      </c>
      <c r="AA16" s="26" t="s">
        <v>37</v>
      </c>
      <c r="AB16" s="38">
        <f t="shared" si="11"/>
        <v>-0.69</v>
      </c>
      <c r="AC16" s="39">
        <v>0.1736111111111111</v>
      </c>
      <c r="AD16" s="37">
        <f t="shared" si="12"/>
        <v>-4.0729166666666661</v>
      </c>
      <c r="AE16" s="37">
        <v>-5.42</v>
      </c>
      <c r="AF16" s="37">
        <v>-10.11528</v>
      </c>
      <c r="AG16" s="37">
        <v>0</v>
      </c>
    </row>
    <row r="17" spans="1:33" ht="15.75" customHeight="1" x14ac:dyDescent="0.2">
      <c r="A17" s="26" t="s">
        <v>61</v>
      </c>
      <c r="B17" s="26" t="s">
        <v>927</v>
      </c>
      <c r="C17" s="14">
        <f t="shared" si="1"/>
        <v>26.887222222222221</v>
      </c>
      <c r="D17" s="27">
        <v>18</v>
      </c>
      <c r="E17" s="27">
        <v>0</v>
      </c>
      <c r="F17" s="30">
        <v>483.96999999999997</v>
      </c>
      <c r="G17" s="28">
        <v>-42.5</v>
      </c>
      <c r="H17" s="29">
        <f t="shared" si="2"/>
        <v>8.7815360456226635E-2</v>
      </c>
      <c r="I17" s="29">
        <f t="shared" si="3"/>
        <v>0.17559067489333008</v>
      </c>
      <c r="J17" s="30">
        <f t="shared" si="4"/>
        <v>84.980618928124954</v>
      </c>
      <c r="K17" s="30">
        <f t="shared" si="5"/>
        <v>4.7211454960069421</v>
      </c>
      <c r="L17" s="27">
        <v>70</v>
      </c>
      <c r="M17" s="31">
        <f t="shared" si="6"/>
        <v>0.25714285714285712</v>
      </c>
      <c r="N17" s="27">
        <v>156</v>
      </c>
      <c r="O17" s="32">
        <f t="shared" ref="O17:P17" si="14">D17/7</f>
        <v>2.5714285714285716</v>
      </c>
      <c r="P17" s="32">
        <f t="shared" si="14"/>
        <v>0</v>
      </c>
      <c r="Q17" s="27">
        <f t="shared" si="8"/>
        <v>60</v>
      </c>
      <c r="R17" s="27"/>
      <c r="S17" s="33">
        <v>0.65625</v>
      </c>
      <c r="T17" s="26">
        <v>0</v>
      </c>
      <c r="U17" s="34" t="s">
        <v>34</v>
      </c>
      <c r="V17" s="35" t="s">
        <v>34</v>
      </c>
      <c r="W17" s="26">
        <v>2</v>
      </c>
      <c r="X17" s="36">
        <f t="shared" si="9"/>
        <v>0.1111111111111111</v>
      </c>
      <c r="Y17" s="37">
        <f t="shared" si="10"/>
        <v>14.166666666666666</v>
      </c>
      <c r="Z17" s="26">
        <v>1</v>
      </c>
      <c r="AA17" s="26" t="s">
        <v>37</v>
      </c>
      <c r="AB17" s="38">
        <f t="shared" si="11"/>
        <v>-0.69</v>
      </c>
      <c r="AC17" s="39">
        <v>0.17145092881944446</v>
      </c>
      <c r="AD17" s="37">
        <f t="shared" si="12"/>
        <v>-4.2588410718750005</v>
      </c>
      <c r="AE17" s="37">
        <v>-5.42</v>
      </c>
      <c r="AF17" s="37">
        <v>-10.11528</v>
      </c>
      <c r="AG17" s="37">
        <v>0</v>
      </c>
    </row>
    <row r="18" spans="1:33" ht="15.75" customHeight="1" x14ac:dyDescent="0.2">
      <c r="A18" s="26" t="s">
        <v>62</v>
      </c>
      <c r="B18" s="26" t="s">
        <v>928</v>
      </c>
      <c r="C18" s="14">
        <f t="shared" si="1"/>
        <v>27.183684210526323</v>
      </c>
      <c r="D18" s="27">
        <v>19</v>
      </c>
      <c r="E18" s="27">
        <v>0</v>
      </c>
      <c r="F18" s="30">
        <v>516.49000000000012</v>
      </c>
      <c r="G18" s="28">
        <v>-35.049999999999997</v>
      </c>
      <c r="H18" s="29">
        <f t="shared" si="2"/>
        <v>6.7861914073844579E-2</v>
      </c>
      <c r="I18" s="29">
        <f t="shared" si="3"/>
        <v>0.20194144445459578</v>
      </c>
      <c r="J18" s="30">
        <f t="shared" si="4"/>
        <v>104.3007366463542</v>
      </c>
      <c r="K18" s="30">
        <f t="shared" si="5"/>
        <v>5.4895124550712735</v>
      </c>
      <c r="L18" s="27">
        <v>67</v>
      </c>
      <c r="M18" s="31">
        <f t="shared" si="6"/>
        <v>0.28358208955223879</v>
      </c>
      <c r="N18" s="27">
        <v>147</v>
      </c>
      <c r="O18" s="32">
        <f t="shared" ref="O18:P18" si="15">D18/7</f>
        <v>2.7142857142857144</v>
      </c>
      <c r="P18" s="32">
        <f t="shared" si="15"/>
        <v>0</v>
      </c>
      <c r="Q18" s="27">
        <f t="shared" si="8"/>
        <v>54</v>
      </c>
      <c r="R18" s="27"/>
      <c r="S18" s="33">
        <v>0.97959183673469297</v>
      </c>
      <c r="T18" s="26">
        <v>0</v>
      </c>
      <c r="U18" s="34" t="s">
        <v>34</v>
      </c>
      <c r="V18" s="35" t="s">
        <v>34</v>
      </c>
      <c r="W18" s="26">
        <v>1</v>
      </c>
      <c r="X18" s="36">
        <f t="shared" si="9"/>
        <v>5.2631578947368418E-2</v>
      </c>
      <c r="Y18" s="37">
        <f t="shared" si="10"/>
        <v>8.7624999999999993</v>
      </c>
      <c r="Z18" s="26">
        <v>3</v>
      </c>
      <c r="AA18" s="26" t="s">
        <v>37</v>
      </c>
      <c r="AB18" s="38">
        <f t="shared" si="11"/>
        <v>-0.69</v>
      </c>
      <c r="AC18" s="39">
        <v>0.17145092881944446</v>
      </c>
      <c r="AD18" s="37">
        <f t="shared" si="12"/>
        <v>-4.4954433536458334</v>
      </c>
      <c r="AE18" s="37">
        <v>-5.42</v>
      </c>
      <c r="AF18" s="37">
        <v>-10.11528</v>
      </c>
      <c r="AG18" s="37">
        <v>0</v>
      </c>
    </row>
    <row r="19" spans="1:33" ht="15.75" customHeight="1" x14ac:dyDescent="0.2">
      <c r="A19" s="26" t="s">
        <v>64</v>
      </c>
      <c r="B19" s="26" t="s">
        <v>929</v>
      </c>
      <c r="C19" s="14">
        <f t="shared" si="1"/>
        <v>27.913076923076929</v>
      </c>
      <c r="D19" s="27">
        <v>13</v>
      </c>
      <c r="E19" s="27">
        <v>0</v>
      </c>
      <c r="F19" s="30">
        <v>362.87000000000006</v>
      </c>
      <c r="G19" s="28">
        <v>-2.2000000000000002</v>
      </c>
      <c r="H19" s="29">
        <f t="shared" si="2"/>
        <v>6.0627773031664226E-3</v>
      </c>
      <c r="I19" s="29">
        <f t="shared" si="3"/>
        <v>0.27890161858786683</v>
      </c>
      <c r="J19" s="30">
        <f t="shared" si="4"/>
        <v>101.20503033697926</v>
      </c>
      <c r="K19" s="30">
        <f t="shared" si="5"/>
        <v>7.7850023336137895</v>
      </c>
      <c r="L19" s="27">
        <v>57</v>
      </c>
      <c r="M19" s="31">
        <f t="shared" si="6"/>
        <v>0.22807017543859648</v>
      </c>
      <c r="N19" s="27">
        <v>128</v>
      </c>
      <c r="O19" s="32">
        <f t="shared" ref="O19:P19" si="16">D19/7</f>
        <v>1.8571428571428572</v>
      </c>
      <c r="P19" s="32">
        <f t="shared" si="16"/>
        <v>0</v>
      </c>
      <c r="Q19" s="27">
        <f t="shared" si="8"/>
        <v>68</v>
      </c>
      <c r="R19" s="27"/>
      <c r="S19" s="33">
        <v>1.4552238805970099</v>
      </c>
      <c r="T19" s="26">
        <v>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0.17145092881944446</v>
      </c>
      <c r="AD19" s="37">
        <f t="shared" si="12"/>
        <v>-3.0758296630208335</v>
      </c>
      <c r="AE19" s="37">
        <v>-5.42</v>
      </c>
      <c r="AF19" s="37">
        <v>-10.11528</v>
      </c>
      <c r="AG19" s="37">
        <v>0</v>
      </c>
    </row>
    <row r="20" spans="1:33" ht="15.75" customHeight="1" x14ac:dyDescent="0.2">
      <c r="A20" s="26" t="s">
        <v>65</v>
      </c>
      <c r="B20" s="26" t="s">
        <v>930</v>
      </c>
      <c r="C20" s="14">
        <f t="shared" si="1"/>
        <v>28.978333333333339</v>
      </c>
      <c r="D20" s="27">
        <v>12</v>
      </c>
      <c r="E20" s="27">
        <v>0</v>
      </c>
      <c r="F20" s="30">
        <v>347.74000000000007</v>
      </c>
      <c r="G20" s="28">
        <v>0</v>
      </c>
      <c r="H20" s="29">
        <f t="shared" si="2"/>
        <v>0</v>
      </c>
      <c r="I20" s="29">
        <f t="shared" si="3"/>
        <v>0.20694706567766161</v>
      </c>
      <c r="J20" s="30">
        <f t="shared" si="4"/>
        <v>71.963772618750056</v>
      </c>
      <c r="K20" s="30">
        <f t="shared" si="5"/>
        <v>5.9969810515625044</v>
      </c>
      <c r="L20" s="27">
        <v>36</v>
      </c>
      <c r="M20" s="31">
        <f t="shared" si="6"/>
        <v>0.33333333333333331</v>
      </c>
      <c r="N20" s="27">
        <v>112</v>
      </c>
      <c r="O20" s="32">
        <f t="shared" ref="O20:P20" si="17">D20/7</f>
        <v>1.7142857142857142</v>
      </c>
      <c r="P20" s="32">
        <f t="shared" si="17"/>
        <v>0</v>
      </c>
      <c r="Q20" s="27">
        <f t="shared" si="8"/>
        <v>65</v>
      </c>
      <c r="R20" s="27"/>
      <c r="S20" s="33">
        <v>0.95522388059701402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0.17145092881944446</v>
      </c>
      <c r="AD20" s="37">
        <f t="shared" si="12"/>
        <v>-2.8392273812500002</v>
      </c>
      <c r="AE20" s="37">
        <v>-5.42</v>
      </c>
      <c r="AF20" s="37">
        <v>-12.978000000000002</v>
      </c>
      <c r="AG20" s="37">
        <v>0</v>
      </c>
    </row>
    <row r="21" spans="1:33" ht="15.75" customHeight="1" x14ac:dyDescent="0.2">
      <c r="A21" s="26" t="s">
        <v>66</v>
      </c>
      <c r="B21" s="26" t="s">
        <v>931</v>
      </c>
      <c r="C21" s="14">
        <f t="shared" si="1"/>
        <v>31.272857142857141</v>
      </c>
      <c r="D21" s="27">
        <v>7</v>
      </c>
      <c r="E21" s="27">
        <v>0</v>
      </c>
      <c r="F21" s="30">
        <v>218.91</v>
      </c>
      <c r="G21" s="28">
        <v>0</v>
      </c>
      <c r="H21" s="29">
        <f t="shared" si="2"/>
        <v>0</v>
      </c>
      <c r="I21" s="29">
        <f t="shared" si="3"/>
        <v>0.2541285643762467</v>
      </c>
      <c r="J21" s="30">
        <f t="shared" si="4"/>
        <v>55.63128402760416</v>
      </c>
      <c r="K21" s="30">
        <f t="shared" si="5"/>
        <v>7.9473262896577372</v>
      </c>
      <c r="L21" s="27">
        <v>15</v>
      </c>
      <c r="M21" s="31">
        <f t="shared" si="6"/>
        <v>0.46666666666666667</v>
      </c>
      <c r="N21" s="27">
        <v>105</v>
      </c>
      <c r="O21" s="32">
        <f t="shared" ref="O21:P21" si="18">D21/7</f>
        <v>1</v>
      </c>
      <c r="P21" s="32">
        <f t="shared" si="18"/>
        <v>0</v>
      </c>
      <c r="Q21" s="27">
        <f t="shared" si="8"/>
        <v>105</v>
      </c>
      <c r="R21" s="27"/>
      <c r="S21" s="33">
        <v>1.31851851851851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0.17145092881944446</v>
      </c>
      <c r="AD21" s="37">
        <f t="shared" si="12"/>
        <v>-1.6562159723958334</v>
      </c>
      <c r="AE21" s="37">
        <v>-5.42</v>
      </c>
      <c r="AF21" s="37">
        <v>-12.978000000000002</v>
      </c>
      <c r="AG21" s="37">
        <v>0</v>
      </c>
    </row>
    <row r="22" spans="1:33" ht="15.75" customHeight="1" x14ac:dyDescent="0.2">
      <c r="A22" s="26" t="s">
        <v>67</v>
      </c>
      <c r="B22" s="26" t="s">
        <v>932</v>
      </c>
      <c r="C22" s="14">
        <f t="shared" si="1"/>
        <v>29.99</v>
      </c>
      <c r="D22" s="27">
        <v>4</v>
      </c>
      <c r="E22" s="27">
        <v>0</v>
      </c>
      <c r="F22" s="28">
        <v>119.96</v>
      </c>
      <c r="G22" s="28">
        <v>0</v>
      </c>
      <c r="H22" s="29">
        <f t="shared" si="2"/>
        <v>0</v>
      </c>
      <c r="I22" s="29">
        <f t="shared" si="3"/>
        <v>0.22863947043111582</v>
      </c>
      <c r="J22" s="30">
        <f t="shared" si="4"/>
        <v>27.427590872916653</v>
      </c>
      <c r="K22" s="30">
        <f t="shared" si="5"/>
        <v>6.8568977182291633</v>
      </c>
      <c r="L22" s="27">
        <v>50</v>
      </c>
      <c r="M22" s="31">
        <f t="shared" si="6"/>
        <v>0.08</v>
      </c>
      <c r="N22" s="27">
        <v>97</v>
      </c>
      <c r="O22" s="32">
        <f t="shared" ref="O22:P22" si="19">D22/7</f>
        <v>0.5714285714285714</v>
      </c>
      <c r="P22" s="32">
        <f t="shared" si="19"/>
        <v>0</v>
      </c>
      <c r="Q22" s="27">
        <f t="shared" si="8"/>
        <v>169</v>
      </c>
      <c r="R22" s="27"/>
      <c r="S22" s="33">
        <v>1.4920634920634901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0.17145092881944446</v>
      </c>
      <c r="AD22" s="37">
        <f t="shared" si="12"/>
        <v>-0.94640912708333336</v>
      </c>
      <c r="AE22" s="37">
        <v>-5.42</v>
      </c>
      <c r="AF22" s="37">
        <v>-12.978000000000002</v>
      </c>
      <c r="AG22" s="37">
        <v>0</v>
      </c>
    </row>
    <row r="23" spans="1:33" ht="15.75" customHeight="1" x14ac:dyDescent="0.2">
      <c r="A23" s="26" t="s">
        <v>68</v>
      </c>
      <c r="B23" s="26" t="s">
        <v>879</v>
      </c>
      <c r="C23" s="14">
        <f t="shared" si="1"/>
        <v>28.591666666666669</v>
      </c>
      <c r="D23" s="27">
        <v>6</v>
      </c>
      <c r="E23" s="27">
        <v>1</v>
      </c>
      <c r="F23" s="30">
        <v>171.55</v>
      </c>
      <c r="G23" s="28">
        <v>0</v>
      </c>
      <c r="H23" s="29">
        <f t="shared" si="2"/>
        <v>0</v>
      </c>
      <c r="I23" s="29">
        <f t="shared" si="3"/>
        <v>0.1982505759800349</v>
      </c>
      <c r="J23" s="30">
        <f t="shared" si="4"/>
        <v>34.009886309374991</v>
      </c>
      <c r="K23" s="30">
        <f t="shared" si="5"/>
        <v>5.6683143848958322</v>
      </c>
      <c r="L23" s="27">
        <v>44</v>
      </c>
      <c r="M23" s="31">
        <f t="shared" si="6"/>
        <v>0.13636363636363635</v>
      </c>
      <c r="N23" s="27">
        <v>92</v>
      </c>
      <c r="O23" s="32">
        <f t="shared" ref="O23:P23" si="20">D23/7</f>
        <v>0.8571428571428571</v>
      </c>
      <c r="P23" s="32">
        <f t="shared" si="20"/>
        <v>0.14285714285714285</v>
      </c>
      <c r="Q23" s="27">
        <f t="shared" si="8"/>
        <v>92</v>
      </c>
      <c r="R23" s="27"/>
      <c r="S23" s="33">
        <v>1.68240343347639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0.17145092881944446</v>
      </c>
      <c r="AD23" s="37">
        <f t="shared" si="12"/>
        <v>-1.4196136906250001</v>
      </c>
      <c r="AE23" s="37">
        <v>-5.42</v>
      </c>
      <c r="AF23" s="37">
        <v>-12.978000000000002</v>
      </c>
      <c r="AG23" s="37">
        <v>0</v>
      </c>
    </row>
    <row r="24" spans="1:33" ht="15.75" customHeight="1" x14ac:dyDescent="0.2">
      <c r="A24" s="26" t="s">
        <v>71</v>
      </c>
      <c r="B24" s="26" t="s">
        <v>102</v>
      </c>
      <c r="C24" s="14">
        <f t="shared" si="1"/>
        <v>25.290000000000003</v>
      </c>
      <c r="D24" s="27">
        <v>10</v>
      </c>
      <c r="E24" s="27">
        <v>3</v>
      </c>
      <c r="F24" s="30">
        <v>252.90000000000003</v>
      </c>
      <c r="G24" s="30">
        <v>-0.1</v>
      </c>
      <c r="H24" s="29">
        <f t="shared" si="2"/>
        <v>3.9541320680110711E-4</v>
      </c>
      <c r="I24" s="29">
        <f t="shared" si="3"/>
        <v>0.11276780222337551</v>
      </c>
      <c r="J24" s="30">
        <f t="shared" si="4"/>
        <v>28.518977182291671</v>
      </c>
      <c r="K24" s="30">
        <f t="shared" si="5"/>
        <v>2.8518977182291669</v>
      </c>
      <c r="L24" s="27">
        <v>39</v>
      </c>
      <c r="M24" s="31">
        <f t="shared" si="6"/>
        <v>0.25641025641025639</v>
      </c>
      <c r="N24" s="27">
        <v>76</v>
      </c>
      <c r="O24" s="32">
        <f t="shared" ref="O24:P24" si="21">D24/7</f>
        <v>1.4285714285714286</v>
      </c>
      <c r="P24" s="32">
        <f t="shared" si="21"/>
        <v>0.42857142857142855</v>
      </c>
      <c r="Q24" s="27">
        <f t="shared" si="8"/>
        <v>40</v>
      </c>
      <c r="R24" s="27"/>
      <c r="S24" s="33">
        <v>1.0188679245283001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0.17145092881944446</v>
      </c>
      <c r="AD24" s="37">
        <f t="shared" si="12"/>
        <v>-2.3660228177083336</v>
      </c>
      <c r="AE24" s="37">
        <v>-5.42</v>
      </c>
      <c r="AF24" s="37">
        <v>-12.978000000000002</v>
      </c>
      <c r="AG24" s="37">
        <v>0</v>
      </c>
    </row>
    <row r="25" spans="1:33" ht="15.75" customHeight="1" x14ac:dyDescent="0.2">
      <c r="A25" s="40" t="s">
        <v>73</v>
      </c>
      <c r="B25" s="26" t="s">
        <v>102</v>
      </c>
      <c r="C25" s="14">
        <f t="shared" si="1"/>
        <v>24.99</v>
      </c>
      <c r="D25" s="15">
        <v>4</v>
      </c>
      <c r="E25" s="15">
        <v>0</v>
      </c>
      <c r="F25" s="16">
        <v>99.96</v>
      </c>
      <c r="G25" s="16">
        <v>-0.25</v>
      </c>
      <c r="H25" s="29">
        <f t="shared" si="2"/>
        <v>2.5010004001600641E-3</v>
      </c>
      <c r="I25" s="29">
        <f t="shared" si="3"/>
        <v>0.10173660337051481</v>
      </c>
      <c r="J25" s="30">
        <f t="shared" si="4"/>
        <v>10.169590872916659</v>
      </c>
      <c r="K25" s="30">
        <f t="shared" si="5"/>
        <v>2.5423977182291648</v>
      </c>
      <c r="L25" s="15">
        <v>47</v>
      </c>
      <c r="M25" s="31">
        <f t="shared" si="6"/>
        <v>8.5106382978723402E-2</v>
      </c>
      <c r="N25" s="15">
        <v>65</v>
      </c>
      <c r="O25" s="32">
        <f t="shared" ref="O25:P25" si="22">D25/7</f>
        <v>0.5714285714285714</v>
      </c>
      <c r="P25" s="32">
        <f t="shared" si="22"/>
        <v>0</v>
      </c>
      <c r="Q25" s="27">
        <f t="shared" si="8"/>
        <v>113</v>
      </c>
      <c r="R25" s="27"/>
      <c r="S25" s="41">
        <v>1.322128851540616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0.17145092881944446</v>
      </c>
      <c r="AD25" s="37">
        <f t="shared" si="12"/>
        <v>-0.94640912708333336</v>
      </c>
      <c r="AE25" s="42">
        <v>-5.42</v>
      </c>
      <c r="AF25" s="42">
        <v>-12.98</v>
      </c>
      <c r="AG25" s="42">
        <v>0</v>
      </c>
    </row>
    <row r="26" spans="1:33" ht="15.75" customHeight="1" x14ac:dyDescent="0.2">
      <c r="A26" s="40" t="s">
        <v>75</v>
      </c>
      <c r="B26" s="26" t="s">
        <v>102</v>
      </c>
      <c r="C26" s="14">
        <f t="shared" si="1"/>
        <v>24.99</v>
      </c>
      <c r="D26" s="15">
        <v>6</v>
      </c>
      <c r="E26" s="15">
        <v>0</v>
      </c>
      <c r="F26" s="16">
        <v>149.94</v>
      </c>
      <c r="G26" s="16">
        <v>-0.25</v>
      </c>
      <c r="H26" s="29">
        <f t="shared" si="2"/>
        <v>1.6673336001067093E-3</v>
      </c>
      <c r="I26" s="29">
        <f t="shared" si="3"/>
        <v>9.2246140518707512E-2</v>
      </c>
      <c r="J26" s="30">
        <f t="shared" si="4"/>
        <v>13.831386309375004</v>
      </c>
      <c r="K26" s="30">
        <f t="shared" si="5"/>
        <v>2.3052310515625005</v>
      </c>
      <c r="L26" s="15">
        <v>15</v>
      </c>
      <c r="M26" s="31">
        <f t="shared" si="6"/>
        <v>0.4</v>
      </c>
      <c r="N26" s="15">
        <v>59</v>
      </c>
      <c r="O26" s="32">
        <f t="shared" ref="O26:P26" si="23">D26/7</f>
        <v>0.8571428571428571</v>
      </c>
      <c r="P26" s="32">
        <f t="shared" si="23"/>
        <v>0</v>
      </c>
      <c r="Q26" s="27">
        <f t="shared" si="8"/>
        <v>68</v>
      </c>
      <c r="R26" s="27"/>
      <c r="S26" s="41">
        <v>1.515527950310559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0.17145092881944446</v>
      </c>
      <c r="AD26" s="37">
        <f t="shared" si="12"/>
        <v>-1.4196136906250001</v>
      </c>
      <c r="AE26" s="42">
        <v>-5.68</v>
      </c>
      <c r="AF26" s="42">
        <v>-12.978</v>
      </c>
      <c r="AG26" s="42">
        <v>0</v>
      </c>
    </row>
    <row r="27" spans="1:33" ht="15.75" customHeight="1" x14ac:dyDescent="0.2">
      <c r="A27" s="40" t="s">
        <v>77</v>
      </c>
      <c r="B27" s="40" t="s">
        <v>933</v>
      </c>
      <c r="C27" s="14">
        <f t="shared" si="1"/>
        <v>24.99</v>
      </c>
      <c r="D27" s="15">
        <v>8</v>
      </c>
      <c r="E27" s="15">
        <v>1</v>
      </c>
      <c r="F27" s="16">
        <v>199.92</v>
      </c>
      <c r="G27" s="16">
        <v>-0.18</v>
      </c>
      <c r="H27" s="29">
        <f t="shared" si="2"/>
        <v>9.0036014405762304E-4</v>
      </c>
      <c r="I27" s="29">
        <f t="shared" si="3"/>
        <v>9.3013113974756506E-2</v>
      </c>
      <c r="J27" s="30">
        <f t="shared" si="4"/>
        <v>18.595181745833319</v>
      </c>
      <c r="K27" s="30">
        <f t="shared" si="5"/>
        <v>2.3243977182291649</v>
      </c>
      <c r="L27" s="15">
        <v>14</v>
      </c>
      <c r="M27" s="31">
        <f t="shared" si="6"/>
        <v>0.5714285714285714</v>
      </c>
      <c r="N27" s="15">
        <v>50</v>
      </c>
      <c r="O27" s="32">
        <f t="shared" ref="O27:P27" si="24">D27/7</f>
        <v>1.1428571428571428</v>
      </c>
      <c r="P27" s="32">
        <f t="shared" si="24"/>
        <v>0.14285714285714285</v>
      </c>
      <c r="Q27" s="27">
        <f t="shared" si="8"/>
        <v>38</v>
      </c>
      <c r="R27" s="27"/>
      <c r="S27" s="41">
        <v>1.9081272084805649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0.17145092881944446</v>
      </c>
      <c r="AD27" s="37">
        <f t="shared" si="12"/>
        <v>-1.8928182541666667</v>
      </c>
      <c r="AE27" s="42">
        <v>-5.68</v>
      </c>
      <c r="AF27" s="42">
        <v>-12.978</v>
      </c>
      <c r="AG27" s="42">
        <v>0</v>
      </c>
    </row>
    <row r="28" spans="1:33" ht="15.75" customHeight="1" x14ac:dyDescent="0.2">
      <c r="A28" s="40" t="s">
        <v>79</v>
      </c>
      <c r="B28" s="40" t="s">
        <v>934</v>
      </c>
      <c r="C28" s="14">
        <f t="shared" si="1"/>
        <v>24.99</v>
      </c>
      <c r="D28" s="15">
        <v>12</v>
      </c>
      <c r="E28" s="15">
        <v>0</v>
      </c>
      <c r="F28" s="16">
        <v>299.88</v>
      </c>
      <c r="G28" s="16">
        <v>-0.28999999999999998</v>
      </c>
      <c r="H28" s="29">
        <f t="shared" si="2"/>
        <v>9.6705348806189141E-4</v>
      </c>
      <c r="I28" s="29">
        <f t="shared" si="3"/>
        <v>9.2946420630752355E-2</v>
      </c>
      <c r="J28" s="30">
        <f t="shared" si="4"/>
        <v>27.872772618750016</v>
      </c>
      <c r="K28" s="30">
        <f t="shared" si="5"/>
        <v>2.3227310515625015</v>
      </c>
      <c r="L28" s="15">
        <v>20</v>
      </c>
      <c r="M28" s="31">
        <f t="shared" si="6"/>
        <v>0.6</v>
      </c>
      <c r="N28" s="15">
        <v>38</v>
      </c>
      <c r="O28" s="32">
        <f t="shared" ref="O28:P28" si="25">D28/7</f>
        <v>1.7142857142857142</v>
      </c>
      <c r="P28" s="32">
        <f t="shared" si="25"/>
        <v>0</v>
      </c>
      <c r="Q28" s="27">
        <f t="shared" si="8"/>
        <v>22</v>
      </c>
      <c r="R28" s="27"/>
      <c r="S28" s="41">
        <v>1.182978723404255</v>
      </c>
      <c r="T28" s="40" t="s">
        <v>34</v>
      </c>
      <c r="U28" s="22" t="s">
        <v>34</v>
      </c>
      <c r="V28" s="1" t="s">
        <v>571</v>
      </c>
      <c r="W28" s="40">
        <v>1</v>
      </c>
      <c r="X28" s="36">
        <f t="shared" si="9"/>
        <v>8.3333333333333329E-2</v>
      </c>
      <c r="Y28" s="37">
        <f t="shared" si="10"/>
        <v>0.28999999999999998</v>
      </c>
      <c r="Z28" s="40">
        <v>0</v>
      </c>
      <c r="AA28" s="26" t="s">
        <v>37</v>
      </c>
      <c r="AB28" s="38">
        <f t="shared" si="11"/>
        <v>-0.69</v>
      </c>
      <c r="AC28" s="39">
        <v>0.17145092881944446</v>
      </c>
      <c r="AD28" s="37">
        <f t="shared" si="12"/>
        <v>-2.8392273812500002</v>
      </c>
      <c r="AE28" s="42">
        <v>-5.68</v>
      </c>
      <c r="AF28" s="42">
        <v>-12.978</v>
      </c>
      <c r="AG28" s="42">
        <v>0</v>
      </c>
    </row>
    <row r="29" spans="1:33" ht="15.75" customHeight="1" x14ac:dyDescent="0.2">
      <c r="A29" s="26" t="s">
        <v>82</v>
      </c>
      <c r="B29" s="40" t="s">
        <v>935</v>
      </c>
      <c r="C29" s="14">
        <f t="shared" si="1"/>
        <v>25.49</v>
      </c>
      <c r="D29" s="27">
        <v>4</v>
      </c>
      <c r="E29" s="27">
        <v>0</v>
      </c>
      <c r="F29" s="30">
        <v>101.96</v>
      </c>
      <c r="G29" s="30">
        <v>-1</v>
      </c>
      <c r="H29" s="29">
        <f t="shared" si="2"/>
        <v>9.8077677520596318E-3</v>
      </c>
      <c r="I29" s="29">
        <f t="shared" si="3"/>
        <v>9.893674845936315E-2</v>
      </c>
      <c r="J29" s="30">
        <f t="shared" si="4"/>
        <v>10.087590872916666</v>
      </c>
      <c r="K29" s="30">
        <f t="shared" si="5"/>
        <v>2.5218977182291664</v>
      </c>
      <c r="L29" s="27">
        <v>18</v>
      </c>
      <c r="M29" s="31">
        <f t="shared" si="6"/>
        <v>0.22222222222222221</v>
      </c>
      <c r="N29" s="15">
        <v>28</v>
      </c>
      <c r="O29" s="32">
        <f t="shared" ref="O29:P29" si="26">D29/7</f>
        <v>0.5714285714285714</v>
      </c>
      <c r="P29" s="32">
        <f t="shared" si="26"/>
        <v>0</v>
      </c>
      <c r="Q29" s="27">
        <f t="shared" si="8"/>
        <v>49</v>
      </c>
      <c r="R29" s="27"/>
      <c r="S29" s="41">
        <v>1.3232323232323231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0.17145092881944446</v>
      </c>
      <c r="AD29" s="37">
        <f t="shared" si="12"/>
        <v>-0.94640912708333336</v>
      </c>
      <c r="AE29" s="37">
        <v>-5.68</v>
      </c>
      <c r="AF29" s="42">
        <v>-12.978</v>
      </c>
      <c r="AG29" s="37">
        <v>0</v>
      </c>
    </row>
    <row r="30" spans="1:33" ht="15.75" customHeight="1" x14ac:dyDescent="0.2">
      <c r="A30" s="40" t="s">
        <v>84</v>
      </c>
      <c r="B30" s="40" t="s">
        <v>322</v>
      </c>
      <c r="C30" s="14">
        <f t="shared" si="1"/>
        <v>27.99</v>
      </c>
      <c r="D30" s="15">
        <v>3</v>
      </c>
      <c r="E30" s="15">
        <v>0</v>
      </c>
      <c r="F30" s="16">
        <v>83.97</v>
      </c>
      <c r="G30" s="16">
        <v>0</v>
      </c>
      <c r="H30" s="29">
        <f t="shared" si="2"/>
        <v>0</v>
      </c>
      <c r="I30" s="29">
        <f t="shared" si="3"/>
        <v>0.17495168696781591</v>
      </c>
      <c r="J30" s="30">
        <f t="shared" si="4"/>
        <v>14.690693154687501</v>
      </c>
      <c r="K30" s="30">
        <f t="shared" si="5"/>
        <v>4.8968977182291669</v>
      </c>
      <c r="L30" s="15">
        <v>17</v>
      </c>
      <c r="M30" s="31">
        <f t="shared" si="6"/>
        <v>0.17647058823529413</v>
      </c>
      <c r="N30" s="15">
        <v>24</v>
      </c>
      <c r="O30" s="32">
        <f t="shared" ref="O30:P30" si="27">D30/7</f>
        <v>0.42857142857142855</v>
      </c>
      <c r="P30" s="32">
        <f t="shared" si="27"/>
        <v>0</v>
      </c>
      <c r="Q30" s="27">
        <f t="shared" si="8"/>
        <v>56</v>
      </c>
      <c r="R30" s="27"/>
      <c r="S30" s="41">
        <v>1.3112947658402201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0.17145092881944446</v>
      </c>
      <c r="AD30" s="37">
        <f t="shared" si="12"/>
        <v>-0.70980684531250005</v>
      </c>
      <c r="AE30" s="42">
        <v>-5.68</v>
      </c>
      <c r="AF30" s="42">
        <v>-12.978</v>
      </c>
      <c r="AG30" s="42">
        <v>0</v>
      </c>
    </row>
    <row r="31" spans="1:33" ht="15.75" customHeight="1" x14ac:dyDescent="0.2">
      <c r="A31" s="40" t="s">
        <v>87</v>
      </c>
      <c r="B31" s="40" t="s">
        <v>322</v>
      </c>
      <c r="C31" s="14">
        <f t="shared" si="1"/>
        <v>27.99</v>
      </c>
      <c r="D31" s="15">
        <v>2</v>
      </c>
      <c r="E31" s="15">
        <v>0</v>
      </c>
      <c r="F31" s="16">
        <v>55.98</v>
      </c>
      <c r="G31" s="43">
        <v>0</v>
      </c>
      <c r="H31" s="29">
        <f t="shared" si="2"/>
        <v>0</v>
      </c>
      <c r="I31" s="29">
        <f t="shared" si="3"/>
        <v>0.17495168696781579</v>
      </c>
      <c r="J31" s="30">
        <f t="shared" si="4"/>
        <v>9.7937954364583284</v>
      </c>
      <c r="K31" s="30">
        <f t="shared" si="5"/>
        <v>4.8968977182291642</v>
      </c>
      <c r="L31" s="15">
        <v>28</v>
      </c>
      <c r="M31" s="31">
        <f t="shared" si="6"/>
        <v>7.1428571428571425E-2</v>
      </c>
      <c r="N31" s="15">
        <v>22</v>
      </c>
      <c r="O31" s="32">
        <f t="shared" ref="O31:P31" si="28">D31/7</f>
        <v>0.2857142857142857</v>
      </c>
      <c r="P31" s="32">
        <f t="shared" si="28"/>
        <v>0</v>
      </c>
      <c r="Q31" s="27">
        <f t="shared" si="8"/>
        <v>77</v>
      </c>
      <c r="R31" s="27"/>
      <c r="S31" s="41">
        <v>1.31692307692307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0.17145092881944446</v>
      </c>
      <c r="AD31" s="37">
        <f t="shared" si="12"/>
        <v>-0.47320456354166668</v>
      </c>
      <c r="AE31" s="45">
        <v>-5.68</v>
      </c>
      <c r="AF31" s="45">
        <v>-12.978000000000002</v>
      </c>
      <c r="AG31" s="42">
        <v>0</v>
      </c>
    </row>
    <row r="32" spans="1:33" ht="15.75" customHeight="1" x14ac:dyDescent="0.2">
      <c r="A32" s="40" t="s">
        <v>90</v>
      </c>
      <c r="B32" s="50" t="s">
        <v>936</v>
      </c>
      <c r="C32" s="14">
        <f t="shared" si="1"/>
        <v>27.99</v>
      </c>
      <c r="D32" s="15">
        <v>6</v>
      </c>
      <c r="E32" s="15">
        <v>0</v>
      </c>
      <c r="F32" s="16">
        <v>167.94</v>
      </c>
      <c r="G32" s="16">
        <v>-0.09</v>
      </c>
      <c r="H32" s="29">
        <f t="shared" si="2"/>
        <v>5.3590568060021436E-4</v>
      </c>
      <c r="I32" s="29">
        <f t="shared" si="3"/>
        <v>0.17441578128721566</v>
      </c>
      <c r="J32" s="30">
        <f t="shared" si="4"/>
        <v>29.291386309375</v>
      </c>
      <c r="K32" s="30">
        <f t="shared" si="5"/>
        <v>4.8818977182291663</v>
      </c>
      <c r="L32" s="15">
        <v>26</v>
      </c>
      <c r="M32" s="31">
        <f t="shared" si="6"/>
        <v>0.23076923076923078</v>
      </c>
      <c r="N32" s="15">
        <v>15</v>
      </c>
      <c r="O32" s="32">
        <f t="shared" ref="O32:P32" si="29">D32/7</f>
        <v>0.8571428571428571</v>
      </c>
      <c r="P32" s="32">
        <f t="shared" si="29"/>
        <v>0</v>
      </c>
      <c r="Q32" s="27">
        <f t="shared" si="8"/>
        <v>17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1.26007326007326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0.17145092881944446</v>
      </c>
      <c r="AD32" s="37">
        <f t="shared" si="12"/>
        <v>-1.4196136906250001</v>
      </c>
      <c r="AE32" s="42">
        <v>-5.68</v>
      </c>
      <c r="AF32" s="42">
        <v>-12.978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A201" s="40"/>
      <c r="B201" s="40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</row>
    <row r="202" spans="1:33" ht="15.75" customHeight="1" x14ac:dyDescent="0.2">
      <c r="A202" s="40"/>
      <c r="B202" s="40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</row>
    <row r="203" spans="1:33" ht="15.75" customHeight="1" x14ac:dyDescent="0.2">
      <c r="A203" s="40"/>
      <c r="B203" s="40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</row>
    <row r="204" spans="1:33" ht="15.75" customHeight="1" x14ac:dyDescent="0.2">
      <c r="A204" s="40"/>
      <c r="B204" s="40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</row>
    <row r="205" spans="1:33" ht="15.75" customHeight="1" x14ac:dyDescent="0.2">
      <c r="A205" s="40"/>
      <c r="B205" s="40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</row>
    <row r="206" spans="1:33" ht="15.75" customHeight="1" x14ac:dyDescent="0.2">
      <c r="A206" s="40"/>
      <c r="B206" s="40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</row>
    <row r="207" spans="1:33" ht="15.75" customHeight="1" x14ac:dyDescent="0.2">
      <c r="A207" s="40"/>
      <c r="B207" s="40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</row>
    <row r="208" spans="1:33" ht="15.75" customHeight="1" x14ac:dyDescent="0.2">
      <c r="A208" s="40"/>
      <c r="B208" s="40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</row>
    <row r="209" spans="1:33" ht="15.75" customHeight="1" x14ac:dyDescent="0.2">
      <c r="A209" s="40"/>
      <c r="B209" s="40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</row>
    <row r="210" spans="1:33" ht="15.75" customHeight="1" x14ac:dyDescent="0.2">
      <c r="A210" s="40"/>
      <c r="B210" s="40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</row>
    <row r="211" spans="1:33" ht="15.75" customHeight="1" x14ac:dyDescent="0.2">
      <c r="A211" s="40"/>
      <c r="B211" s="40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</row>
    <row r="212" spans="1:33" ht="15.75" customHeight="1" x14ac:dyDescent="0.2">
      <c r="A212" s="40"/>
      <c r="B212" s="40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</row>
    <row r="213" spans="1:33" ht="15.75" customHeight="1" x14ac:dyDescent="0.2">
      <c r="A213" s="40"/>
      <c r="B213" s="40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</row>
    <row r="214" spans="1:33" ht="15.75" customHeight="1" x14ac:dyDescent="0.2">
      <c r="A214" s="40"/>
      <c r="B214" s="40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</row>
    <row r="215" spans="1:33" ht="15.75" customHeight="1" x14ac:dyDescent="0.2">
      <c r="A215" s="40"/>
      <c r="B215" s="40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</row>
    <row r="216" spans="1:33" ht="15.75" customHeight="1" x14ac:dyDescent="0.2">
      <c r="A216" s="40"/>
      <c r="B216" s="40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</row>
    <row r="217" spans="1:33" ht="15.75" customHeight="1" x14ac:dyDescent="0.2">
      <c r="A217" s="40"/>
      <c r="B217" s="40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</row>
    <row r="218" spans="1:33" ht="15.75" customHeight="1" x14ac:dyDescent="0.2">
      <c r="A218" s="40"/>
      <c r="B218" s="40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</row>
    <row r="219" spans="1:33" ht="15.75" customHeight="1" x14ac:dyDescent="0.2">
      <c r="A219" s="40"/>
      <c r="B219" s="40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</row>
    <row r="220" spans="1:33" ht="15.75" customHeight="1" x14ac:dyDescent="0.2">
      <c r="A220" s="40"/>
      <c r="B220" s="40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</row>
    <row r="221" spans="1:33" ht="15.75" customHeight="1" x14ac:dyDescent="0.2">
      <c r="R221" s="40"/>
      <c r="S221" s="41"/>
    </row>
    <row r="222" spans="1:33" ht="15.75" customHeight="1" x14ac:dyDescent="0.2">
      <c r="R222" s="40"/>
      <c r="S222" s="41"/>
    </row>
    <row r="223" spans="1:33" ht="15.75" customHeight="1" x14ac:dyDescent="0.2">
      <c r="R223" s="40"/>
      <c r="S223" s="41"/>
    </row>
    <row r="224" spans="1:33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3.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9.5" customWidth="1"/>
    <col min="22" max="22" width="2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Info!B1:BJ5000""),3,FALSE),"""")"),"Dual Metal Mesh Computer Monitor Stands - Perfect for Monitors, Laptop, Desktop &amp; More")</f>
        <v>Dual Metal Mesh Computer Monitor Stands - Perfect for Monitors, Laptop, Desktop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Info!B1:BJ5000""),2,FALSE),"""")"),"B07BN5H7VK")</f>
        <v>B07BN5H7VK</v>
      </c>
      <c r="B2" s="3" t="s">
        <v>937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56" customHeight="1" x14ac:dyDescent="0.2">
      <c r="A3" s="68" t="s">
        <v>31</v>
      </c>
      <c r="B3" s="69"/>
      <c r="C3" s="48">
        <f>((AE32+AF32)/0.85)*-1</f>
        <v>18.22026880882353</v>
      </c>
      <c r="D3" s="5">
        <f>SUM(D4:D99767)</f>
        <v>379</v>
      </c>
      <c r="E3" s="5"/>
      <c r="F3" s="6">
        <f t="shared" ref="F3:G3" si="0">SUM(F4:F99767)</f>
        <v>5437.1200000000053</v>
      </c>
      <c r="G3" s="6">
        <f t="shared" si="0"/>
        <v>-298.19</v>
      </c>
      <c r="H3" s="7">
        <f t="shared" ref="H3:H32" si="1">G3/F3*-1</f>
        <v>5.4843372962156384E-2</v>
      </c>
      <c r="I3" s="8">
        <f t="shared" ref="I3:I32" si="2">J3/F3</f>
        <v>-0.35926520101917991</v>
      </c>
      <c r="J3" s="6">
        <f>SUM(J4:J99767)</f>
        <v>-1953.3680097654053</v>
      </c>
      <c r="K3" s="6">
        <f t="shared" ref="K3:K32" si="3">J3/D3</f>
        <v>-5.1540053028110959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42</v>
      </c>
      <c r="X3" s="7">
        <f>W3/D3</f>
        <v>0.11081794195250659</v>
      </c>
      <c r="Y3" s="6"/>
      <c r="Z3" s="5"/>
      <c r="AA3" s="5"/>
      <c r="AB3" s="5"/>
      <c r="AC3" s="5"/>
      <c r="AD3" s="6">
        <f>SUM(AD4:AD99767)</f>
        <v>-113.4472655803399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Info!B2:BZ3000""),37,FALSE)),"""")*-1"),-8.9072284875)</f>
        <v>-8.9072284874999994</v>
      </c>
      <c r="AG3" s="6">
        <f>SUM(AG4:AG99767)</f>
        <v>-37</v>
      </c>
    </row>
    <row r="4" spans="1:33" ht="16" x14ac:dyDescent="0.2">
      <c r="A4" s="1" t="s">
        <v>32</v>
      </c>
      <c r="B4" s="2" t="s">
        <v>938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-11.18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-11.18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397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>
        <v>0.208530805687203</v>
      </c>
      <c r="T4" s="2">
        <v>308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0.21690277777777781</v>
      </c>
      <c r="AD4" s="24">
        <f t="shared" ref="AD4:AD32" si="12">IFERROR(AB4*AC4*D4*2,0)</f>
        <v>0</v>
      </c>
      <c r="AE4" s="24">
        <v>-6.94</v>
      </c>
      <c r="AF4" s="24">
        <v>-8.8969512820512815</v>
      </c>
      <c r="AG4" s="24">
        <v>0</v>
      </c>
    </row>
    <row r="5" spans="1:33" ht="15.75" customHeight="1" x14ac:dyDescent="0.2">
      <c r="A5" s="26" t="s">
        <v>35</v>
      </c>
      <c r="B5" s="26" t="s">
        <v>939</v>
      </c>
      <c r="C5" s="14">
        <f t="shared" si="4"/>
        <v>22.681250000000002</v>
      </c>
      <c r="D5" s="27">
        <v>8</v>
      </c>
      <c r="E5" s="27">
        <v>0</v>
      </c>
      <c r="F5" s="28">
        <v>181.45000000000002</v>
      </c>
      <c r="G5" s="28">
        <v>-50.93</v>
      </c>
      <c r="H5" s="29">
        <f t="shared" si="1"/>
        <v>0.28068338385230091</v>
      </c>
      <c r="I5" s="29">
        <f t="shared" si="2"/>
        <v>-0.1641801690277403</v>
      </c>
      <c r="J5" s="30">
        <f t="shared" si="5"/>
        <v>-29.79049167008348</v>
      </c>
      <c r="K5" s="30">
        <f t="shared" si="3"/>
        <v>-3.723811458760435</v>
      </c>
      <c r="L5" s="27">
        <v>75</v>
      </c>
      <c r="M5" s="31">
        <f t="shared" si="6"/>
        <v>0.10666666666666667</v>
      </c>
      <c r="N5" s="27">
        <v>389</v>
      </c>
      <c r="O5" s="32">
        <f t="shared" ref="O5:P5" si="13">D5/7</f>
        <v>1.1428571428571428</v>
      </c>
      <c r="P5" s="32">
        <f t="shared" si="13"/>
        <v>0</v>
      </c>
      <c r="Q5" s="27">
        <f t="shared" si="8"/>
        <v>340</v>
      </c>
      <c r="R5" s="27"/>
      <c r="S5" s="33">
        <v>0.17391304347826</v>
      </c>
      <c r="T5" s="26">
        <v>308</v>
      </c>
      <c r="U5" s="34" t="s">
        <v>34</v>
      </c>
      <c r="V5" s="35" t="s">
        <v>34</v>
      </c>
      <c r="W5" s="26">
        <v>2</v>
      </c>
      <c r="X5" s="36">
        <f t="shared" si="9"/>
        <v>0.25</v>
      </c>
      <c r="Y5" s="37">
        <f t="shared" si="10"/>
        <v>16.976666666666667</v>
      </c>
      <c r="Z5" s="26">
        <v>1</v>
      </c>
      <c r="AA5" s="26" t="s">
        <v>37</v>
      </c>
      <c r="AB5" s="38">
        <f t="shared" si="11"/>
        <v>-0.69</v>
      </c>
      <c r="AC5" s="39">
        <v>0.21715411355735809</v>
      </c>
      <c r="AD5" s="37">
        <f t="shared" si="12"/>
        <v>-2.3973814136732332</v>
      </c>
      <c r="AE5" s="37">
        <v>-6.94</v>
      </c>
      <c r="AF5" s="37">
        <v>-8.8969512820512815</v>
      </c>
      <c r="AG5" s="37">
        <v>-4</v>
      </c>
    </row>
    <row r="6" spans="1:33" ht="15.75" customHeight="1" x14ac:dyDescent="0.2">
      <c r="A6" s="26" t="s">
        <v>38</v>
      </c>
      <c r="B6" s="26" t="s">
        <v>940</v>
      </c>
      <c r="C6" s="14">
        <f t="shared" si="4"/>
        <v>21.199333333333335</v>
      </c>
      <c r="D6" s="27">
        <v>15</v>
      </c>
      <c r="E6" s="27">
        <v>0</v>
      </c>
      <c r="F6" s="28">
        <v>317.99</v>
      </c>
      <c r="G6" s="28">
        <v>-42.76</v>
      </c>
      <c r="H6" s="29">
        <f t="shared" si="1"/>
        <v>0.13446963740998144</v>
      </c>
      <c r="I6" s="29">
        <f t="shared" si="2"/>
        <v>-5.1928226456081146E-2</v>
      </c>
      <c r="J6" s="30">
        <f t="shared" si="5"/>
        <v>-16.512656730769244</v>
      </c>
      <c r="K6" s="30">
        <f t="shared" si="3"/>
        <v>-1.1008437820512829</v>
      </c>
      <c r="L6" s="27">
        <v>80</v>
      </c>
      <c r="M6" s="31">
        <f t="shared" si="6"/>
        <v>0.1875</v>
      </c>
      <c r="N6" s="27">
        <v>368</v>
      </c>
      <c r="O6" s="32">
        <f t="shared" ref="O6:P6" si="14">D6/7</f>
        <v>2.1428571428571428</v>
      </c>
      <c r="P6" s="32">
        <f t="shared" si="14"/>
        <v>0</v>
      </c>
      <c r="Q6" s="27">
        <f t="shared" si="8"/>
        <v>171</v>
      </c>
      <c r="R6" s="27"/>
      <c r="S6" s="33">
        <v>0.18181818181818099</v>
      </c>
      <c r="T6" s="26">
        <v>7</v>
      </c>
      <c r="U6" s="34" t="s">
        <v>34</v>
      </c>
      <c r="V6" s="35"/>
      <c r="W6" s="26">
        <v>8</v>
      </c>
      <c r="X6" s="36">
        <f t="shared" si="9"/>
        <v>0.53333333333333333</v>
      </c>
      <c r="Y6" s="37">
        <f t="shared" si="10"/>
        <v>5.3449999999999998</v>
      </c>
      <c r="Z6" s="26">
        <v>0</v>
      </c>
      <c r="AA6" s="26" t="s">
        <v>37</v>
      </c>
      <c r="AB6" s="38">
        <f t="shared" si="11"/>
        <v>-0.69</v>
      </c>
      <c r="AC6" s="39">
        <v>0.21690277777777781</v>
      </c>
      <c r="AD6" s="37">
        <f t="shared" si="12"/>
        <v>-4.4898875</v>
      </c>
      <c r="AE6" s="37">
        <v>-6.94</v>
      </c>
      <c r="AF6" s="37">
        <v>-8.8969512820512815</v>
      </c>
      <c r="AG6" s="37">
        <v>-2</v>
      </c>
    </row>
    <row r="7" spans="1:33" ht="15.75" customHeight="1" x14ac:dyDescent="0.2">
      <c r="A7" s="26" t="s">
        <v>41</v>
      </c>
      <c r="B7" s="26" t="s">
        <v>941</v>
      </c>
      <c r="C7" s="14">
        <f t="shared" si="4"/>
        <v>21.251999999999999</v>
      </c>
      <c r="D7" s="27">
        <v>10</v>
      </c>
      <c r="E7" s="27">
        <v>2</v>
      </c>
      <c r="F7" s="28">
        <v>212.51999999999998</v>
      </c>
      <c r="G7" s="28">
        <v>-38.040000000000013</v>
      </c>
      <c r="H7" s="29">
        <f t="shared" si="1"/>
        <v>0.17899491812535298</v>
      </c>
      <c r="I7" s="29">
        <f t="shared" si="2"/>
        <v>-0.13533206829402508</v>
      </c>
      <c r="J7" s="30">
        <f t="shared" si="5"/>
        <v>-28.760771153846211</v>
      </c>
      <c r="K7" s="30">
        <f t="shared" si="3"/>
        <v>-2.876077115384621</v>
      </c>
      <c r="L7" s="27">
        <v>58</v>
      </c>
      <c r="M7" s="31">
        <f t="shared" si="6"/>
        <v>0.17241379310344829</v>
      </c>
      <c r="N7" s="27">
        <v>362</v>
      </c>
      <c r="O7" s="32">
        <f t="shared" ref="O7:P7" si="15">D7/7</f>
        <v>1.4285714285714286</v>
      </c>
      <c r="P7" s="32">
        <f t="shared" si="15"/>
        <v>0.2857142857142857</v>
      </c>
      <c r="Q7" s="27">
        <f t="shared" si="8"/>
        <v>211</v>
      </c>
      <c r="R7" s="27"/>
      <c r="S7" s="33">
        <v>0.24975222993062399</v>
      </c>
      <c r="T7" s="26">
        <v>7</v>
      </c>
      <c r="U7" s="34" t="s">
        <v>34</v>
      </c>
      <c r="V7" s="35"/>
      <c r="W7" s="26">
        <v>4</v>
      </c>
      <c r="X7" s="36">
        <f t="shared" si="9"/>
        <v>0.4</v>
      </c>
      <c r="Y7" s="37">
        <f t="shared" si="10"/>
        <v>9.5100000000000033</v>
      </c>
      <c r="Z7" s="26">
        <v>0</v>
      </c>
      <c r="AA7" s="26" t="s">
        <v>37</v>
      </c>
      <c r="AB7" s="38">
        <f t="shared" si="11"/>
        <v>-0.69</v>
      </c>
      <c r="AC7" s="39">
        <v>0.21690277777777781</v>
      </c>
      <c r="AD7" s="37">
        <f t="shared" si="12"/>
        <v>-2.9932583333333334</v>
      </c>
      <c r="AE7" s="37">
        <v>-6.94</v>
      </c>
      <c r="AF7" s="37">
        <v>-8.8969512820512815</v>
      </c>
      <c r="AG7" s="37">
        <v>-10</v>
      </c>
    </row>
    <row r="8" spans="1:33" ht="15.75" customHeight="1" x14ac:dyDescent="0.2">
      <c r="A8" s="26" t="s">
        <v>43</v>
      </c>
      <c r="B8" s="26" t="s">
        <v>942</v>
      </c>
      <c r="C8" s="14">
        <f t="shared" si="4"/>
        <v>22.294</v>
      </c>
      <c r="D8" s="27">
        <v>15</v>
      </c>
      <c r="E8" s="27">
        <v>2</v>
      </c>
      <c r="F8" s="28">
        <v>334.41</v>
      </c>
      <c r="G8" s="28">
        <v>-36.31</v>
      </c>
      <c r="H8" s="29">
        <f t="shared" si="1"/>
        <v>0.10857928889686314</v>
      </c>
      <c r="I8" s="29">
        <f t="shared" si="2"/>
        <v>-1.839474746568576E-2</v>
      </c>
      <c r="J8" s="30">
        <f t="shared" si="5"/>
        <v>-6.1513874999999754</v>
      </c>
      <c r="K8" s="30">
        <f t="shared" si="3"/>
        <v>-0.41009249999999836</v>
      </c>
      <c r="L8" s="27">
        <v>67</v>
      </c>
      <c r="M8" s="31">
        <f t="shared" si="6"/>
        <v>0.22388059701492538</v>
      </c>
      <c r="N8" s="27">
        <v>345</v>
      </c>
      <c r="O8" s="32">
        <f t="shared" ref="O8:P8" si="16">D8/7</f>
        <v>2.1428571428571428</v>
      </c>
      <c r="P8" s="32">
        <f t="shared" si="16"/>
        <v>0.2857142857142857</v>
      </c>
      <c r="Q8" s="27">
        <f t="shared" si="8"/>
        <v>142</v>
      </c>
      <c r="R8" s="27"/>
      <c r="S8" s="33">
        <v>0.32993890020366601</v>
      </c>
      <c r="T8" s="26">
        <v>308</v>
      </c>
      <c r="U8" s="34">
        <v>7</v>
      </c>
      <c r="V8" s="35" t="s">
        <v>943</v>
      </c>
      <c r="W8" s="26">
        <v>4</v>
      </c>
      <c r="X8" s="36">
        <f t="shared" si="9"/>
        <v>0.26666666666666666</v>
      </c>
      <c r="Y8" s="37">
        <f t="shared" si="10"/>
        <v>9.0775000000000006</v>
      </c>
      <c r="Z8" s="26">
        <v>0</v>
      </c>
      <c r="AA8" s="26" t="s">
        <v>37</v>
      </c>
      <c r="AB8" s="38">
        <f t="shared" si="11"/>
        <v>-0.69</v>
      </c>
      <c r="AC8" s="39">
        <v>0.21690277777777781</v>
      </c>
      <c r="AD8" s="37">
        <f t="shared" si="12"/>
        <v>-4.4898875</v>
      </c>
      <c r="AE8" s="37">
        <v>-6.94</v>
      </c>
      <c r="AF8" s="37">
        <v>-8.9</v>
      </c>
      <c r="AG8" s="37">
        <v>-12</v>
      </c>
    </row>
    <row r="9" spans="1:33" ht="15.75" customHeight="1" x14ac:dyDescent="0.2">
      <c r="A9" s="26" t="s">
        <v>45</v>
      </c>
      <c r="B9" s="26" t="s">
        <v>944</v>
      </c>
      <c r="C9" s="14">
        <f t="shared" si="4"/>
        <v>20.838333333333331</v>
      </c>
      <c r="D9" s="27">
        <v>6</v>
      </c>
      <c r="E9" s="27">
        <v>4</v>
      </c>
      <c r="F9" s="28">
        <v>125.02999999999999</v>
      </c>
      <c r="G9" s="28">
        <v>-10.360000000000001</v>
      </c>
      <c r="H9" s="29">
        <f t="shared" si="1"/>
        <v>8.2860113572742561E-2</v>
      </c>
      <c r="I9" s="29">
        <f t="shared" si="2"/>
        <v>-1.9907029345923852E-2</v>
      </c>
      <c r="J9" s="30">
        <f t="shared" si="5"/>
        <v>-2.4889758791208587</v>
      </c>
      <c r="K9" s="30">
        <f t="shared" si="3"/>
        <v>-0.41482931318680977</v>
      </c>
      <c r="L9" s="27">
        <v>59</v>
      </c>
      <c r="M9" s="31">
        <f t="shared" si="6"/>
        <v>0.10169491525423729</v>
      </c>
      <c r="N9" s="27">
        <v>337</v>
      </c>
      <c r="O9" s="32">
        <f t="shared" ref="O9:P9" si="17">D9/7</f>
        <v>0.8571428571428571</v>
      </c>
      <c r="P9" s="32">
        <f t="shared" si="17"/>
        <v>0.5714285714285714</v>
      </c>
      <c r="Q9" s="27">
        <f t="shared" si="8"/>
        <v>235</v>
      </c>
      <c r="R9" s="27"/>
      <c r="S9" s="33">
        <v>0.32195975503062102</v>
      </c>
      <c r="T9" s="26">
        <v>308</v>
      </c>
      <c r="U9" s="34">
        <v>7</v>
      </c>
      <c r="V9" s="35" t="s">
        <v>945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0.21690277777777781</v>
      </c>
      <c r="AD9" s="37">
        <f t="shared" si="12"/>
        <v>-1.7959550000000002</v>
      </c>
      <c r="AE9" s="37">
        <v>-6.94</v>
      </c>
      <c r="AF9" s="37">
        <v>-9.1614201465201397</v>
      </c>
      <c r="AG9" s="37">
        <v>0</v>
      </c>
    </row>
    <row r="10" spans="1:33" ht="15.75" customHeight="1" x14ac:dyDescent="0.2">
      <c r="A10" s="26" t="s">
        <v>48</v>
      </c>
      <c r="B10" s="26" t="s">
        <v>946</v>
      </c>
      <c r="C10" s="14">
        <f t="shared" si="4"/>
        <v>20.656666666666666</v>
      </c>
      <c r="D10" s="27">
        <v>3</v>
      </c>
      <c r="E10" s="27">
        <v>5</v>
      </c>
      <c r="F10" s="28">
        <v>61.97</v>
      </c>
      <c r="G10" s="28">
        <v>-44.26</v>
      </c>
      <c r="H10" s="29">
        <f t="shared" si="1"/>
        <v>0.71421655639825721</v>
      </c>
      <c r="I10" s="29">
        <f t="shared" si="2"/>
        <v>-0.65818521767888372</v>
      </c>
      <c r="J10" s="30">
        <f t="shared" si="5"/>
        <v>-40.787737939560422</v>
      </c>
      <c r="K10" s="30">
        <f t="shared" si="3"/>
        <v>-13.595912646520141</v>
      </c>
      <c r="L10" s="27">
        <v>41</v>
      </c>
      <c r="M10" s="31">
        <f t="shared" si="6"/>
        <v>7.3170731707317069E-2</v>
      </c>
      <c r="N10" s="27">
        <v>328</v>
      </c>
      <c r="O10" s="32">
        <f t="shared" ref="O10:P10" si="18">D10/7</f>
        <v>0.42857142857142855</v>
      </c>
      <c r="P10" s="32">
        <f t="shared" si="18"/>
        <v>0.7142857142857143</v>
      </c>
      <c r="Q10" s="27">
        <f t="shared" si="8"/>
        <v>287</v>
      </c>
      <c r="R10" s="27"/>
      <c r="S10" s="33">
        <v>0.36298292902066398</v>
      </c>
      <c r="T10" s="26">
        <v>308</v>
      </c>
      <c r="U10" s="34">
        <v>7</v>
      </c>
      <c r="V10" s="35" t="s">
        <v>945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0.21690277777777781</v>
      </c>
      <c r="AD10" s="37">
        <f t="shared" si="12"/>
        <v>-0.8979775000000001</v>
      </c>
      <c r="AE10" s="37">
        <v>-6.94</v>
      </c>
      <c r="AF10" s="37">
        <v>-9.1614201465201397</v>
      </c>
      <c r="AG10" s="37">
        <v>0</v>
      </c>
    </row>
    <row r="11" spans="1:33" ht="15.75" customHeight="1" x14ac:dyDescent="0.2">
      <c r="A11" s="26" t="s">
        <v>50</v>
      </c>
      <c r="B11" s="26" t="s">
        <v>947</v>
      </c>
      <c r="C11" s="14">
        <f t="shared" si="4"/>
        <v>18.989999999999998</v>
      </c>
      <c r="D11" s="27">
        <v>1</v>
      </c>
      <c r="E11" s="27">
        <v>5</v>
      </c>
      <c r="F11" s="28">
        <v>18.989999999999998</v>
      </c>
      <c r="G11" s="28">
        <v>0</v>
      </c>
      <c r="H11" s="29">
        <f t="shared" si="1"/>
        <v>0</v>
      </c>
      <c r="I11" s="29">
        <f t="shared" si="2"/>
        <v>-1.365171036616516E-2</v>
      </c>
      <c r="J11" s="30">
        <f t="shared" si="5"/>
        <v>-0.25924597985347636</v>
      </c>
      <c r="K11" s="30">
        <f t="shared" si="3"/>
        <v>-0.25924597985347636</v>
      </c>
      <c r="L11" s="27">
        <v>22</v>
      </c>
      <c r="M11" s="31">
        <f t="shared" si="6"/>
        <v>4.5454545454545456E-2</v>
      </c>
      <c r="N11" s="27">
        <v>321</v>
      </c>
      <c r="O11" s="32">
        <f t="shared" ref="O11:P11" si="19">D11/7</f>
        <v>0.14285714285714285</v>
      </c>
      <c r="P11" s="32">
        <f t="shared" si="19"/>
        <v>0.7142857142857143</v>
      </c>
      <c r="Q11" s="27">
        <f t="shared" si="8"/>
        <v>374</v>
      </c>
      <c r="R11" s="27"/>
      <c r="S11" s="33">
        <v>0.31021625652498103</v>
      </c>
      <c r="T11" s="26">
        <v>308</v>
      </c>
      <c r="U11" s="34">
        <v>7</v>
      </c>
      <c r="V11" s="35" t="s">
        <v>948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0.21690277777777781</v>
      </c>
      <c r="AD11" s="37">
        <f t="shared" si="12"/>
        <v>-0.29932583333333335</v>
      </c>
      <c r="AE11" s="37">
        <v>-6.94</v>
      </c>
      <c r="AF11" s="37">
        <v>-9.1614201465201397</v>
      </c>
      <c r="AG11" s="37">
        <v>0</v>
      </c>
    </row>
    <row r="12" spans="1:33" ht="15.75" customHeight="1" x14ac:dyDescent="0.2">
      <c r="A12" s="26" t="s">
        <v>52</v>
      </c>
      <c r="B12" s="26" t="s">
        <v>949</v>
      </c>
      <c r="C12" s="14">
        <f t="shared" si="4"/>
        <v>18.990000000000002</v>
      </c>
      <c r="D12" s="27">
        <v>16</v>
      </c>
      <c r="E12" s="27">
        <v>5</v>
      </c>
      <c r="F12" s="28">
        <v>303.84000000000003</v>
      </c>
      <c r="G12" s="28">
        <v>-0.08</v>
      </c>
      <c r="H12" s="29">
        <f t="shared" si="1"/>
        <v>2.6329647182727749E-4</v>
      </c>
      <c r="I12" s="29">
        <f t="shared" si="2"/>
        <v>-3.6953448122878971E-2</v>
      </c>
      <c r="J12" s="30">
        <f t="shared" si="5"/>
        <v>-11.227935677655548</v>
      </c>
      <c r="K12" s="30">
        <f t="shared" si="3"/>
        <v>-0.70174597985347176</v>
      </c>
      <c r="L12" s="27">
        <v>47</v>
      </c>
      <c r="M12" s="31">
        <f t="shared" si="6"/>
        <v>0.34042553191489361</v>
      </c>
      <c r="N12" s="27">
        <v>301</v>
      </c>
      <c r="O12" s="32">
        <f t="shared" ref="O12:P12" si="20">D12/7</f>
        <v>2.2857142857142856</v>
      </c>
      <c r="P12" s="32">
        <f t="shared" si="20"/>
        <v>0.7142857142857143</v>
      </c>
      <c r="Q12" s="27">
        <f t="shared" si="8"/>
        <v>100</v>
      </c>
      <c r="R12" s="27"/>
      <c r="S12" s="33">
        <v>0.36476043276661502</v>
      </c>
      <c r="T12" s="26">
        <v>308</v>
      </c>
      <c r="U12" s="34">
        <v>7</v>
      </c>
      <c r="V12" s="35" t="s">
        <v>950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0.21690277777777781</v>
      </c>
      <c r="AD12" s="37">
        <f t="shared" si="12"/>
        <v>-4.7892133333333335</v>
      </c>
      <c r="AE12" s="37">
        <v>-6.94</v>
      </c>
      <c r="AF12" s="37">
        <v>-9.1614201465201397</v>
      </c>
      <c r="AG12" s="37">
        <v>-7</v>
      </c>
    </row>
    <row r="13" spans="1:33" ht="15.75" customHeight="1" x14ac:dyDescent="0.2">
      <c r="A13" s="26" t="s">
        <v>54</v>
      </c>
      <c r="B13" s="26" t="s">
        <v>951</v>
      </c>
      <c r="C13" s="14">
        <f t="shared" si="4"/>
        <v>18.989999999999998</v>
      </c>
      <c r="D13" s="27">
        <v>6</v>
      </c>
      <c r="E13" s="27">
        <v>3</v>
      </c>
      <c r="F13" s="30">
        <v>113.93999999999998</v>
      </c>
      <c r="G13" s="28">
        <v>0</v>
      </c>
      <c r="H13" s="29">
        <f t="shared" si="1"/>
        <v>0</v>
      </c>
      <c r="I13" s="29">
        <f t="shared" si="2"/>
        <v>-3.8534673637753987E-2</v>
      </c>
      <c r="J13" s="30">
        <f t="shared" si="5"/>
        <v>-4.3906407142856887</v>
      </c>
      <c r="K13" s="30">
        <f t="shared" si="3"/>
        <v>-0.73177345238094815</v>
      </c>
      <c r="L13" s="27">
        <v>32</v>
      </c>
      <c r="M13" s="31">
        <f t="shared" si="6"/>
        <v>0.1875</v>
      </c>
      <c r="N13" s="27">
        <v>293</v>
      </c>
      <c r="O13" s="32">
        <f t="shared" ref="O13:P13" si="21">D13/7</f>
        <v>0.8571428571428571</v>
      </c>
      <c r="P13" s="32">
        <f t="shared" si="21"/>
        <v>0.42857142857142855</v>
      </c>
      <c r="Q13" s="27">
        <f t="shared" si="8"/>
        <v>227</v>
      </c>
      <c r="R13" s="27"/>
      <c r="S13" s="33">
        <v>0.37609561752988002</v>
      </c>
      <c r="T13" s="26">
        <v>308</v>
      </c>
      <c r="U13" s="34">
        <v>7</v>
      </c>
      <c r="V13" s="35" t="s">
        <v>952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0.21690277777777781</v>
      </c>
      <c r="AD13" s="37">
        <f t="shared" si="12"/>
        <v>-1.7959550000000002</v>
      </c>
      <c r="AE13" s="37">
        <v>-6.94</v>
      </c>
      <c r="AF13" s="37">
        <v>-9.3006142857142802</v>
      </c>
      <c r="AG13" s="37">
        <v>-2</v>
      </c>
    </row>
    <row r="14" spans="1:33" ht="15.75" customHeight="1" x14ac:dyDescent="0.2">
      <c r="A14" s="26" t="s">
        <v>56</v>
      </c>
      <c r="B14" s="26" t="s">
        <v>953</v>
      </c>
      <c r="C14" s="14">
        <f t="shared" si="4"/>
        <v>18.989999999999998</v>
      </c>
      <c r="D14" s="27">
        <v>10</v>
      </c>
      <c r="E14" s="27">
        <v>4</v>
      </c>
      <c r="F14" s="30">
        <v>189.89999999999998</v>
      </c>
      <c r="G14" s="28">
        <v>-23.109999999999996</v>
      </c>
      <c r="H14" s="29">
        <f t="shared" si="1"/>
        <v>0.12169562927856765</v>
      </c>
      <c r="I14" s="29">
        <f t="shared" si="2"/>
        <v>-0.14267720479450327</v>
      </c>
      <c r="J14" s="30">
        <f t="shared" si="5"/>
        <v>-27.094401190476166</v>
      </c>
      <c r="K14" s="30">
        <f t="shared" si="3"/>
        <v>-2.7094401190476165</v>
      </c>
      <c r="L14" s="27">
        <v>39</v>
      </c>
      <c r="M14" s="31">
        <f t="shared" si="6"/>
        <v>0.25641025641025639</v>
      </c>
      <c r="N14" s="27">
        <v>278</v>
      </c>
      <c r="O14" s="32">
        <f t="shared" ref="O14:P14" si="22">D14/7</f>
        <v>1.4285714285714286</v>
      </c>
      <c r="P14" s="32">
        <f t="shared" si="22"/>
        <v>0.5714285714285714</v>
      </c>
      <c r="Q14" s="27">
        <f t="shared" si="8"/>
        <v>139</v>
      </c>
      <c r="R14" s="27"/>
      <c r="S14" s="33">
        <v>0.35378031383737502</v>
      </c>
      <c r="T14" s="26">
        <v>308</v>
      </c>
      <c r="U14" s="34">
        <v>7</v>
      </c>
      <c r="V14" s="35" t="s">
        <v>952</v>
      </c>
      <c r="W14" s="26">
        <v>6</v>
      </c>
      <c r="X14" s="36">
        <f t="shared" si="9"/>
        <v>0.6</v>
      </c>
      <c r="Y14" s="37">
        <f t="shared" si="10"/>
        <v>3.8516666666666661</v>
      </c>
      <c r="Z14" s="26">
        <v>0</v>
      </c>
      <c r="AA14" s="26" t="s">
        <v>37</v>
      </c>
      <c r="AB14" s="38">
        <f t="shared" si="11"/>
        <v>-0.69</v>
      </c>
      <c r="AC14" s="39">
        <v>0.21690277777777781</v>
      </c>
      <c r="AD14" s="37">
        <f t="shared" si="12"/>
        <v>-2.9932583333333334</v>
      </c>
      <c r="AE14" s="37">
        <v>-6.94</v>
      </c>
      <c r="AF14" s="37">
        <v>-9.3006142857142802</v>
      </c>
      <c r="AG14" s="37">
        <v>0</v>
      </c>
    </row>
    <row r="15" spans="1:33" ht="15.75" customHeight="1" x14ac:dyDescent="0.2">
      <c r="A15" s="26" t="s">
        <v>58</v>
      </c>
      <c r="B15" s="26" t="s">
        <v>954</v>
      </c>
      <c r="C15" s="14">
        <f t="shared" si="4"/>
        <v>11.915373134328386</v>
      </c>
      <c r="D15" s="27">
        <v>268</v>
      </c>
      <c r="E15" s="27">
        <v>9</v>
      </c>
      <c r="F15" s="30">
        <v>3193.3200000000074</v>
      </c>
      <c r="G15" s="28">
        <v>-41.009999999999991</v>
      </c>
      <c r="H15" s="29">
        <f t="shared" si="1"/>
        <v>1.2842433580098423E-2</v>
      </c>
      <c r="I15" s="29">
        <f t="shared" si="2"/>
        <v>-0.55096011420864488</v>
      </c>
      <c r="J15" s="30">
        <f t="shared" si="5"/>
        <v>-1759.391951904754</v>
      </c>
      <c r="K15" s="30">
        <f t="shared" si="3"/>
        <v>-6.5648953429281862</v>
      </c>
      <c r="L15" s="27">
        <v>527</v>
      </c>
      <c r="M15" s="31">
        <f t="shared" si="6"/>
        <v>0.50853889943074004</v>
      </c>
      <c r="N15" s="27">
        <v>41</v>
      </c>
      <c r="O15" s="32">
        <f t="shared" ref="O15:P15" si="23">D15/7</f>
        <v>38.285714285714285</v>
      </c>
      <c r="P15" s="32">
        <f t="shared" si="23"/>
        <v>1.2857142857142858</v>
      </c>
      <c r="Q15" s="27">
        <f t="shared" si="8"/>
        <v>1</v>
      </c>
      <c r="R15" s="27"/>
      <c r="S15" s="33">
        <v>0.95253955037468696</v>
      </c>
      <c r="T15" s="26">
        <v>308</v>
      </c>
      <c r="U15" s="34">
        <v>7</v>
      </c>
      <c r="V15" s="35" t="s">
        <v>952</v>
      </c>
      <c r="W15" s="26">
        <v>18</v>
      </c>
      <c r="X15" s="36">
        <f t="shared" si="9"/>
        <v>6.7164179104477612E-2</v>
      </c>
      <c r="Y15" s="37">
        <f t="shared" si="10"/>
        <v>2.2783333333333329</v>
      </c>
      <c r="Z15" s="26">
        <v>0</v>
      </c>
      <c r="AA15" s="26" t="s">
        <v>37</v>
      </c>
      <c r="AB15" s="38">
        <f t="shared" si="11"/>
        <v>-0.69</v>
      </c>
      <c r="AC15" s="39">
        <v>0.21690277777777781</v>
      </c>
      <c r="AD15" s="37">
        <f t="shared" si="12"/>
        <v>-80.219323333333335</v>
      </c>
      <c r="AE15" s="37">
        <v>-6.94</v>
      </c>
      <c r="AF15" s="37">
        <v>-9.3006142857142802</v>
      </c>
      <c r="AG15" s="37">
        <v>0</v>
      </c>
    </row>
    <row r="16" spans="1:33" ht="15.75" customHeight="1" x14ac:dyDescent="0.2">
      <c r="A16" s="26" t="s">
        <v>60</v>
      </c>
      <c r="B16" s="26" t="s">
        <v>954</v>
      </c>
      <c r="C16" s="14">
        <f t="shared" si="4"/>
        <v>11.96</v>
      </c>
      <c r="D16" s="27">
        <v>1</v>
      </c>
      <c r="E16" s="27">
        <v>0</v>
      </c>
      <c r="F16" s="30">
        <v>11.96</v>
      </c>
      <c r="G16" s="28">
        <v>0</v>
      </c>
      <c r="H16" s="29">
        <f t="shared" si="1"/>
        <v>0</v>
      </c>
      <c r="I16" s="29">
        <f t="shared" si="2"/>
        <v>-0.53293813704411486</v>
      </c>
      <c r="J16" s="30">
        <f t="shared" si="5"/>
        <v>-6.3739401190476137</v>
      </c>
      <c r="K16" s="30">
        <f t="shared" si="3"/>
        <v>-6.3739401190476137</v>
      </c>
      <c r="L16" s="27">
        <v>7</v>
      </c>
      <c r="M16" s="31">
        <f t="shared" si="6"/>
        <v>0.14285714285714285</v>
      </c>
      <c r="N16" s="27">
        <v>0</v>
      </c>
      <c r="O16" s="32">
        <f t="shared" ref="O16:P16" si="24">D16/7</f>
        <v>0.14285714285714285</v>
      </c>
      <c r="P16" s="32">
        <f t="shared" si="24"/>
        <v>0</v>
      </c>
      <c r="Q16" s="27">
        <f t="shared" si="8"/>
        <v>0</v>
      </c>
      <c r="R16" s="27"/>
      <c r="S16" s="33" t="e">
        <v>#N/A</v>
      </c>
      <c r="T16" s="26">
        <v>308</v>
      </c>
      <c r="U16" s="34" t="s">
        <v>34</v>
      </c>
      <c r="V16" s="35" t="s">
        <v>955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0.21690277777777781</v>
      </c>
      <c r="AD16" s="37">
        <f t="shared" si="12"/>
        <v>-0.29932583333333335</v>
      </c>
      <c r="AE16" s="37">
        <v>-6.94</v>
      </c>
      <c r="AF16" s="37">
        <v>-9.3006142857142802</v>
      </c>
      <c r="AG16" s="37">
        <v>0</v>
      </c>
    </row>
    <row r="17" spans="1:33" ht="15.75" customHeight="1" x14ac:dyDescent="0.2">
      <c r="A17" s="26" t="s">
        <v>61</v>
      </c>
      <c r="B17" s="26" t="s">
        <v>954</v>
      </c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308</v>
      </c>
      <c r="U17" s="34" t="s">
        <v>34</v>
      </c>
      <c r="V17" s="35" t="s">
        <v>955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0.21690277777777781</v>
      </c>
      <c r="AD17" s="37">
        <f t="shared" si="12"/>
        <v>0</v>
      </c>
      <c r="AE17" s="37">
        <v>-6.94</v>
      </c>
      <c r="AF17" s="37">
        <v>-9.3006142857142802</v>
      </c>
      <c r="AG17" s="37">
        <v>0</v>
      </c>
    </row>
    <row r="18" spans="1:33" ht="15.75" customHeight="1" x14ac:dyDescent="0.2">
      <c r="A18" s="26" t="s">
        <v>62</v>
      </c>
      <c r="B18" s="26" t="s">
        <v>954</v>
      </c>
      <c r="C18" s="14">
        <f t="shared" si="4"/>
        <v>18.989999999999998</v>
      </c>
      <c r="D18" s="27">
        <v>1</v>
      </c>
      <c r="E18" s="27">
        <v>0</v>
      </c>
      <c r="F18" s="30">
        <v>18.989999999999998</v>
      </c>
      <c r="G18" s="28">
        <v>0</v>
      </c>
      <c r="H18" s="29">
        <f t="shared" si="1"/>
        <v>0</v>
      </c>
      <c r="I18" s="29">
        <f t="shared" si="2"/>
        <v>-2.0981575515935592E-2</v>
      </c>
      <c r="J18" s="30">
        <f t="shared" si="5"/>
        <v>-0.39844011904761684</v>
      </c>
      <c r="K18" s="30">
        <f t="shared" si="3"/>
        <v>-0.39844011904761684</v>
      </c>
      <c r="L18" s="27">
        <v>5</v>
      </c>
      <c r="M18" s="31">
        <f t="shared" si="6"/>
        <v>0.2</v>
      </c>
      <c r="N18" s="27">
        <v>0</v>
      </c>
      <c r="O18" s="32">
        <f t="shared" ref="O18:P18" si="26">D18/7</f>
        <v>0.14285714285714285</v>
      </c>
      <c r="P18" s="32">
        <f t="shared" si="26"/>
        <v>0</v>
      </c>
      <c r="Q18" s="27">
        <f t="shared" si="8"/>
        <v>0</v>
      </c>
      <c r="R18" s="27"/>
      <c r="S18" s="33">
        <v>1.5314960629921199</v>
      </c>
      <c r="T18" s="26">
        <v>308</v>
      </c>
      <c r="U18" s="34" t="s">
        <v>34</v>
      </c>
      <c r="V18" s="35" t="s">
        <v>955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0.21690277777777781</v>
      </c>
      <c r="AD18" s="37">
        <f t="shared" si="12"/>
        <v>-0.29932583333333335</v>
      </c>
      <c r="AE18" s="37">
        <v>-6.94</v>
      </c>
      <c r="AF18" s="37">
        <v>-9.3006142857142802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7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301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e">
        <v>#N/A</v>
      </c>
      <c r="AB19" s="38" t="e">
        <f t="shared" si="11"/>
        <v>#N/A</v>
      </c>
      <c r="AC19" s="39" t="e">
        <v>#N/A</v>
      </c>
      <c r="AD19" s="37">
        <f t="shared" si="12"/>
        <v>0</v>
      </c>
      <c r="AE19" s="37">
        <v>0</v>
      </c>
      <c r="AF19" s="37">
        <v>-9.3006142857142855</v>
      </c>
      <c r="AG19" s="37">
        <v>0</v>
      </c>
    </row>
    <row r="20" spans="1:33" ht="15.75" customHeight="1" x14ac:dyDescent="0.2">
      <c r="A20" s="26" t="s">
        <v>65</v>
      </c>
      <c r="B20" s="26" t="s">
        <v>954</v>
      </c>
      <c r="C20" s="14">
        <f t="shared" si="4"/>
        <v>18.989999999999998</v>
      </c>
      <c r="D20" s="27">
        <v>2</v>
      </c>
      <c r="E20" s="27">
        <v>1</v>
      </c>
      <c r="F20" s="30">
        <v>37.979999999999997</v>
      </c>
      <c r="G20" s="28">
        <v>0</v>
      </c>
      <c r="H20" s="29">
        <f t="shared" si="1"/>
        <v>0</v>
      </c>
      <c r="I20" s="29">
        <f t="shared" si="2"/>
        <v>-2.0981575515935873E-2</v>
      </c>
      <c r="J20" s="30">
        <f t="shared" si="5"/>
        <v>-0.79688023809524433</v>
      </c>
      <c r="K20" s="30">
        <f t="shared" si="3"/>
        <v>-0.39844011904762217</v>
      </c>
      <c r="L20" s="27">
        <v>16</v>
      </c>
      <c r="M20" s="31">
        <f t="shared" si="6"/>
        <v>0.125</v>
      </c>
      <c r="N20" s="27">
        <v>5</v>
      </c>
      <c r="O20" s="32">
        <f t="shared" ref="O20:P20" si="28">D20/7</f>
        <v>0.2857142857142857</v>
      </c>
      <c r="P20" s="32">
        <f t="shared" si="28"/>
        <v>0.14285714285714285</v>
      </c>
      <c r="Q20" s="27">
        <f t="shared" si="8"/>
        <v>11</v>
      </c>
      <c r="R20" s="27"/>
      <c r="S20" s="33">
        <v>2.0648801128349699</v>
      </c>
      <c r="T20" s="26">
        <v>602</v>
      </c>
      <c r="U20" s="34" t="s">
        <v>34</v>
      </c>
      <c r="V20" s="35" t="s">
        <v>956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0.21690277777777781</v>
      </c>
      <c r="AD20" s="37">
        <f t="shared" si="12"/>
        <v>-0.59865166666666669</v>
      </c>
      <c r="AE20" s="37">
        <v>-6.94</v>
      </c>
      <c r="AF20" s="37">
        <v>-9.3006142857142855</v>
      </c>
      <c r="AG20" s="37">
        <v>0</v>
      </c>
    </row>
    <row r="21" spans="1:33" ht="15.75" customHeight="1" x14ac:dyDescent="0.2">
      <c r="A21" s="26" t="s">
        <v>66</v>
      </c>
      <c r="B21" s="26" t="s">
        <v>957</v>
      </c>
      <c r="C21" s="14">
        <f t="shared" si="4"/>
        <v>18.989999999999998</v>
      </c>
      <c r="D21" s="27">
        <v>2</v>
      </c>
      <c r="E21" s="27">
        <v>0</v>
      </c>
      <c r="F21" s="30">
        <v>37.979999999999997</v>
      </c>
      <c r="G21" s="28">
        <v>0</v>
      </c>
      <c r="H21" s="29">
        <f t="shared" si="1"/>
        <v>0</v>
      </c>
      <c r="I21" s="29">
        <f t="shared" si="2"/>
        <v>-2.0981575515935873E-2</v>
      </c>
      <c r="J21" s="30">
        <f t="shared" si="5"/>
        <v>-0.79688023809524433</v>
      </c>
      <c r="K21" s="30">
        <f t="shared" si="3"/>
        <v>-0.39844011904762217</v>
      </c>
      <c r="L21" s="27">
        <v>11</v>
      </c>
      <c r="M21" s="31">
        <f t="shared" si="6"/>
        <v>0.18181818181818182</v>
      </c>
      <c r="N21" s="27">
        <v>4</v>
      </c>
      <c r="O21" s="32">
        <f t="shared" ref="O21:P21" si="29">D21/7</f>
        <v>0.2857142857142857</v>
      </c>
      <c r="P21" s="32">
        <f t="shared" si="29"/>
        <v>0</v>
      </c>
      <c r="Q21" s="27">
        <f t="shared" si="8"/>
        <v>14</v>
      </c>
      <c r="R21" s="27"/>
      <c r="S21" s="33">
        <v>2.1272727272727199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0.21690277777777781</v>
      </c>
      <c r="AD21" s="37">
        <f t="shared" si="12"/>
        <v>-0.59865166666666669</v>
      </c>
      <c r="AE21" s="37">
        <v>-6.94</v>
      </c>
      <c r="AF21" s="37">
        <v>-9.3006142857142855</v>
      </c>
      <c r="AG21" s="37">
        <v>0</v>
      </c>
    </row>
    <row r="22" spans="1:33" ht="15.75" customHeight="1" x14ac:dyDescent="0.2">
      <c r="A22" s="26" t="s">
        <v>67</v>
      </c>
      <c r="B22" s="26" t="s">
        <v>954</v>
      </c>
      <c r="C22" s="14">
        <f t="shared" si="4"/>
        <v>18.989999999999998</v>
      </c>
      <c r="D22" s="27">
        <v>4</v>
      </c>
      <c r="E22" s="27">
        <v>0</v>
      </c>
      <c r="F22" s="28">
        <v>75.959999999999994</v>
      </c>
      <c r="G22" s="28">
        <v>0</v>
      </c>
      <c r="H22" s="29">
        <f t="shared" si="1"/>
        <v>0</v>
      </c>
      <c r="I22" s="29">
        <f t="shared" si="2"/>
        <v>-2.0981575515935873E-2</v>
      </c>
      <c r="J22" s="30">
        <f t="shared" si="5"/>
        <v>-1.5937604761904887</v>
      </c>
      <c r="K22" s="30">
        <f t="shared" si="3"/>
        <v>-0.39844011904762217</v>
      </c>
      <c r="L22" s="27">
        <v>13</v>
      </c>
      <c r="M22" s="31">
        <f t="shared" si="6"/>
        <v>0.30769230769230771</v>
      </c>
      <c r="N22" s="27">
        <v>0</v>
      </c>
      <c r="O22" s="32">
        <f t="shared" ref="O22:P22" si="30">D22/7</f>
        <v>0.5714285714285714</v>
      </c>
      <c r="P22" s="32">
        <f t="shared" si="30"/>
        <v>0</v>
      </c>
      <c r="Q22" s="27">
        <f t="shared" si="8"/>
        <v>0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0.21690277777777781</v>
      </c>
      <c r="AD22" s="37">
        <f t="shared" si="12"/>
        <v>-1.1973033333333334</v>
      </c>
      <c r="AE22" s="37">
        <v>-6.94</v>
      </c>
      <c r="AF22" s="37">
        <v>-9.3006142857142855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602</v>
      </c>
      <c r="U23" s="34">
        <v>301</v>
      </c>
      <c r="V23" s="35" t="s">
        <v>958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0.21690277777777781</v>
      </c>
      <c r="AD23" s="37">
        <f t="shared" si="12"/>
        <v>0</v>
      </c>
      <c r="AE23" s="37">
        <v>-6.94</v>
      </c>
      <c r="AF23" s="37">
        <v>-9.3006142857142855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602</v>
      </c>
      <c r="U24" s="34">
        <v>301</v>
      </c>
      <c r="V24" s="35" t="s">
        <v>959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0.21690277777777781</v>
      </c>
      <c r="AD24" s="37">
        <f t="shared" si="12"/>
        <v>0</v>
      </c>
      <c r="AE24" s="37">
        <v>-6.94</v>
      </c>
      <c r="AF24" s="37">
        <v>-9.3006142857142855</v>
      </c>
      <c r="AG24" s="37">
        <v>0</v>
      </c>
    </row>
    <row r="25" spans="1:33" ht="15.75" customHeight="1" x14ac:dyDescent="0.2">
      <c r="A25" s="40" t="s">
        <v>73</v>
      </c>
      <c r="B25" s="40"/>
      <c r="C25" s="14">
        <f t="shared" si="4"/>
        <v>18.989999999999998</v>
      </c>
      <c r="D25" s="15">
        <v>1</v>
      </c>
      <c r="E25" s="15">
        <v>0</v>
      </c>
      <c r="F25" s="16">
        <v>18.989999999999998</v>
      </c>
      <c r="G25" s="16">
        <v>0</v>
      </c>
      <c r="H25" s="29">
        <f t="shared" si="1"/>
        <v>0</v>
      </c>
      <c r="I25" s="29">
        <f t="shared" si="2"/>
        <v>-2.0949227663682856E-2</v>
      </c>
      <c r="J25" s="30">
        <f t="shared" si="5"/>
        <v>-0.39782583333333738</v>
      </c>
      <c r="K25" s="30">
        <f t="shared" si="3"/>
        <v>-0.39782583333333738</v>
      </c>
      <c r="L25" s="15">
        <v>2</v>
      </c>
      <c r="M25" s="31">
        <f t="shared" si="6"/>
        <v>0.5</v>
      </c>
      <c r="N25" s="15">
        <v>0</v>
      </c>
      <c r="O25" s="32">
        <f t="shared" ref="O25:P25" si="33">D25/7</f>
        <v>0.14285714285714285</v>
      </c>
      <c r="P25" s="32">
        <f t="shared" si="33"/>
        <v>0</v>
      </c>
      <c r="Q25" s="27">
        <f t="shared" si="8"/>
        <v>0</v>
      </c>
      <c r="R25" s="27"/>
      <c r="S25" s="41">
        <v>0</v>
      </c>
      <c r="T25" s="26">
        <v>602</v>
      </c>
      <c r="U25" s="34">
        <v>301</v>
      </c>
      <c r="V25" s="35" t="s">
        <v>960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0.21690277777777781</v>
      </c>
      <c r="AD25" s="37">
        <f t="shared" si="12"/>
        <v>-0.29932583333333335</v>
      </c>
      <c r="AE25" s="42">
        <v>-6.94</v>
      </c>
      <c r="AF25" s="42">
        <v>-9.3000000000000007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18.989999999999998</v>
      </c>
      <c r="D26" s="15">
        <v>2</v>
      </c>
      <c r="E26" s="15">
        <v>0</v>
      </c>
      <c r="F26" s="16">
        <v>37.979999999999997</v>
      </c>
      <c r="G26" s="16">
        <v>0</v>
      </c>
      <c r="H26" s="29">
        <f t="shared" si="1"/>
        <v>0</v>
      </c>
      <c r="I26" s="29">
        <f t="shared" si="2"/>
        <v>-2.0242295443715914E-3</v>
      </c>
      <c r="J26" s="30">
        <f t="shared" si="5"/>
        <v>-7.6880238095233033E-2</v>
      </c>
      <c r="K26" s="30">
        <f t="shared" si="3"/>
        <v>-3.8440119047616517E-2</v>
      </c>
      <c r="L26" s="15">
        <v>7</v>
      </c>
      <c r="M26" s="31">
        <f t="shared" si="6"/>
        <v>0.2857142857142857</v>
      </c>
      <c r="N26" s="15">
        <v>1</v>
      </c>
      <c r="O26" s="32">
        <f t="shared" ref="O26:P26" si="34">D26/7</f>
        <v>0.2857142857142857</v>
      </c>
      <c r="P26" s="32">
        <f t="shared" si="34"/>
        <v>0</v>
      </c>
      <c r="Q26" s="27">
        <f t="shared" si="8"/>
        <v>3</v>
      </c>
      <c r="R26" s="27"/>
      <c r="S26" s="41">
        <v>3.9739413680781759</v>
      </c>
      <c r="T26" s="26">
        <v>602</v>
      </c>
      <c r="U26" s="34">
        <v>301</v>
      </c>
      <c r="V26" s="35" t="s">
        <v>961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0.21690277777777781</v>
      </c>
      <c r="AD26" s="37">
        <f t="shared" si="12"/>
        <v>-0.59865166666666669</v>
      </c>
      <c r="AE26" s="42">
        <v>-6.58</v>
      </c>
      <c r="AF26" s="42">
        <v>-9.3006142857142802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0.21690277777777781</v>
      </c>
      <c r="AD27" s="37">
        <f t="shared" si="12"/>
        <v>0</v>
      </c>
      <c r="AE27" s="42">
        <v>-6.58</v>
      </c>
      <c r="AF27" s="42">
        <v>-9.3006142857142802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304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1.1362586605080831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0.21690277777777781</v>
      </c>
      <c r="AD28" s="37">
        <f t="shared" si="12"/>
        <v>0</v>
      </c>
      <c r="AE28" s="42">
        <v>-6.58</v>
      </c>
      <c r="AF28" s="42">
        <v>-9.3006142857142802</v>
      </c>
      <c r="AG28" s="42">
        <v>0</v>
      </c>
    </row>
    <row r="29" spans="1:33" ht="15.75" customHeight="1" x14ac:dyDescent="0.2">
      <c r="A29" s="26" t="s">
        <v>82</v>
      </c>
      <c r="B29" s="40" t="s">
        <v>710</v>
      </c>
      <c r="C29" s="14">
        <f t="shared" si="4"/>
        <v>18.489999999999998</v>
      </c>
      <c r="D29" s="27">
        <v>2</v>
      </c>
      <c r="E29" s="27">
        <v>2</v>
      </c>
      <c r="F29" s="30">
        <v>36.979999999999997</v>
      </c>
      <c r="G29" s="30">
        <v>-0.15</v>
      </c>
      <c r="H29" s="29">
        <f t="shared" si="1"/>
        <v>4.0562466197944834E-3</v>
      </c>
      <c r="I29" s="29">
        <f t="shared" si="2"/>
        <v>-2.9120612171315022E-2</v>
      </c>
      <c r="J29" s="30">
        <f t="shared" si="5"/>
        <v>-1.0768802380952294</v>
      </c>
      <c r="K29" s="30">
        <f t="shared" si="3"/>
        <v>-0.53844011904761468</v>
      </c>
      <c r="L29" s="27">
        <v>12</v>
      </c>
      <c r="M29" s="31">
        <f t="shared" si="6"/>
        <v>0.16666666666666666</v>
      </c>
      <c r="N29" s="15">
        <v>301</v>
      </c>
      <c r="O29" s="32">
        <f t="shared" ref="O29:P29" si="37">D29/7</f>
        <v>0.2857142857142857</v>
      </c>
      <c r="P29" s="32">
        <f t="shared" si="37"/>
        <v>0.2857142857142857</v>
      </c>
      <c r="Q29" s="27">
        <f t="shared" si="8"/>
        <v>526</v>
      </c>
      <c r="R29" s="27"/>
      <c r="S29" s="41">
        <v>0.19047619047619049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0.21690277777777781</v>
      </c>
      <c r="AD29" s="37">
        <f t="shared" si="12"/>
        <v>-0.59865166666666669</v>
      </c>
      <c r="AE29" s="37">
        <v>-6.58</v>
      </c>
      <c r="AF29" s="42">
        <v>-9.3006142857142802</v>
      </c>
      <c r="AG29" s="37">
        <v>0</v>
      </c>
    </row>
    <row r="30" spans="1:33" ht="15.75" customHeight="1" x14ac:dyDescent="0.2">
      <c r="A30" s="40" t="s">
        <v>84</v>
      </c>
      <c r="B30" s="40" t="s">
        <v>962</v>
      </c>
      <c r="C30" s="14">
        <f t="shared" si="4"/>
        <v>17.989999999999998</v>
      </c>
      <c r="D30" s="15">
        <v>2</v>
      </c>
      <c r="E30" s="15">
        <v>4</v>
      </c>
      <c r="F30" s="16">
        <v>35.979999999999997</v>
      </c>
      <c r="G30" s="16">
        <v>0</v>
      </c>
      <c r="H30" s="29">
        <f t="shared" si="1"/>
        <v>0</v>
      </c>
      <c r="I30" s="29">
        <f t="shared" si="2"/>
        <v>-2.7518305771725149E-2</v>
      </c>
      <c r="J30" s="30">
        <f t="shared" si="5"/>
        <v>-0.99010864166667079</v>
      </c>
      <c r="K30" s="30">
        <f t="shared" si="3"/>
        <v>-0.49505432083333539</v>
      </c>
      <c r="L30" s="15">
        <v>20</v>
      </c>
      <c r="M30" s="31">
        <f t="shared" si="6"/>
        <v>0.1</v>
      </c>
      <c r="N30" s="15">
        <v>287</v>
      </c>
      <c r="O30" s="32">
        <f t="shared" ref="O30:P30" si="38">D30/7</f>
        <v>0.2857142857142857</v>
      </c>
      <c r="P30" s="32">
        <f t="shared" si="38"/>
        <v>0.5714285714285714</v>
      </c>
      <c r="Q30" s="27">
        <f t="shared" si="8"/>
        <v>334</v>
      </c>
      <c r="R30" s="27"/>
      <c r="S30" s="41">
        <v>0.23376623376623379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0.21690277777777781</v>
      </c>
      <c r="AD30" s="37">
        <f t="shared" si="12"/>
        <v>-0.59865166666666669</v>
      </c>
      <c r="AE30" s="42">
        <v>-6.58</v>
      </c>
      <c r="AF30" s="42">
        <v>-8.9072284874999994</v>
      </c>
      <c r="AG30" s="42">
        <v>0</v>
      </c>
    </row>
    <row r="31" spans="1:33" ht="15.75" customHeight="1" x14ac:dyDescent="0.2">
      <c r="A31" s="40" t="s">
        <v>87</v>
      </c>
      <c r="B31" s="40" t="s">
        <v>963</v>
      </c>
      <c r="C31" s="14" t="str">
        <f t="shared" si="4"/>
        <v xml:space="preserve"> - </v>
      </c>
      <c r="D31" s="15">
        <v>0</v>
      </c>
      <c r="E31" s="15">
        <v>1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293</v>
      </c>
      <c r="O31" s="32">
        <f t="shared" ref="O31:P31" si="39">D31/7</f>
        <v>0</v>
      </c>
      <c r="P31" s="32">
        <f t="shared" si="39"/>
        <v>0.14285714285714285</v>
      </c>
      <c r="Q31" s="27">
        <f t="shared" si="8"/>
        <v>2051</v>
      </c>
      <c r="R31" s="27"/>
      <c r="S31" s="41">
        <v>0.30163934426229499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0.21690277777777781</v>
      </c>
      <c r="AD31" s="37">
        <f t="shared" si="12"/>
        <v>0</v>
      </c>
      <c r="AE31" s="45">
        <v>-6.58</v>
      </c>
      <c r="AF31" s="45">
        <v>-8.9072284874999994</v>
      </c>
      <c r="AG31" s="42">
        <v>0</v>
      </c>
    </row>
    <row r="32" spans="1:33" ht="15.75" customHeight="1" x14ac:dyDescent="0.2">
      <c r="A32" s="40" t="s">
        <v>90</v>
      </c>
      <c r="B32" s="50" t="s">
        <v>964</v>
      </c>
      <c r="C32" s="14">
        <f t="shared" si="4"/>
        <v>17.739999999999998</v>
      </c>
      <c r="D32" s="15">
        <v>4</v>
      </c>
      <c r="E32" s="15">
        <v>1</v>
      </c>
      <c r="F32" s="16">
        <v>70.959999999999994</v>
      </c>
      <c r="G32" s="16">
        <v>0</v>
      </c>
      <c r="H32" s="29">
        <f t="shared" si="1"/>
        <v>0</v>
      </c>
      <c r="I32" s="29">
        <f t="shared" si="2"/>
        <v>-3.9884685503570126E-2</v>
      </c>
      <c r="J32" s="30">
        <f t="shared" si="5"/>
        <v>-2.8302172833333357</v>
      </c>
      <c r="K32" s="30">
        <f t="shared" si="3"/>
        <v>-0.70755432083333392</v>
      </c>
      <c r="L32" s="15">
        <v>21</v>
      </c>
      <c r="M32" s="31">
        <f t="shared" si="6"/>
        <v>0.19047619047619047</v>
      </c>
      <c r="N32" s="15">
        <v>288</v>
      </c>
      <c r="O32" s="32">
        <f t="shared" ref="O32:P32" si="40">D32/7</f>
        <v>0.5714285714285714</v>
      </c>
      <c r="P32" s="32">
        <f t="shared" si="40"/>
        <v>0.14285714285714285</v>
      </c>
      <c r="Q32" s="27">
        <f t="shared" si="8"/>
        <v>403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0.1693811074918567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0.21690277777777781</v>
      </c>
      <c r="AD32" s="37">
        <f t="shared" si="12"/>
        <v>-1.1973033333333334</v>
      </c>
      <c r="AE32" s="42">
        <v>-6.58</v>
      </c>
      <c r="AF32" s="42">
        <v>-8.9072284874999994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6.1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Info!B1:BJ5000""),3,FALSE),"""")"),"Dual Adjustable Metal Computer Monitor Stands - Perfect for Monitors, Laptop, Desktop &amp; More")</f>
        <v>Dual Adjustable Metal Computer Monitor Stands - Perfect for Monitors, Laptop, Desktop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Info!B1:BJ5000""),2,FALSE),"""")"),"B07C8NMW3N")</f>
        <v>B07C8NMW3N</v>
      </c>
      <c r="B2" s="3" t="s">
        <v>965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69.5" customHeight="1" x14ac:dyDescent="0.2">
      <c r="A3" s="68" t="s">
        <v>31</v>
      </c>
      <c r="B3" s="69"/>
      <c r="C3" s="48">
        <f>((AE32+AF32)/0.85)*-1</f>
        <v>17.818503191176472</v>
      </c>
      <c r="D3" s="5">
        <f>SUM(D4:D99767)</f>
        <v>277</v>
      </c>
      <c r="E3" s="5"/>
      <c r="F3" s="6">
        <f t="shared" ref="F3:G3" si="0">SUM(F4:F99767)</f>
        <v>6890.7899999999991</v>
      </c>
      <c r="G3" s="6">
        <f t="shared" si="0"/>
        <v>-0.49000000000000005</v>
      </c>
      <c r="H3" s="7">
        <f t="shared" ref="H3:H32" si="1">G3/F3*-1</f>
        <v>7.1109408355210377E-5</v>
      </c>
      <c r="I3" s="8">
        <f t="shared" ref="I3:I32" si="2">J3/F3</f>
        <v>0.22008750769457389</v>
      </c>
      <c r="J3" s="6">
        <f>SUM(J4:J99767)</f>
        <v>1516.5767971466926</v>
      </c>
      <c r="K3" s="6">
        <f t="shared" ref="K3:K32" si="3">J3/D3</f>
        <v>5.4750064878941966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Sheet!a1:g5000""),2,FALSE),"""")"),"2.0 - March
2.0 - April
2.0 - May
2.0 - June
2.0 - July
2.0 - Aug
2.0 - Sept
2.0 - Oct
2.0 - Nov
2.0 - Dec
2.0 - Jan
2.0 - Feb")</f>
        <v>2.0 - March
2.0 - April
2.0 - May
2.0 - June
2.0 - July
2.0 - Aug
2.0 - Sept
2.0 - Oct
2.0 - Nov
2.0 - Dec
2.0 - Jan
2.0 -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QTY-658")</f>
        <v>US QTY-658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-63.574102752346469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Info!B2:BZ3000""),37,FALSE)),"""")*-1"),-8.5657277125)</f>
        <v>-8.5657277124999993</v>
      </c>
      <c r="AG3" s="6">
        <f>SUM(AG4:AG99767)</f>
        <v>-6</v>
      </c>
    </row>
    <row r="4" spans="1:33" x14ac:dyDescent="0.2">
      <c r="A4" s="1" t="s">
        <v>32</v>
      </c>
      <c r="B4" s="2" t="s">
        <v>966</v>
      </c>
      <c r="C4" s="14">
        <f t="shared" ref="C4:C32" si="4">IFERROR(F4/D4," - ")</f>
        <v>25.030714285714289</v>
      </c>
      <c r="D4" s="15">
        <v>28</v>
      </c>
      <c r="E4" s="15">
        <v>0</v>
      </c>
      <c r="F4" s="16">
        <v>700.86000000000013</v>
      </c>
      <c r="G4" s="16">
        <v>0</v>
      </c>
      <c r="H4" s="17">
        <f t="shared" si="1"/>
        <v>0</v>
      </c>
      <c r="I4" s="17">
        <f t="shared" si="2"/>
        <v>0.23298660554371436</v>
      </c>
      <c r="J4" s="16">
        <f t="shared" ref="J4:J32" si="5">F4*0.85+G4+AF4*D4+D4*AE4+AG4+AD4</f>
        <v>163.29099236136767</v>
      </c>
      <c r="K4" s="16">
        <f t="shared" si="3"/>
        <v>5.831821155763131</v>
      </c>
      <c r="L4" s="15">
        <v>91</v>
      </c>
      <c r="M4" s="18">
        <f t="shared" ref="M4:M32" si="6">IFERROR(D4/L4,"-")</f>
        <v>0.30769230769230771</v>
      </c>
      <c r="N4" s="15">
        <v>203</v>
      </c>
      <c r="O4" s="19">
        <f t="shared" ref="O4:P4" si="7">D4/7</f>
        <v>4</v>
      </c>
      <c r="P4" s="19">
        <f t="shared" si="7"/>
        <v>0</v>
      </c>
      <c r="Q4" s="15">
        <f t="shared" ref="Q4:Q32" si="8">ROUNDDOWN(N4/(O4+P4),0)</f>
        <v>50</v>
      </c>
      <c r="R4" s="15"/>
      <c r="S4" s="20">
        <v>1.59139784946236</v>
      </c>
      <c r="T4" s="2" t="s">
        <v>34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0.16581946296296296</v>
      </c>
      <c r="AD4" s="24">
        <f t="shared" ref="AD4:AD32" si="12">IFERROR(AB4*AC4*D4*2,0)</f>
        <v>-6.407264048888889</v>
      </c>
      <c r="AE4" s="24">
        <v>-6.56</v>
      </c>
      <c r="AF4" s="24">
        <v>-8.6554551282051282</v>
      </c>
      <c r="AG4" s="24">
        <v>0</v>
      </c>
    </row>
    <row r="5" spans="1:33" ht="15.75" customHeight="1" x14ac:dyDescent="0.2">
      <c r="A5" s="26" t="s">
        <v>35</v>
      </c>
      <c r="B5" s="26" t="s">
        <v>966</v>
      </c>
      <c r="C5" s="14">
        <f t="shared" si="4"/>
        <v>25.00888888888889</v>
      </c>
      <c r="D5" s="27">
        <v>36</v>
      </c>
      <c r="E5" s="27">
        <v>0</v>
      </c>
      <c r="F5" s="28">
        <v>900.32</v>
      </c>
      <c r="G5" s="28">
        <v>0</v>
      </c>
      <c r="H5" s="29">
        <f t="shared" si="1"/>
        <v>0</v>
      </c>
      <c r="I5" s="29">
        <f t="shared" si="2"/>
        <v>0.23243753198559283</v>
      </c>
      <c r="J5" s="30">
        <f t="shared" si="5"/>
        <v>209.26815879726894</v>
      </c>
      <c r="K5" s="30">
        <f t="shared" si="3"/>
        <v>5.8130044110352479</v>
      </c>
      <c r="L5" s="27">
        <v>139</v>
      </c>
      <c r="M5" s="31">
        <f t="shared" si="6"/>
        <v>0.25899280575539568</v>
      </c>
      <c r="N5" s="27">
        <v>156</v>
      </c>
      <c r="O5" s="32">
        <f t="shared" ref="O5:P5" si="13">D5/7</f>
        <v>5.1428571428571432</v>
      </c>
      <c r="P5" s="32">
        <f t="shared" si="13"/>
        <v>0</v>
      </c>
      <c r="Q5" s="27">
        <f t="shared" si="8"/>
        <v>30</v>
      </c>
      <c r="R5" s="27"/>
      <c r="S5" s="33">
        <v>1.5089514066496099</v>
      </c>
      <c r="T5" s="26" t="s">
        <v>34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0.16601160602549245</v>
      </c>
      <c r="AD5" s="37">
        <f t="shared" si="12"/>
        <v>-8.2474565873464645</v>
      </c>
      <c r="AE5" s="37">
        <v>-6.56</v>
      </c>
      <c r="AF5" s="37">
        <v>-8.6554551282051282</v>
      </c>
      <c r="AG5" s="37">
        <v>0</v>
      </c>
    </row>
    <row r="6" spans="1:33" ht="15.75" customHeight="1" x14ac:dyDescent="0.2">
      <c r="A6" s="26" t="s">
        <v>38</v>
      </c>
      <c r="B6" s="26" t="s">
        <v>967</v>
      </c>
      <c r="C6" s="14">
        <f t="shared" si="4"/>
        <v>24.990000000000002</v>
      </c>
      <c r="D6" s="27">
        <v>13</v>
      </c>
      <c r="E6" s="27">
        <v>0</v>
      </c>
      <c r="F6" s="28">
        <v>324.87</v>
      </c>
      <c r="G6" s="28">
        <v>0</v>
      </c>
      <c r="H6" s="29">
        <f t="shared" si="1"/>
        <v>0</v>
      </c>
      <c r="I6" s="29">
        <f t="shared" si="2"/>
        <v>0.23198135305746229</v>
      </c>
      <c r="J6" s="30">
        <f t="shared" si="5"/>
        <v>75.363782167777771</v>
      </c>
      <c r="K6" s="30">
        <f t="shared" si="3"/>
        <v>5.7972140129059824</v>
      </c>
      <c r="L6" s="27">
        <v>110</v>
      </c>
      <c r="M6" s="31">
        <f t="shared" si="6"/>
        <v>0.11818181818181818</v>
      </c>
      <c r="N6" s="27">
        <v>147</v>
      </c>
      <c r="O6" s="32">
        <f t="shared" ref="O6:P6" si="14">D6/7</f>
        <v>1.8571428571428572</v>
      </c>
      <c r="P6" s="32">
        <f t="shared" si="14"/>
        <v>0</v>
      </c>
      <c r="Q6" s="27">
        <f t="shared" si="8"/>
        <v>79</v>
      </c>
      <c r="R6" s="27"/>
      <c r="S6" s="33">
        <v>1.43564356435643</v>
      </c>
      <c r="T6" s="26">
        <v>903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0.16581946296296296</v>
      </c>
      <c r="AD6" s="37">
        <f t="shared" si="12"/>
        <v>-2.9748011655555553</v>
      </c>
      <c r="AE6" s="37">
        <v>-6.56</v>
      </c>
      <c r="AF6" s="37">
        <v>-8.6554551282051282</v>
      </c>
      <c r="AG6" s="37">
        <v>0</v>
      </c>
    </row>
    <row r="7" spans="1:33" ht="15.75" customHeight="1" x14ac:dyDescent="0.2">
      <c r="A7" s="26" t="s">
        <v>41</v>
      </c>
      <c r="B7" s="26" t="s">
        <v>968</v>
      </c>
      <c r="C7" s="14">
        <f t="shared" si="4"/>
        <v>24.990000000000006</v>
      </c>
      <c r="D7" s="27">
        <v>15</v>
      </c>
      <c r="E7" s="27">
        <v>0</v>
      </c>
      <c r="F7" s="28">
        <v>374.85000000000008</v>
      </c>
      <c r="G7" s="28">
        <v>0</v>
      </c>
      <c r="H7" s="29">
        <f t="shared" si="1"/>
        <v>0</v>
      </c>
      <c r="I7" s="29">
        <f t="shared" si="2"/>
        <v>0.215974950496438</v>
      </c>
      <c r="J7" s="30">
        <f t="shared" si="5"/>
        <v>80.958210193589807</v>
      </c>
      <c r="K7" s="30">
        <f t="shared" si="3"/>
        <v>5.3972140129059873</v>
      </c>
      <c r="L7" s="27">
        <v>105</v>
      </c>
      <c r="M7" s="31">
        <f t="shared" si="6"/>
        <v>0.14285714285714285</v>
      </c>
      <c r="N7" s="27">
        <v>126</v>
      </c>
      <c r="O7" s="32">
        <f t="shared" ref="O7:P7" si="15">D7/7</f>
        <v>2.1428571428571428</v>
      </c>
      <c r="P7" s="32">
        <f t="shared" si="15"/>
        <v>0</v>
      </c>
      <c r="Q7" s="27">
        <f t="shared" si="8"/>
        <v>58</v>
      </c>
      <c r="R7" s="27"/>
      <c r="S7" s="33">
        <v>1.56840620592383</v>
      </c>
      <c r="T7" s="26">
        <v>1803</v>
      </c>
      <c r="U7" s="34">
        <v>900</v>
      </c>
      <c r="V7" s="49" t="s">
        <v>969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0.16581946296296296</v>
      </c>
      <c r="AD7" s="37">
        <f t="shared" si="12"/>
        <v>-3.4324628833333333</v>
      </c>
      <c r="AE7" s="37">
        <v>-6.56</v>
      </c>
      <c r="AF7" s="37">
        <v>-8.6554551282051282</v>
      </c>
      <c r="AG7" s="37">
        <v>-6</v>
      </c>
    </row>
    <row r="8" spans="1:33" ht="15.75" customHeight="1" x14ac:dyDescent="0.2">
      <c r="A8" s="26" t="s">
        <v>43</v>
      </c>
      <c r="B8" s="26" t="s">
        <v>970</v>
      </c>
      <c r="C8" s="14">
        <f t="shared" si="4"/>
        <v>24.928125000000001</v>
      </c>
      <c r="D8" s="27">
        <v>16</v>
      </c>
      <c r="E8" s="27">
        <v>0</v>
      </c>
      <c r="F8" s="28">
        <v>398.85</v>
      </c>
      <c r="G8" s="28">
        <v>0</v>
      </c>
      <c r="H8" s="29">
        <f t="shared" si="1"/>
        <v>0</v>
      </c>
      <c r="I8" s="29">
        <f t="shared" si="2"/>
        <v>0.23026502759879106</v>
      </c>
      <c r="J8" s="30">
        <f t="shared" si="5"/>
        <v>91.841206257777813</v>
      </c>
      <c r="K8" s="30">
        <f t="shared" si="3"/>
        <v>5.7400753911111133</v>
      </c>
      <c r="L8" s="27">
        <v>63</v>
      </c>
      <c r="M8" s="31">
        <f t="shared" si="6"/>
        <v>0.25396825396825395</v>
      </c>
      <c r="N8" s="27">
        <v>113</v>
      </c>
      <c r="O8" s="32">
        <f t="shared" ref="O8:P8" si="16">D8/7</f>
        <v>2.2857142857142856</v>
      </c>
      <c r="P8" s="32">
        <f t="shared" si="16"/>
        <v>0</v>
      </c>
      <c r="Q8" s="27">
        <f t="shared" si="8"/>
        <v>49</v>
      </c>
      <c r="R8" s="27"/>
      <c r="S8" s="33">
        <v>1.73202614379084</v>
      </c>
      <c r="T8" s="26">
        <v>1680</v>
      </c>
      <c r="U8" s="34">
        <v>903</v>
      </c>
      <c r="V8" s="35" t="s">
        <v>971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0.16581946296296296</v>
      </c>
      <c r="AD8" s="37">
        <f t="shared" si="12"/>
        <v>-3.661293742222222</v>
      </c>
      <c r="AE8" s="37">
        <v>-6.56</v>
      </c>
      <c r="AF8" s="37">
        <v>-8.66</v>
      </c>
      <c r="AG8" s="37">
        <v>0</v>
      </c>
    </row>
    <row r="9" spans="1:33" ht="15.75" customHeight="1" x14ac:dyDescent="0.2">
      <c r="A9" s="26" t="s">
        <v>45</v>
      </c>
      <c r="B9" s="26" t="s">
        <v>972</v>
      </c>
      <c r="C9" s="14">
        <f t="shared" si="4"/>
        <v>26.615000000000002</v>
      </c>
      <c r="D9" s="27">
        <v>8</v>
      </c>
      <c r="E9" s="27">
        <v>3</v>
      </c>
      <c r="F9" s="28">
        <v>212.92000000000002</v>
      </c>
      <c r="G9" s="28">
        <v>0</v>
      </c>
      <c r="H9" s="29">
        <f t="shared" si="1"/>
        <v>0</v>
      </c>
      <c r="I9" s="29">
        <f t="shared" si="2"/>
        <v>0.26056262518565626</v>
      </c>
      <c r="J9" s="30">
        <f t="shared" si="5"/>
        <v>55.478994154529936</v>
      </c>
      <c r="K9" s="30">
        <f t="shared" si="3"/>
        <v>6.934874269316242</v>
      </c>
      <c r="L9" s="27">
        <v>76</v>
      </c>
      <c r="M9" s="31">
        <f t="shared" si="6"/>
        <v>0.10526315789473684</v>
      </c>
      <c r="N9" s="27">
        <v>100</v>
      </c>
      <c r="O9" s="32">
        <f t="shared" ref="O9:P9" si="17">D9/7</f>
        <v>1.1428571428571428</v>
      </c>
      <c r="P9" s="32">
        <f t="shared" si="17"/>
        <v>0.42857142857142855</v>
      </c>
      <c r="Q9" s="27">
        <f t="shared" si="8"/>
        <v>63</v>
      </c>
      <c r="R9" s="27"/>
      <c r="S9" s="33">
        <v>1.5380116959064301</v>
      </c>
      <c r="T9" s="26">
        <v>1680</v>
      </c>
      <c r="U9" s="34">
        <v>903</v>
      </c>
      <c r="V9" s="35" t="s">
        <v>973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0.16581946296296296</v>
      </c>
      <c r="AD9" s="37">
        <f t="shared" si="12"/>
        <v>-1.830646871111111</v>
      </c>
      <c r="AE9" s="37">
        <v>-6.56</v>
      </c>
      <c r="AF9" s="37">
        <v>-8.8990448717948691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25.65666666666667</v>
      </c>
      <c r="D10" s="27">
        <v>12</v>
      </c>
      <c r="E10" s="27">
        <v>5</v>
      </c>
      <c r="F10" s="28">
        <v>307.88000000000005</v>
      </c>
      <c r="G10" s="28">
        <v>-0.08</v>
      </c>
      <c r="H10" s="29">
        <f t="shared" si="1"/>
        <v>2.5984149668702085E-4</v>
      </c>
      <c r="I10" s="29">
        <f t="shared" si="2"/>
        <v>0.23828599204818421</v>
      </c>
      <c r="J10" s="30">
        <f t="shared" si="5"/>
        <v>73.363491231794967</v>
      </c>
      <c r="K10" s="30">
        <f t="shared" si="3"/>
        <v>6.1136242693162473</v>
      </c>
      <c r="L10" s="27">
        <v>73</v>
      </c>
      <c r="M10" s="31">
        <f t="shared" si="6"/>
        <v>0.16438356164383561</v>
      </c>
      <c r="N10" s="27">
        <v>85</v>
      </c>
      <c r="O10" s="32">
        <f t="shared" ref="O10:P10" si="18">D10/7</f>
        <v>1.7142857142857142</v>
      </c>
      <c r="P10" s="32">
        <f t="shared" si="18"/>
        <v>0.7142857142857143</v>
      </c>
      <c r="Q10" s="27">
        <f t="shared" si="8"/>
        <v>35</v>
      </c>
      <c r="R10" s="27"/>
      <c r="S10" s="33">
        <v>1.7236842105263099</v>
      </c>
      <c r="T10" s="26">
        <v>1680</v>
      </c>
      <c r="U10" s="34">
        <v>903</v>
      </c>
      <c r="V10" s="35" t="s">
        <v>973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0.16581946296296296</v>
      </c>
      <c r="AD10" s="37">
        <f t="shared" si="12"/>
        <v>-2.7459703066666665</v>
      </c>
      <c r="AE10" s="37">
        <v>-6.56</v>
      </c>
      <c r="AF10" s="37">
        <v>-8.8990448717948691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25.490000000000002</v>
      </c>
      <c r="D11" s="27">
        <v>10</v>
      </c>
      <c r="E11" s="27">
        <v>6</v>
      </c>
      <c r="F11" s="28">
        <v>254.90000000000003</v>
      </c>
      <c r="G11" s="28">
        <v>0</v>
      </c>
      <c r="H11" s="29">
        <f t="shared" si="1"/>
        <v>0</v>
      </c>
      <c r="I11" s="29">
        <f t="shared" si="2"/>
        <v>0.23454783324112372</v>
      </c>
      <c r="J11" s="30">
        <f t="shared" si="5"/>
        <v>59.786242693162443</v>
      </c>
      <c r="K11" s="30">
        <f t="shared" si="3"/>
        <v>5.9786242693162439</v>
      </c>
      <c r="L11" s="27">
        <v>53</v>
      </c>
      <c r="M11" s="31">
        <f t="shared" si="6"/>
        <v>0.18867924528301888</v>
      </c>
      <c r="N11" s="27">
        <v>69</v>
      </c>
      <c r="O11" s="32">
        <f t="shared" ref="O11:P11" si="19">D11/7</f>
        <v>1.4285714285714286</v>
      </c>
      <c r="P11" s="32">
        <f t="shared" si="19"/>
        <v>0.8571428571428571</v>
      </c>
      <c r="Q11" s="27">
        <f t="shared" si="8"/>
        <v>30</v>
      </c>
      <c r="R11" s="27"/>
      <c r="S11" s="33">
        <v>1.5849056603773499</v>
      </c>
      <c r="T11" s="26">
        <v>1680</v>
      </c>
      <c r="U11" s="34">
        <v>903</v>
      </c>
      <c r="V11" s="35" t="s">
        <v>974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0.16581946296296296</v>
      </c>
      <c r="AD11" s="37">
        <f t="shared" si="12"/>
        <v>-2.2883085888888886</v>
      </c>
      <c r="AE11" s="37">
        <v>-6.56</v>
      </c>
      <c r="AF11" s="37">
        <v>-8.8990448717948691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25.49</v>
      </c>
      <c r="D12" s="27">
        <v>11</v>
      </c>
      <c r="E12" s="27">
        <v>5</v>
      </c>
      <c r="F12" s="28">
        <v>280.39</v>
      </c>
      <c r="G12" s="28">
        <v>0</v>
      </c>
      <c r="H12" s="29">
        <f t="shared" si="1"/>
        <v>0</v>
      </c>
      <c r="I12" s="29">
        <f t="shared" si="2"/>
        <v>0.23454783324112352</v>
      </c>
      <c r="J12" s="30">
        <f t="shared" si="5"/>
        <v>65.764866962478621</v>
      </c>
      <c r="K12" s="30">
        <f t="shared" si="3"/>
        <v>5.9786242693162386</v>
      </c>
      <c r="L12" s="27">
        <v>84</v>
      </c>
      <c r="M12" s="31">
        <f t="shared" si="6"/>
        <v>0.13095238095238096</v>
      </c>
      <c r="N12" s="27">
        <v>54</v>
      </c>
      <c r="O12" s="32">
        <f t="shared" ref="O12:P12" si="20">D12/7</f>
        <v>1.5714285714285714</v>
      </c>
      <c r="P12" s="32">
        <f t="shared" si="20"/>
        <v>0.7142857142857143</v>
      </c>
      <c r="Q12" s="27">
        <f t="shared" si="8"/>
        <v>23</v>
      </c>
      <c r="R12" s="27"/>
      <c r="S12" s="33">
        <v>1.72934973637961</v>
      </c>
      <c r="T12" s="26">
        <v>1680</v>
      </c>
      <c r="U12" s="34">
        <v>903</v>
      </c>
      <c r="V12" s="35" t="s">
        <v>975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0.16581946296296296</v>
      </c>
      <c r="AD12" s="37">
        <f t="shared" si="12"/>
        <v>-2.5171394477777778</v>
      </c>
      <c r="AE12" s="37">
        <v>-6.56</v>
      </c>
      <c r="AF12" s="37">
        <v>-8.8990448717948691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25.490000000000006</v>
      </c>
      <c r="D13" s="27">
        <v>11</v>
      </c>
      <c r="E13" s="27">
        <v>4</v>
      </c>
      <c r="F13" s="30">
        <v>280.39000000000004</v>
      </c>
      <c r="G13" s="28">
        <v>-0.16</v>
      </c>
      <c r="H13" s="29">
        <f t="shared" si="1"/>
        <v>5.7063376011983304E-4</v>
      </c>
      <c r="I13" s="29">
        <f t="shared" si="2"/>
        <v>0.22894757499276805</v>
      </c>
      <c r="J13" s="30">
        <f t="shared" si="5"/>
        <v>64.194610552222244</v>
      </c>
      <c r="K13" s="30">
        <f t="shared" si="3"/>
        <v>5.8358736865656589</v>
      </c>
      <c r="L13" s="27">
        <v>44</v>
      </c>
      <c r="M13" s="31">
        <f t="shared" si="6"/>
        <v>0.25</v>
      </c>
      <c r="N13" s="27">
        <v>39</v>
      </c>
      <c r="O13" s="32">
        <f t="shared" ref="O13:P13" si="21">D13/7</f>
        <v>1.5714285714285714</v>
      </c>
      <c r="P13" s="32">
        <f t="shared" si="21"/>
        <v>0.5714285714285714</v>
      </c>
      <c r="Q13" s="27">
        <f t="shared" si="8"/>
        <v>18</v>
      </c>
      <c r="R13" s="27"/>
      <c r="S13" s="33">
        <v>1.7861163227016801</v>
      </c>
      <c r="T13" s="26">
        <v>1680</v>
      </c>
      <c r="U13" s="34">
        <v>903</v>
      </c>
      <c r="V13" s="35" t="s">
        <v>976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0.16581946296296296</v>
      </c>
      <c r="AD13" s="37">
        <f t="shared" si="12"/>
        <v>-2.5171394477777778</v>
      </c>
      <c r="AE13" s="37">
        <v>-6.56</v>
      </c>
      <c r="AF13" s="37">
        <v>-9.0272500000000004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25.49</v>
      </c>
      <c r="D14" s="27">
        <v>5</v>
      </c>
      <c r="E14" s="27">
        <v>3</v>
      </c>
      <c r="F14" s="30">
        <v>127.44999999999999</v>
      </c>
      <c r="G14" s="28">
        <v>-7.0000000000000007E-2</v>
      </c>
      <c r="H14" s="29">
        <f t="shared" si="1"/>
        <v>5.4923499411533943E-4</v>
      </c>
      <c r="I14" s="29">
        <f t="shared" si="2"/>
        <v>0.22896897375877243</v>
      </c>
      <c r="J14" s="30">
        <f t="shared" si="5"/>
        <v>29.182095705555543</v>
      </c>
      <c r="K14" s="30">
        <f t="shared" si="3"/>
        <v>5.8364191411111088</v>
      </c>
      <c r="L14" s="27">
        <v>50</v>
      </c>
      <c r="M14" s="31">
        <f t="shared" si="6"/>
        <v>0.1</v>
      </c>
      <c r="N14" s="27">
        <v>32</v>
      </c>
      <c r="O14" s="32">
        <f t="shared" ref="O14:P14" si="22">D14/7</f>
        <v>0.7142857142857143</v>
      </c>
      <c r="P14" s="32">
        <f t="shared" si="22"/>
        <v>0.42857142857142855</v>
      </c>
      <c r="Q14" s="27">
        <f t="shared" si="8"/>
        <v>28</v>
      </c>
      <c r="R14" s="27"/>
      <c r="S14" s="33">
        <v>1.65371024734982</v>
      </c>
      <c r="T14" s="26">
        <v>1680</v>
      </c>
      <c r="U14" s="34">
        <v>903</v>
      </c>
      <c r="V14" s="35" t="s">
        <v>976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0.16581946296296296</v>
      </c>
      <c r="AD14" s="37">
        <f t="shared" si="12"/>
        <v>-1.1441542944444443</v>
      </c>
      <c r="AE14" s="37">
        <v>-6.56</v>
      </c>
      <c r="AF14" s="37">
        <v>-9.0272500000000004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25.49</v>
      </c>
      <c r="D15" s="27">
        <v>6</v>
      </c>
      <c r="E15" s="27">
        <v>3</v>
      </c>
      <c r="F15" s="30">
        <v>152.94</v>
      </c>
      <c r="G15" s="28">
        <v>0</v>
      </c>
      <c r="H15" s="29">
        <f t="shared" si="1"/>
        <v>0</v>
      </c>
      <c r="I15" s="29">
        <f t="shared" si="2"/>
        <v>0.22951820875288784</v>
      </c>
      <c r="J15" s="30">
        <f t="shared" si="5"/>
        <v>35.102514846666665</v>
      </c>
      <c r="K15" s="30">
        <f t="shared" si="3"/>
        <v>5.8504191411111108</v>
      </c>
      <c r="L15" s="27">
        <v>95</v>
      </c>
      <c r="M15" s="31">
        <f t="shared" si="6"/>
        <v>6.3157894736842107E-2</v>
      </c>
      <c r="N15" s="27">
        <v>24</v>
      </c>
      <c r="O15" s="32">
        <f t="shared" ref="O15:P15" si="23">D15/7</f>
        <v>0.8571428571428571</v>
      </c>
      <c r="P15" s="32">
        <f t="shared" si="23"/>
        <v>0.42857142857142855</v>
      </c>
      <c r="Q15" s="27">
        <f t="shared" si="8"/>
        <v>18</v>
      </c>
      <c r="R15" s="27"/>
      <c r="S15" s="33">
        <v>1.7154150197628399</v>
      </c>
      <c r="T15" s="26">
        <v>1680</v>
      </c>
      <c r="U15" s="34">
        <v>903</v>
      </c>
      <c r="V15" s="35" t="s">
        <v>976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0.16581946296296296</v>
      </c>
      <c r="AD15" s="37">
        <f t="shared" si="12"/>
        <v>-1.3729851533333333</v>
      </c>
      <c r="AE15" s="37">
        <v>-6.56</v>
      </c>
      <c r="AF15" s="37">
        <v>-9.0272500000000004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25.49</v>
      </c>
      <c r="D16" s="27">
        <v>11</v>
      </c>
      <c r="E16" s="27">
        <v>5</v>
      </c>
      <c r="F16" s="30">
        <v>280.39</v>
      </c>
      <c r="G16" s="28">
        <v>0</v>
      </c>
      <c r="H16" s="29">
        <f t="shared" si="1"/>
        <v>0</v>
      </c>
      <c r="I16" s="29">
        <f t="shared" si="2"/>
        <v>0.22951820875288781</v>
      </c>
      <c r="J16" s="30">
        <f t="shared" si="5"/>
        <v>64.354610552222212</v>
      </c>
      <c r="K16" s="30">
        <f t="shared" si="3"/>
        <v>5.8504191411111099</v>
      </c>
      <c r="L16" s="27">
        <v>64</v>
      </c>
      <c r="M16" s="31">
        <f t="shared" si="6"/>
        <v>0.171875</v>
      </c>
      <c r="N16" s="27">
        <v>7</v>
      </c>
      <c r="O16" s="32">
        <f t="shared" ref="O16:P16" si="24">D16/7</f>
        <v>1.5714285714285714</v>
      </c>
      <c r="P16" s="32">
        <f t="shared" si="24"/>
        <v>0.7142857142857143</v>
      </c>
      <c r="Q16" s="27">
        <f t="shared" si="8"/>
        <v>3</v>
      </c>
      <c r="R16" s="27"/>
      <c r="S16" s="33">
        <v>1.9588100686498799</v>
      </c>
      <c r="T16" s="26">
        <v>1680</v>
      </c>
      <c r="U16" s="34" t="s">
        <v>34</v>
      </c>
      <c r="V16" s="35" t="s">
        <v>977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0.16581946296296296</v>
      </c>
      <c r="AD16" s="37">
        <f t="shared" si="12"/>
        <v>-2.5171394477777778</v>
      </c>
      <c r="AE16" s="37">
        <v>-6.56</v>
      </c>
      <c r="AF16" s="37">
        <v>-9.0272500000000004</v>
      </c>
      <c r="AG16" s="37">
        <v>0</v>
      </c>
    </row>
    <row r="17" spans="1:33" ht="15.75" customHeight="1" x14ac:dyDescent="0.2">
      <c r="A17" s="26" t="s">
        <v>61</v>
      </c>
      <c r="B17" s="26" t="s">
        <v>76</v>
      </c>
      <c r="C17" s="14">
        <f t="shared" si="4"/>
        <v>25.49</v>
      </c>
      <c r="D17" s="27">
        <v>5</v>
      </c>
      <c r="E17" s="27">
        <v>1</v>
      </c>
      <c r="F17" s="30">
        <v>127.44999999999999</v>
      </c>
      <c r="G17" s="28">
        <v>0</v>
      </c>
      <c r="H17" s="29">
        <f t="shared" si="1"/>
        <v>0</v>
      </c>
      <c r="I17" s="29">
        <f t="shared" si="2"/>
        <v>0.22951820875288773</v>
      </c>
      <c r="J17" s="30">
        <f t="shared" si="5"/>
        <v>29.252095705555536</v>
      </c>
      <c r="K17" s="30">
        <f t="shared" si="3"/>
        <v>5.8504191411111073</v>
      </c>
      <c r="L17" s="27">
        <v>46</v>
      </c>
      <c r="M17" s="31">
        <f t="shared" si="6"/>
        <v>0.10869565217391304</v>
      </c>
      <c r="N17" s="27">
        <v>0</v>
      </c>
      <c r="O17" s="32">
        <f t="shared" ref="O17:P17" si="25">D17/7</f>
        <v>0.7142857142857143</v>
      </c>
      <c r="P17" s="32">
        <f t="shared" si="25"/>
        <v>0.14285714285714285</v>
      </c>
      <c r="Q17" s="27">
        <f t="shared" si="8"/>
        <v>0</v>
      </c>
      <c r="R17" s="27"/>
      <c r="S17" s="33">
        <v>2.1122448979591799</v>
      </c>
      <c r="T17" s="26">
        <v>1680</v>
      </c>
      <c r="U17" s="34" t="s">
        <v>34</v>
      </c>
      <c r="V17" s="35" t="s">
        <v>977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0.16581946296296296</v>
      </c>
      <c r="AD17" s="37">
        <f t="shared" si="12"/>
        <v>-1.1441542944444443</v>
      </c>
      <c r="AE17" s="37">
        <v>-6.56</v>
      </c>
      <c r="AF17" s="37">
        <v>-9.0272500000000004</v>
      </c>
      <c r="AG17" s="37">
        <v>0</v>
      </c>
    </row>
    <row r="18" spans="1:33" ht="15.75" customHeight="1" x14ac:dyDescent="0.2">
      <c r="A18" s="26" t="s">
        <v>62</v>
      </c>
      <c r="B18" s="26" t="s">
        <v>76</v>
      </c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2.0453074433656901</v>
      </c>
      <c r="T18" s="26">
        <v>1680</v>
      </c>
      <c r="U18" s="34" t="s">
        <v>34</v>
      </c>
      <c r="V18" s="35" t="s">
        <v>977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-9.0272500000000004</v>
      </c>
      <c r="AG18" s="37">
        <v>0</v>
      </c>
    </row>
    <row r="19" spans="1:33" ht="15.75" customHeight="1" x14ac:dyDescent="0.2">
      <c r="A19" s="26" t="s">
        <v>64</v>
      </c>
      <c r="B19" s="26" t="s">
        <v>728</v>
      </c>
      <c r="C19" s="14">
        <f t="shared" si="4"/>
        <v>25.49</v>
      </c>
      <c r="D19" s="27">
        <v>3</v>
      </c>
      <c r="E19" s="27">
        <v>0</v>
      </c>
      <c r="F19" s="30">
        <v>76.47</v>
      </c>
      <c r="G19" s="28">
        <v>0</v>
      </c>
      <c r="H19" s="29">
        <f t="shared" si="1"/>
        <v>0</v>
      </c>
      <c r="I19" s="29">
        <f t="shared" si="2"/>
        <v>0.22951820875288784</v>
      </c>
      <c r="J19" s="30">
        <f t="shared" si="5"/>
        <v>17.551257423333332</v>
      </c>
      <c r="K19" s="30">
        <f t="shared" si="3"/>
        <v>5.8504191411111108</v>
      </c>
      <c r="L19" s="27">
        <v>32</v>
      </c>
      <c r="M19" s="31">
        <f t="shared" si="6"/>
        <v>9.375E-2</v>
      </c>
      <c r="N19" s="27">
        <v>118</v>
      </c>
      <c r="O19" s="32">
        <f t="shared" ref="O19:P19" si="27">D19/7</f>
        <v>0.42857142857142855</v>
      </c>
      <c r="P19" s="32">
        <f t="shared" si="27"/>
        <v>0</v>
      </c>
      <c r="Q19" s="27">
        <f t="shared" si="8"/>
        <v>275</v>
      </c>
      <c r="R19" s="27"/>
      <c r="S19" s="33">
        <v>1.4840294840294801</v>
      </c>
      <c r="T19" s="26">
        <v>777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0.16581946296296296</v>
      </c>
      <c r="AD19" s="37">
        <f t="shared" si="12"/>
        <v>-0.68649257666666663</v>
      </c>
      <c r="AE19" s="37">
        <v>-6.56</v>
      </c>
      <c r="AF19" s="37">
        <v>-9.0272500000000004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24.244</v>
      </c>
      <c r="D20" s="27">
        <v>10</v>
      </c>
      <c r="E20" s="27">
        <v>2</v>
      </c>
      <c r="F20" s="30">
        <v>242.44</v>
      </c>
      <c r="G20" s="28">
        <v>0</v>
      </c>
      <c r="H20" s="29">
        <f t="shared" si="1"/>
        <v>0</v>
      </c>
      <c r="I20" s="29">
        <f t="shared" si="2"/>
        <v>0.19762906868136898</v>
      </c>
      <c r="J20" s="30">
        <f t="shared" si="5"/>
        <v>47.913191411111093</v>
      </c>
      <c r="K20" s="30">
        <f t="shared" si="3"/>
        <v>4.7913191411111091</v>
      </c>
      <c r="L20" s="27">
        <v>29</v>
      </c>
      <c r="M20" s="31">
        <f t="shared" si="6"/>
        <v>0.34482758620689657</v>
      </c>
      <c r="N20" s="27">
        <v>108</v>
      </c>
      <c r="O20" s="32">
        <f t="shared" ref="O20:P20" si="28">D20/7</f>
        <v>1.4285714285714286</v>
      </c>
      <c r="P20" s="32">
        <f t="shared" si="28"/>
        <v>0.2857142857142857</v>
      </c>
      <c r="Q20" s="27">
        <f t="shared" si="8"/>
        <v>63</v>
      </c>
      <c r="R20" s="27"/>
      <c r="S20" s="33">
        <v>1.6046511627906901</v>
      </c>
      <c r="T20" s="26">
        <v>777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0.16581946296296296</v>
      </c>
      <c r="AD20" s="37">
        <f t="shared" si="12"/>
        <v>-2.2883085888888886</v>
      </c>
      <c r="AE20" s="37">
        <v>-6.56</v>
      </c>
      <c r="AF20" s="37">
        <v>-9.0272500000000004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23.990000000000006</v>
      </c>
      <c r="D21" s="27">
        <v>11</v>
      </c>
      <c r="E21" s="27">
        <v>1</v>
      </c>
      <c r="F21" s="30">
        <v>263.89000000000004</v>
      </c>
      <c r="G21" s="28">
        <v>0</v>
      </c>
      <c r="H21" s="29">
        <f t="shared" si="1"/>
        <v>0</v>
      </c>
      <c r="I21" s="29">
        <f t="shared" si="2"/>
        <v>0.19072193168449825</v>
      </c>
      <c r="J21" s="30">
        <f t="shared" si="5"/>
        <v>50.329610552222249</v>
      </c>
      <c r="K21" s="30">
        <f t="shared" si="3"/>
        <v>4.5754191411111131</v>
      </c>
      <c r="L21" s="27">
        <v>26</v>
      </c>
      <c r="M21" s="31">
        <f t="shared" si="6"/>
        <v>0.42307692307692307</v>
      </c>
      <c r="N21" s="27">
        <v>96</v>
      </c>
      <c r="O21" s="32">
        <f t="shared" ref="O21:P21" si="29">D21/7</f>
        <v>1.5714285714285714</v>
      </c>
      <c r="P21" s="32">
        <f t="shared" si="29"/>
        <v>0.14285714285714285</v>
      </c>
      <c r="Q21" s="27">
        <f t="shared" si="8"/>
        <v>56</v>
      </c>
      <c r="R21" s="27"/>
      <c r="S21" s="33">
        <v>2.0361010830324902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0.16581946296296296</v>
      </c>
      <c r="AD21" s="37">
        <f t="shared" si="12"/>
        <v>-2.5171394477777778</v>
      </c>
      <c r="AE21" s="37">
        <v>-6.56</v>
      </c>
      <c r="AF21" s="37">
        <v>-9.0272500000000004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23.990000000000002</v>
      </c>
      <c r="D22" s="27">
        <v>7</v>
      </c>
      <c r="E22" s="27">
        <v>11</v>
      </c>
      <c r="F22" s="28">
        <v>167.93</v>
      </c>
      <c r="G22" s="28">
        <v>0</v>
      </c>
      <c r="H22" s="29">
        <f t="shared" si="1"/>
        <v>0</v>
      </c>
      <c r="I22" s="29">
        <f t="shared" si="2"/>
        <v>0.19072193168449814</v>
      </c>
      <c r="J22" s="30">
        <f t="shared" si="5"/>
        <v>32.027933987777772</v>
      </c>
      <c r="K22" s="30">
        <f t="shared" si="3"/>
        <v>4.5754191411111105</v>
      </c>
      <c r="L22" s="27">
        <v>55</v>
      </c>
      <c r="M22" s="31">
        <f t="shared" si="6"/>
        <v>0.12727272727272726</v>
      </c>
      <c r="N22" s="27">
        <v>80</v>
      </c>
      <c r="O22" s="32">
        <f t="shared" ref="O22:P22" si="30">D22/7</f>
        <v>1</v>
      </c>
      <c r="P22" s="32">
        <f t="shared" si="30"/>
        <v>1.5714285714285714</v>
      </c>
      <c r="Q22" s="27">
        <f t="shared" si="8"/>
        <v>31</v>
      </c>
      <c r="R22" s="27"/>
      <c r="S22" s="33">
        <v>2.3697478991596599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0.16581946296296296</v>
      </c>
      <c r="AD22" s="37">
        <f t="shared" si="12"/>
        <v>-1.6018160122222223</v>
      </c>
      <c r="AE22" s="37">
        <v>-6.56</v>
      </c>
      <c r="AF22" s="37">
        <v>-9.0272500000000004</v>
      </c>
      <c r="AG22" s="37">
        <v>0</v>
      </c>
    </row>
    <row r="23" spans="1:33" ht="15.75" customHeight="1" x14ac:dyDescent="0.2">
      <c r="A23" s="26" t="s">
        <v>68</v>
      </c>
      <c r="B23" s="26" t="s">
        <v>978</v>
      </c>
      <c r="C23" s="14">
        <f t="shared" si="4"/>
        <v>23.990000000000006</v>
      </c>
      <c r="D23" s="27">
        <v>12</v>
      </c>
      <c r="E23" s="27">
        <v>8</v>
      </c>
      <c r="F23" s="30">
        <v>287.88000000000005</v>
      </c>
      <c r="G23" s="28">
        <v>0</v>
      </c>
      <c r="H23" s="29">
        <f t="shared" si="1"/>
        <v>0</v>
      </c>
      <c r="I23" s="29">
        <f t="shared" si="2"/>
        <v>0.19072193168449827</v>
      </c>
      <c r="J23" s="30">
        <f t="shared" si="5"/>
        <v>54.905029693333375</v>
      </c>
      <c r="K23" s="30">
        <f t="shared" si="3"/>
        <v>4.5754191411111149</v>
      </c>
      <c r="L23" s="27">
        <v>52</v>
      </c>
      <c r="M23" s="31">
        <f t="shared" si="6"/>
        <v>0.23076923076923078</v>
      </c>
      <c r="N23" s="27">
        <v>59</v>
      </c>
      <c r="O23" s="32">
        <f t="shared" ref="O23:P23" si="31">D23/7</f>
        <v>1.7142857142857142</v>
      </c>
      <c r="P23" s="32">
        <f t="shared" si="31"/>
        <v>1.1428571428571428</v>
      </c>
      <c r="Q23" s="27">
        <f t="shared" si="8"/>
        <v>20</v>
      </c>
      <c r="R23" s="27"/>
      <c r="S23" s="33">
        <v>1.8159509202453901</v>
      </c>
      <c r="T23" s="26">
        <v>777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0.16581946296296296</v>
      </c>
      <c r="AD23" s="37">
        <f t="shared" si="12"/>
        <v>-2.7459703066666665</v>
      </c>
      <c r="AE23" s="37">
        <v>-6.56</v>
      </c>
      <c r="AF23" s="37">
        <v>-9.0272500000000004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23.081538461538461</v>
      </c>
      <c r="D24" s="27">
        <v>13</v>
      </c>
      <c r="E24" s="27">
        <v>3</v>
      </c>
      <c r="F24" s="30">
        <v>300.06</v>
      </c>
      <c r="G24" s="30">
        <v>-7.0000000000000007E-2</v>
      </c>
      <c r="H24" s="29">
        <f t="shared" si="1"/>
        <v>2.3328667599813372E-4</v>
      </c>
      <c r="I24" s="29">
        <f t="shared" si="2"/>
        <v>0.16454025473053532</v>
      </c>
      <c r="J24" s="30">
        <f t="shared" si="5"/>
        <v>49.371948834444431</v>
      </c>
      <c r="K24" s="30">
        <f t="shared" si="3"/>
        <v>3.7978422180341869</v>
      </c>
      <c r="L24" s="27">
        <v>60</v>
      </c>
      <c r="M24" s="31">
        <f t="shared" si="6"/>
        <v>0.21666666666666667</v>
      </c>
      <c r="N24" s="27">
        <v>44</v>
      </c>
      <c r="O24" s="32">
        <f t="shared" ref="O24:P24" si="32">D24/7</f>
        <v>1.8571428571428572</v>
      </c>
      <c r="P24" s="32">
        <f t="shared" si="32"/>
        <v>0.42857142857142855</v>
      </c>
      <c r="Q24" s="27">
        <f t="shared" si="8"/>
        <v>19</v>
      </c>
      <c r="R24" s="27"/>
      <c r="S24" s="33">
        <v>1.96539792387543</v>
      </c>
      <c r="T24" s="26">
        <v>777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0.16581946296296296</v>
      </c>
      <c r="AD24" s="37">
        <f t="shared" si="12"/>
        <v>-2.9748011655555553</v>
      </c>
      <c r="AE24" s="37">
        <v>-6.56</v>
      </c>
      <c r="AF24" s="37">
        <v>-9.0272500000000004</v>
      </c>
      <c r="AG24" s="37">
        <v>0</v>
      </c>
    </row>
    <row r="25" spans="1:33" ht="15.75" customHeight="1" x14ac:dyDescent="0.2">
      <c r="A25" s="40" t="s">
        <v>73</v>
      </c>
      <c r="B25" s="40" t="s">
        <v>979</v>
      </c>
      <c r="C25" s="14">
        <f t="shared" si="4"/>
        <v>22.990000000000002</v>
      </c>
      <c r="D25" s="15">
        <v>10</v>
      </c>
      <c r="E25" s="15">
        <v>1</v>
      </c>
      <c r="F25" s="16">
        <v>229.9</v>
      </c>
      <c r="G25" s="16">
        <v>0</v>
      </c>
      <c r="H25" s="29">
        <f t="shared" si="1"/>
        <v>0</v>
      </c>
      <c r="I25" s="29">
        <f t="shared" si="2"/>
        <v>0.16169733851674686</v>
      </c>
      <c r="J25" s="30">
        <f t="shared" si="5"/>
        <v>37.174218125000102</v>
      </c>
      <c r="K25" s="30">
        <f t="shared" si="3"/>
        <v>3.7174218125000102</v>
      </c>
      <c r="L25" s="15">
        <v>54</v>
      </c>
      <c r="M25" s="31">
        <f t="shared" si="6"/>
        <v>0.18518518518518517</v>
      </c>
      <c r="N25" s="15">
        <v>33</v>
      </c>
      <c r="O25" s="32">
        <f t="shared" ref="O25:P25" si="33">D25/7</f>
        <v>1.4285714285714286</v>
      </c>
      <c r="P25" s="32">
        <f t="shared" si="33"/>
        <v>0.14285714285714285</v>
      </c>
      <c r="Q25" s="27">
        <f t="shared" si="8"/>
        <v>21</v>
      </c>
      <c r="R25" s="27"/>
      <c r="S25" s="41">
        <v>2.809756097560975</v>
      </c>
      <c r="T25" s="26">
        <v>777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0.16962187500000001</v>
      </c>
      <c r="AD25" s="37">
        <f t="shared" si="12"/>
        <v>-2.3407818749999998</v>
      </c>
      <c r="AE25" s="42">
        <v>-6.56</v>
      </c>
      <c r="AF25" s="42">
        <v>-9.0299999999999905</v>
      </c>
      <c r="AG25" s="42">
        <v>0</v>
      </c>
    </row>
    <row r="26" spans="1:33" ht="15.75" customHeight="1" x14ac:dyDescent="0.2">
      <c r="A26" s="40" t="s">
        <v>75</v>
      </c>
      <c r="B26" s="40" t="s">
        <v>53</v>
      </c>
      <c r="C26" s="14">
        <f t="shared" si="4"/>
        <v>23.99</v>
      </c>
      <c r="D26" s="15">
        <v>2</v>
      </c>
      <c r="E26" s="15">
        <v>4</v>
      </c>
      <c r="F26" s="16">
        <v>47.98</v>
      </c>
      <c r="G26" s="16">
        <v>0</v>
      </c>
      <c r="H26" s="29">
        <f t="shared" si="1"/>
        <v>0</v>
      </c>
      <c r="I26" s="29">
        <f t="shared" si="2"/>
        <v>0.18966952115464764</v>
      </c>
      <c r="J26" s="30">
        <f t="shared" si="5"/>
        <v>9.1003436249999936</v>
      </c>
      <c r="K26" s="30">
        <f t="shared" si="3"/>
        <v>4.5501718124999968</v>
      </c>
      <c r="L26" s="15">
        <v>22</v>
      </c>
      <c r="M26" s="31">
        <f t="shared" si="6"/>
        <v>9.0909090909090912E-2</v>
      </c>
      <c r="N26" s="15">
        <v>27</v>
      </c>
      <c r="O26" s="32">
        <f t="shared" ref="O26:P26" si="34">D26/7</f>
        <v>0.2857142857142857</v>
      </c>
      <c r="P26" s="32">
        <f t="shared" si="34"/>
        <v>0.5714285714285714</v>
      </c>
      <c r="Q26" s="27">
        <f t="shared" si="8"/>
        <v>31</v>
      </c>
      <c r="R26" s="27"/>
      <c r="S26" s="41">
        <v>3.1111111111111112</v>
      </c>
      <c r="T26" s="26">
        <v>777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0.16962187500000001</v>
      </c>
      <c r="AD26" s="37">
        <f t="shared" si="12"/>
        <v>-0.46815637499999996</v>
      </c>
      <c r="AE26" s="42">
        <v>-6.58</v>
      </c>
      <c r="AF26" s="42">
        <v>-9.0272500000000004</v>
      </c>
      <c r="AG26" s="42">
        <v>0</v>
      </c>
    </row>
    <row r="27" spans="1:33" ht="15.75" customHeight="1" x14ac:dyDescent="0.2">
      <c r="A27" s="40" t="s">
        <v>77</v>
      </c>
      <c r="B27" s="40" t="s">
        <v>53</v>
      </c>
      <c r="C27" s="14">
        <f t="shared" si="4"/>
        <v>24.99</v>
      </c>
      <c r="D27" s="15">
        <v>6</v>
      </c>
      <c r="E27" s="15">
        <v>2</v>
      </c>
      <c r="F27" s="16">
        <v>149.94</v>
      </c>
      <c r="G27" s="16">
        <v>-0.03</v>
      </c>
      <c r="H27" s="29">
        <f t="shared" si="1"/>
        <v>2.0008003201280511E-4</v>
      </c>
      <c r="I27" s="29">
        <f t="shared" si="2"/>
        <v>0.21589322979191675</v>
      </c>
      <c r="J27" s="30">
        <f t="shared" si="5"/>
        <v>32.371030874999995</v>
      </c>
      <c r="K27" s="30">
        <f t="shared" si="3"/>
        <v>5.3951718124999992</v>
      </c>
      <c r="L27" s="15">
        <v>54</v>
      </c>
      <c r="M27" s="31">
        <f t="shared" si="6"/>
        <v>0.1111111111111111</v>
      </c>
      <c r="N27" s="15">
        <v>18</v>
      </c>
      <c r="O27" s="32">
        <f t="shared" ref="O27:P27" si="35">D27/7</f>
        <v>0.8571428571428571</v>
      </c>
      <c r="P27" s="32">
        <f t="shared" si="35"/>
        <v>0.2857142857142857</v>
      </c>
      <c r="Q27" s="27">
        <f t="shared" si="8"/>
        <v>15</v>
      </c>
      <c r="R27" s="27"/>
      <c r="S27" s="41">
        <v>2.188976377952756</v>
      </c>
      <c r="T27" s="26">
        <v>777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0.16962187500000001</v>
      </c>
      <c r="AD27" s="37">
        <f t="shared" si="12"/>
        <v>-1.4044691249999999</v>
      </c>
      <c r="AE27" s="42">
        <v>-6.58</v>
      </c>
      <c r="AF27" s="42">
        <v>-9.0272500000000004</v>
      </c>
      <c r="AG27" s="42">
        <v>0</v>
      </c>
    </row>
    <row r="28" spans="1:33" ht="15.75" customHeight="1" x14ac:dyDescent="0.2">
      <c r="A28" s="40" t="s">
        <v>79</v>
      </c>
      <c r="B28" s="40" t="s">
        <v>76</v>
      </c>
      <c r="C28" s="14">
        <f t="shared" si="4"/>
        <v>24.99</v>
      </c>
      <c r="D28" s="15">
        <v>9</v>
      </c>
      <c r="E28" s="15">
        <v>7</v>
      </c>
      <c r="F28" s="16">
        <v>224.91</v>
      </c>
      <c r="G28" s="16">
        <v>0</v>
      </c>
      <c r="H28" s="29">
        <f t="shared" si="1"/>
        <v>0</v>
      </c>
      <c r="I28" s="29">
        <f t="shared" si="2"/>
        <v>0.21609330982392955</v>
      </c>
      <c r="J28" s="30">
        <f t="shared" si="5"/>
        <v>48.601546312499991</v>
      </c>
      <c r="K28" s="30">
        <f t="shared" si="3"/>
        <v>5.4001718124999991</v>
      </c>
      <c r="L28" s="15">
        <v>38</v>
      </c>
      <c r="M28" s="31">
        <f t="shared" si="6"/>
        <v>0.23684210526315788</v>
      </c>
      <c r="N28" s="15">
        <v>4</v>
      </c>
      <c r="O28" s="32">
        <f t="shared" ref="O28:P28" si="36">D28/7</f>
        <v>1.2857142857142858</v>
      </c>
      <c r="P28" s="32">
        <f t="shared" si="36"/>
        <v>1</v>
      </c>
      <c r="Q28" s="27">
        <f t="shared" si="8"/>
        <v>1</v>
      </c>
      <c r="R28" s="27"/>
      <c r="S28" s="41">
        <v>2.5663716814159292</v>
      </c>
      <c r="T28" s="40" t="s">
        <v>34</v>
      </c>
      <c r="U28" s="22" t="s">
        <v>34</v>
      </c>
      <c r="V28" s="1" t="s">
        <v>980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0.16962187500000001</v>
      </c>
      <c r="AD28" s="37">
        <f t="shared" si="12"/>
        <v>-2.1067036874999996</v>
      </c>
      <c r="AE28" s="42">
        <v>-6.58</v>
      </c>
      <c r="AF28" s="42">
        <v>-9.0272500000000004</v>
      </c>
      <c r="AG28" s="42">
        <v>0</v>
      </c>
    </row>
    <row r="29" spans="1:33" ht="15.75" customHeight="1" x14ac:dyDescent="0.2">
      <c r="A29" s="26" t="s">
        <v>82</v>
      </c>
      <c r="B29" s="40" t="s">
        <v>76</v>
      </c>
      <c r="C29" s="14">
        <f t="shared" si="4"/>
        <v>24.99</v>
      </c>
      <c r="D29" s="27">
        <v>2</v>
      </c>
      <c r="E29" s="27">
        <v>0</v>
      </c>
      <c r="F29" s="30">
        <v>49.98</v>
      </c>
      <c r="G29" s="30">
        <v>0</v>
      </c>
      <c r="H29" s="29">
        <f t="shared" si="1"/>
        <v>0</v>
      </c>
      <c r="I29" s="29">
        <f t="shared" si="2"/>
        <v>0.21609330982392952</v>
      </c>
      <c r="J29" s="30">
        <f t="shared" si="5"/>
        <v>10.800343624999996</v>
      </c>
      <c r="K29" s="30">
        <f t="shared" si="3"/>
        <v>5.4001718124999982</v>
      </c>
      <c r="L29" s="27">
        <v>22</v>
      </c>
      <c r="M29" s="31">
        <f t="shared" si="6"/>
        <v>9.0909090909090912E-2</v>
      </c>
      <c r="N29" s="15">
        <v>0</v>
      </c>
      <c r="O29" s="32">
        <f t="shared" ref="O29:P29" si="37">D29/7</f>
        <v>0.2857142857142857</v>
      </c>
      <c r="P29" s="32">
        <f t="shared" si="37"/>
        <v>0</v>
      </c>
      <c r="Q29" s="27">
        <f t="shared" si="8"/>
        <v>0</v>
      </c>
      <c r="R29" s="27"/>
      <c r="S29" s="41">
        <v>3.1904761904761911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0.16962187500000001</v>
      </c>
      <c r="AD29" s="37">
        <f t="shared" si="12"/>
        <v>-0.46815637499999996</v>
      </c>
      <c r="AE29" s="37">
        <v>-6.58</v>
      </c>
      <c r="AF29" s="42">
        <v>-9.0272500000000004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3.687943262411348</v>
      </c>
      <c r="T30" s="26">
        <v>777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0.16962187500000001</v>
      </c>
      <c r="AD30" s="37">
        <f t="shared" si="12"/>
        <v>0</v>
      </c>
      <c r="AE30" s="42">
        <v>-6.58</v>
      </c>
      <c r="AF30" s="42">
        <v>-8.5657277124999993</v>
      </c>
      <c r="AG30" s="42">
        <v>0</v>
      </c>
    </row>
    <row r="31" spans="1:33" ht="15.75" customHeight="1" x14ac:dyDescent="0.2">
      <c r="A31" s="40" t="s">
        <v>87</v>
      </c>
      <c r="B31" s="40" t="s">
        <v>981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4.2</v>
      </c>
      <c r="T31" s="40">
        <v>777</v>
      </c>
      <c r="U31" s="22" t="s">
        <v>34</v>
      </c>
      <c r="V31" s="1" t="s">
        <v>980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0.16962187500000001</v>
      </c>
      <c r="AD31" s="37">
        <f t="shared" si="12"/>
        <v>0</v>
      </c>
      <c r="AE31" s="45">
        <v>-6.58</v>
      </c>
      <c r="AF31" s="45">
        <v>-8.5657277125000011</v>
      </c>
      <c r="AG31" s="42">
        <v>0</v>
      </c>
    </row>
    <row r="32" spans="1:33" ht="15.75" customHeight="1" x14ac:dyDescent="0.2">
      <c r="A32" s="40" t="s">
        <v>90</v>
      </c>
      <c r="B32" s="40" t="s">
        <v>53</v>
      </c>
      <c r="C32" s="14">
        <f t="shared" si="4"/>
        <v>24.990000000000002</v>
      </c>
      <c r="D32" s="15">
        <v>5</v>
      </c>
      <c r="E32" s="15">
        <v>0</v>
      </c>
      <c r="F32" s="16">
        <v>124.95</v>
      </c>
      <c r="G32" s="16">
        <v>-0.08</v>
      </c>
      <c r="H32" s="29">
        <f t="shared" si="1"/>
        <v>6.4025610244097635E-4</v>
      </c>
      <c r="I32" s="29">
        <f t="shared" si="2"/>
        <v>0.23392133253301323</v>
      </c>
      <c r="J32" s="30">
        <f t="shared" si="5"/>
        <v>29.228470500000004</v>
      </c>
      <c r="K32" s="30">
        <f t="shared" si="3"/>
        <v>5.8456941000000011</v>
      </c>
      <c r="L32" s="15">
        <v>25</v>
      </c>
      <c r="M32" s="31">
        <f t="shared" si="6"/>
        <v>0.2</v>
      </c>
      <c r="N32" s="15">
        <v>76</v>
      </c>
      <c r="O32" s="32">
        <f t="shared" ref="O32:P32" si="40">D32/7</f>
        <v>0.7142857142857143</v>
      </c>
      <c r="P32" s="32">
        <f t="shared" si="40"/>
        <v>0</v>
      </c>
      <c r="Q32" s="27">
        <f t="shared" si="8"/>
        <v>106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1.8686131386861311</v>
      </c>
      <c r="T32" s="40">
        <f ca="1">IFERROR(__xludf.DUMMYFUNCTION("IFERROR(VLOOKUP($B$2,IMPORTRANGE(""https://docs.google.com/spreadsheets/d/1KiWZV1ko8G7lnRucBRBd29jj3Be6ltMfljMDqzOkQmI/edit#gid=1381463014"",""Lookup!A:D""),4,FALSE),"""")"),777)</f>
        <v>777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777 At Factory 50-75 days from Earliest Arrival")</f>
        <v>No Transit, But 777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0.16962187500000001</v>
      </c>
      <c r="AD32" s="37">
        <f t="shared" si="12"/>
        <v>-1.1703909374999999</v>
      </c>
      <c r="AE32" s="42">
        <v>-6.58</v>
      </c>
      <c r="AF32" s="42">
        <v>-8.5657277124999993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ySplit="3" topLeftCell="A4" activePane="bottomLeft" state="frozen"/>
      <selection activeCell="T3" sqref="T3"/>
      <selection pane="bottomLef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Info!B1:BJ5000""),3,FALSE),"""")"),"Adjustable Mesh Monitor Stand 2 Pack - Silver Height Adjustable Vented Metal Desktop Risers for Computer Monitors, Laptop, Printer, TV &amp; More")</f>
        <v>Adjustable Mesh Monitor Stand 2 Pack - Silver Height Adjustable Vented Metal Desktop Risers for Computer Monitors, Laptop, Printer, TV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Info!B1:BJ5000""),2,FALSE),"""")"),"B07XD58S4W")</f>
        <v>B07XD58S4W</v>
      </c>
      <c r="B2" s="3" t="s">
        <v>982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0.75" customHeight="1" x14ac:dyDescent="0.2">
      <c r="A3" s="68" t="s">
        <v>31</v>
      </c>
      <c r="B3" s="69"/>
      <c r="C3" s="48">
        <f>((AE32+AF32)/0.85)*-1</f>
        <v>18.983650249999997</v>
      </c>
      <c r="D3" s="5">
        <f>SUM(D4:D99767)</f>
        <v>180</v>
      </c>
      <c r="E3" s="5"/>
      <c r="F3" s="6">
        <f t="shared" ref="F3:G3" si="0">SUM(F4:F99767)</f>
        <v>4482.71</v>
      </c>
      <c r="G3" s="6">
        <f t="shared" si="0"/>
        <v>-0.53</v>
      </c>
      <c r="H3" s="7">
        <f t="shared" ref="H3:H32" si="1">G3/F3*-1</f>
        <v>1.1823205159379037E-4</v>
      </c>
      <c r="I3" s="8">
        <f t="shared" ref="I3:I32" si="2">J3/F3</f>
        <v>0.1782989510086172</v>
      </c>
      <c r="J3" s="6">
        <f>SUM(J4:J99767)</f>
        <v>799.26249067583842</v>
      </c>
      <c r="K3" s="6">
        <f t="shared" ref="K3:K32" si="3">J3/D3</f>
        <v>4.4403471704213242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QTY-98")</f>
        <v>US QTY-98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-43.373707537302693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Info!B2:BZ3000""),37,FALSE)),"""")*-1"),-9.5561027125)</f>
        <v>-9.5561027124999995</v>
      </c>
      <c r="AG3" s="6">
        <f>SUM(AG4:AG99767)</f>
        <v>-16</v>
      </c>
    </row>
    <row r="4" spans="1:33" x14ac:dyDescent="0.2">
      <c r="A4" s="1" t="s">
        <v>32</v>
      </c>
      <c r="B4" s="2" t="s">
        <v>983</v>
      </c>
      <c r="C4" s="14">
        <f t="shared" ref="C4:C32" si="4">IFERROR(F4/D4," - ")</f>
        <v>25.990000000000006</v>
      </c>
      <c r="D4" s="15">
        <v>13</v>
      </c>
      <c r="E4" s="15">
        <v>0</v>
      </c>
      <c r="F4" s="16">
        <v>337.87000000000006</v>
      </c>
      <c r="G4" s="16">
        <v>0</v>
      </c>
      <c r="H4" s="17">
        <f t="shared" si="1"/>
        <v>0</v>
      </c>
      <c r="I4" s="17">
        <f t="shared" si="2"/>
        <v>0.2052369098239627</v>
      </c>
      <c r="J4" s="16">
        <f t="shared" ref="J4:J32" si="5">F4*0.85+G4+AF4*D4+D4*AE4+AG4+AD4</f>
        <v>69.343394722222286</v>
      </c>
      <c r="K4" s="16">
        <f t="shared" si="3"/>
        <v>5.3341072863247909</v>
      </c>
      <c r="L4" s="15">
        <v>90</v>
      </c>
      <c r="M4" s="18">
        <f t="shared" ref="M4:M32" si="6">IFERROR(D4/L4,"-")</f>
        <v>0.14444444444444443</v>
      </c>
      <c r="N4" s="15">
        <v>74</v>
      </c>
      <c r="O4" s="19">
        <f t="shared" ref="O4:P4" si="7">D4/7</f>
        <v>1.8571428571428572</v>
      </c>
      <c r="P4" s="19">
        <f t="shared" si="7"/>
        <v>0</v>
      </c>
      <c r="Q4" s="15">
        <f t="shared" ref="Q4:Q32" si="8">ROUNDDOWN(N4/(O4+P4),0)</f>
        <v>39</v>
      </c>
      <c r="R4" s="15"/>
      <c r="S4" s="20">
        <v>1.14929577464788</v>
      </c>
      <c r="T4" s="2">
        <v>441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0.17671759259259259</v>
      </c>
      <c r="AD4" s="24">
        <f t="shared" ref="AD4:AD32" si="12">IFERROR(AB4*AC4*D4*2,0)</f>
        <v>-3.1703136111111108</v>
      </c>
      <c r="AE4" s="24">
        <v>-6.56</v>
      </c>
      <c r="AF4" s="24">
        <v>-9.6458301282051284</v>
      </c>
      <c r="AG4" s="24">
        <v>-4</v>
      </c>
    </row>
    <row r="5" spans="1:33" ht="15.75" customHeight="1" x14ac:dyDescent="0.2">
      <c r="A5" s="26" t="s">
        <v>35</v>
      </c>
      <c r="B5" s="26" t="s">
        <v>966</v>
      </c>
      <c r="C5" s="14">
        <f t="shared" si="4"/>
        <v>26.77</v>
      </c>
      <c r="D5" s="27">
        <v>14</v>
      </c>
      <c r="E5" s="27">
        <v>1</v>
      </c>
      <c r="F5" s="28">
        <v>374.78</v>
      </c>
      <c r="G5" s="28">
        <v>0</v>
      </c>
      <c r="H5" s="29">
        <f t="shared" si="1"/>
        <v>0</v>
      </c>
      <c r="I5" s="29">
        <f t="shared" si="2"/>
        <v>0.20882447872245932</v>
      </c>
      <c r="J5" s="30">
        <f t="shared" si="5"/>
        <v>78.263238135603302</v>
      </c>
      <c r="K5" s="30">
        <f t="shared" si="3"/>
        <v>5.590231295400236</v>
      </c>
      <c r="L5" s="27">
        <v>118</v>
      </c>
      <c r="M5" s="31">
        <f t="shared" si="6"/>
        <v>0.11864406779661017</v>
      </c>
      <c r="N5" s="27">
        <v>54</v>
      </c>
      <c r="O5" s="32">
        <f t="shared" ref="O5:P5" si="13">D5/7</f>
        <v>2</v>
      </c>
      <c r="P5" s="32">
        <f t="shared" si="13"/>
        <v>0.14285714285714285</v>
      </c>
      <c r="Q5" s="27">
        <f t="shared" si="8"/>
        <v>25</v>
      </c>
      <c r="R5" s="27"/>
      <c r="S5" s="33">
        <v>1.2704402515723201</v>
      </c>
      <c r="T5" s="26">
        <v>441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0.17692236384704518</v>
      </c>
      <c r="AD5" s="37">
        <f t="shared" si="12"/>
        <v>-3.4181400695249127</v>
      </c>
      <c r="AE5" s="37">
        <v>-6.56</v>
      </c>
      <c r="AF5" s="37">
        <v>-9.6458301282051284</v>
      </c>
      <c r="AG5" s="37">
        <v>-10</v>
      </c>
    </row>
    <row r="6" spans="1:33" ht="15.75" customHeight="1" x14ac:dyDescent="0.2">
      <c r="A6" s="26" t="s">
        <v>38</v>
      </c>
      <c r="B6" s="26" t="s">
        <v>984</v>
      </c>
      <c r="C6" s="14">
        <f t="shared" si="4"/>
        <v>27.0975</v>
      </c>
      <c r="D6" s="27">
        <v>12</v>
      </c>
      <c r="E6" s="27">
        <v>0</v>
      </c>
      <c r="F6" s="28">
        <v>325.17</v>
      </c>
      <c r="G6" s="28">
        <v>0</v>
      </c>
      <c r="H6" s="29">
        <f t="shared" si="1"/>
        <v>0</v>
      </c>
      <c r="I6" s="29">
        <f t="shared" si="2"/>
        <v>0.2367933546397426</v>
      </c>
      <c r="J6" s="30">
        <f t="shared" si="5"/>
        <v>76.998095128205108</v>
      </c>
      <c r="K6" s="30">
        <f t="shared" si="3"/>
        <v>6.416507927350426</v>
      </c>
      <c r="L6" s="27">
        <v>100</v>
      </c>
      <c r="M6" s="31">
        <f t="shared" si="6"/>
        <v>0.12</v>
      </c>
      <c r="N6" s="27">
        <v>39</v>
      </c>
      <c r="O6" s="32">
        <f t="shared" ref="O6:P6" si="14">D6/7</f>
        <v>1.7142857142857142</v>
      </c>
      <c r="P6" s="32">
        <f t="shared" si="14"/>
        <v>0</v>
      </c>
      <c r="Q6" s="27">
        <f t="shared" si="8"/>
        <v>22</v>
      </c>
      <c r="R6" s="27"/>
      <c r="S6" s="33">
        <v>1.3192982456140301</v>
      </c>
      <c r="T6" s="26">
        <v>260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0.17671759259259259</v>
      </c>
      <c r="AD6" s="37">
        <f t="shared" si="12"/>
        <v>-2.9264433333333333</v>
      </c>
      <c r="AE6" s="37">
        <v>-6.56</v>
      </c>
      <c r="AF6" s="37">
        <v>-9.6458301282051284</v>
      </c>
      <c r="AG6" s="37">
        <v>-2</v>
      </c>
    </row>
    <row r="7" spans="1:33" ht="15.75" customHeight="1" x14ac:dyDescent="0.2">
      <c r="A7" s="26" t="s">
        <v>41</v>
      </c>
      <c r="B7" s="26" t="s">
        <v>985</v>
      </c>
      <c r="C7" s="14">
        <f t="shared" si="4"/>
        <v>27.927777777777781</v>
      </c>
      <c r="D7" s="27">
        <v>9</v>
      </c>
      <c r="E7" s="27">
        <v>0</v>
      </c>
      <c r="F7" s="28">
        <v>251.35000000000002</v>
      </c>
      <c r="G7" s="28">
        <v>0</v>
      </c>
      <c r="H7" s="29">
        <f t="shared" si="1"/>
        <v>0</v>
      </c>
      <c r="I7" s="29">
        <f t="shared" si="2"/>
        <v>0.26099143165368549</v>
      </c>
      <c r="J7" s="30">
        <f t="shared" si="5"/>
        <v>65.600196346153851</v>
      </c>
      <c r="K7" s="30">
        <f t="shared" si="3"/>
        <v>7.288910705128206</v>
      </c>
      <c r="L7" s="27">
        <v>81</v>
      </c>
      <c r="M7" s="31">
        <f t="shared" si="6"/>
        <v>0.1111111111111111</v>
      </c>
      <c r="N7" s="27">
        <v>33</v>
      </c>
      <c r="O7" s="32">
        <f t="shared" ref="O7:P7" si="15">D7/7</f>
        <v>1.2857142857142858</v>
      </c>
      <c r="P7" s="32">
        <f t="shared" si="15"/>
        <v>0</v>
      </c>
      <c r="Q7" s="27">
        <f t="shared" si="8"/>
        <v>25</v>
      </c>
      <c r="R7" s="27"/>
      <c r="S7" s="33">
        <v>1.4325955734406399</v>
      </c>
      <c r="T7" s="26">
        <v>520</v>
      </c>
      <c r="U7" s="34">
        <v>260</v>
      </c>
      <c r="V7" s="49" t="s">
        <v>986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0.17671759259259259</v>
      </c>
      <c r="AD7" s="37">
        <f t="shared" si="12"/>
        <v>-2.1948325</v>
      </c>
      <c r="AE7" s="37">
        <v>-6.56</v>
      </c>
      <c r="AF7" s="37">
        <v>-9.6458301282051284</v>
      </c>
      <c r="AG7" s="37">
        <v>0</v>
      </c>
    </row>
    <row r="8" spans="1:33" ht="15.75" customHeight="1" x14ac:dyDescent="0.2">
      <c r="A8" s="26" t="s">
        <v>43</v>
      </c>
      <c r="B8" s="26" t="s">
        <v>966</v>
      </c>
      <c r="C8" s="14">
        <f t="shared" si="4"/>
        <v>28.59</v>
      </c>
      <c r="D8" s="27">
        <v>6</v>
      </c>
      <c r="E8" s="27">
        <v>0</v>
      </c>
      <c r="F8" s="28">
        <v>171.54</v>
      </c>
      <c r="G8" s="28">
        <v>-0.08</v>
      </c>
      <c r="H8" s="29">
        <f t="shared" si="1"/>
        <v>4.6636353037192495E-4</v>
      </c>
      <c r="I8" s="29">
        <f t="shared" si="2"/>
        <v>0.27402225914266826</v>
      </c>
      <c r="J8" s="30">
        <f t="shared" si="5"/>
        <v>47.005778333333311</v>
      </c>
      <c r="K8" s="30">
        <f t="shared" si="3"/>
        <v>7.8342963888888848</v>
      </c>
      <c r="L8" s="27">
        <v>69</v>
      </c>
      <c r="M8" s="31">
        <f t="shared" si="6"/>
        <v>8.6956521739130432E-2</v>
      </c>
      <c r="N8" s="27">
        <v>26</v>
      </c>
      <c r="O8" s="32">
        <f t="shared" ref="O8:P8" si="16">D8/7</f>
        <v>0.8571428571428571</v>
      </c>
      <c r="P8" s="32">
        <f t="shared" si="16"/>
        <v>0</v>
      </c>
      <c r="Q8" s="27">
        <f t="shared" si="8"/>
        <v>30</v>
      </c>
      <c r="R8" s="27"/>
      <c r="S8" s="33">
        <v>1.4407158836689</v>
      </c>
      <c r="T8" s="26">
        <v>441</v>
      </c>
      <c r="U8" s="34">
        <v>119</v>
      </c>
      <c r="V8" s="35" t="s">
        <v>987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0.17671759259259259</v>
      </c>
      <c r="AD8" s="37">
        <f t="shared" si="12"/>
        <v>-1.4632216666666666</v>
      </c>
      <c r="AE8" s="37">
        <v>-6.56</v>
      </c>
      <c r="AF8" s="37">
        <v>-9.65</v>
      </c>
      <c r="AG8" s="37">
        <v>0</v>
      </c>
    </row>
    <row r="9" spans="1:33" ht="15.75" customHeight="1" x14ac:dyDescent="0.2">
      <c r="A9" s="26" t="s">
        <v>45</v>
      </c>
      <c r="B9" s="26" t="s">
        <v>988</v>
      </c>
      <c r="C9" s="14">
        <f t="shared" si="4"/>
        <v>28.59</v>
      </c>
      <c r="D9" s="27">
        <v>7</v>
      </c>
      <c r="E9" s="27">
        <v>1</v>
      </c>
      <c r="F9" s="28">
        <v>200.13</v>
      </c>
      <c r="G9" s="28">
        <v>0</v>
      </c>
      <c r="H9" s="29">
        <f t="shared" si="1"/>
        <v>0</v>
      </c>
      <c r="I9" s="29">
        <f t="shared" si="2"/>
        <v>0.26611437042418168</v>
      </c>
      <c r="J9" s="30">
        <f t="shared" si="5"/>
        <v>53.257468952991481</v>
      </c>
      <c r="K9" s="30">
        <f t="shared" si="3"/>
        <v>7.6082098504273548</v>
      </c>
      <c r="L9" s="27">
        <v>65</v>
      </c>
      <c r="M9" s="31">
        <f t="shared" si="6"/>
        <v>0.1076923076923077</v>
      </c>
      <c r="N9" s="27">
        <v>18</v>
      </c>
      <c r="O9" s="32">
        <f t="shared" ref="O9:P9" si="17">D9/7</f>
        <v>1</v>
      </c>
      <c r="P9" s="32">
        <f t="shared" si="17"/>
        <v>0.14285714285714285</v>
      </c>
      <c r="Q9" s="27">
        <f t="shared" si="8"/>
        <v>15</v>
      </c>
      <c r="R9" s="27"/>
      <c r="S9" s="33">
        <v>1.62025316455696</v>
      </c>
      <c r="T9" s="26">
        <v>441</v>
      </c>
      <c r="U9" s="34">
        <v>119</v>
      </c>
      <c r="V9" s="35" t="s">
        <v>989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0.17671759259259259</v>
      </c>
      <c r="AD9" s="37">
        <f t="shared" si="12"/>
        <v>-1.7070919444444443</v>
      </c>
      <c r="AE9" s="37">
        <v>-6.56</v>
      </c>
      <c r="AF9" s="37">
        <v>-9.8894198717948694</v>
      </c>
      <c r="AG9" s="37">
        <v>0</v>
      </c>
    </row>
    <row r="10" spans="1:33" ht="15.75" customHeight="1" x14ac:dyDescent="0.2">
      <c r="A10" s="26" t="s">
        <v>48</v>
      </c>
      <c r="B10" s="26" t="s">
        <v>193</v>
      </c>
      <c r="C10" s="14">
        <f t="shared" si="4"/>
        <v>29.27</v>
      </c>
      <c r="D10" s="27">
        <v>5</v>
      </c>
      <c r="E10" s="27">
        <v>3</v>
      </c>
      <c r="F10" s="28">
        <v>146.35</v>
      </c>
      <c r="G10" s="28">
        <v>-0.04</v>
      </c>
      <c r="H10" s="29">
        <f t="shared" si="1"/>
        <v>2.7331738981892727E-4</v>
      </c>
      <c r="I10" s="29">
        <f t="shared" si="2"/>
        <v>0.2794058712137803</v>
      </c>
      <c r="J10" s="30">
        <f t="shared" si="5"/>
        <v>40.891049252136746</v>
      </c>
      <c r="K10" s="30">
        <f t="shared" si="3"/>
        <v>8.1782098504273488</v>
      </c>
      <c r="L10" s="27">
        <v>43</v>
      </c>
      <c r="M10" s="31">
        <f t="shared" si="6"/>
        <v>0.11627906976744186</v>
      </c>
      <c r="N10" s="27">
        <v>10</v>
      </c>
      <c r="O10" s="32">
        <f t="shared" ref="O10:P10" si="18">D10/7</f>
        <v>0.7142857142857143</v>
      </c>
      <c r="P10" s="32">
        <f t="shared" si="18"/>
        <v>0.42857142857142855</v>
      </c>
      <c r="Q10" s="27">
        <f t="shared" si="8"/>
        <v>8</v>
      </c>
      <c r="R10" s="27"/>
      <c r="S10" s="33">
        <v>1.76878612716763</v>
      </c>
      <c r="T10" s="26">
        <v>441</v>
      </c>
      <c r="U10" s="34">
        <v>119</v>
      </c>
      <c r="V10" s="35" t="s">
        <v>990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0.17671759259259259</v>
      </c>
      <c r="AD10" s="37">
        <f t="shared" si="12"/>
        <v>-1.2193513888888887</v>
      </c>
      <c r="AE10" s="37">
        <v>-6.56</v>
      </c>
      <c r="AF10" s="37">
        <v>-9.8894198717948694</v>
      </c>
      <c r="AG10" s="37">
        <v>0</v>
      </c>
    </row>
    <row r="11" spans="1:33" ht="15.75" customHeight="1" x14ac:dyDescent="0.2">
      <c r="A11" s="26" t="s">
        <v>50</v>
      </c>
      <c r="B11" s="26" t="s">
        <v>991</v>
      </c>
      <c r="C11" s="14">
        <f t="shared" si="4"/>
        <v>30.99</v>
      </c>
      <c r="D11" s="27">
        <v>3</v>
      </c>
      <c r="E11" s="27">
        <v>0</v>
      </c>
      <c r="F11" s="28">
        <v>92.97</v>
      </c>
      <c r="G11" s="28">
        <v>0</v>
      </c>
      <c r="H11" s="29">
        <f t="shared" si="1"/>
        <v>0</v>
      </c>
      <c r="I11" s="29">
        <f t="shared" si="2"/>
        <v>0.31133300582211532</v>
      </c>
      <c r="J11" s="30">
        <f t="shared" si="5"/>
        <v>28.944629551282063</v>
      </c>
      <c r="K11" s="30">
        <f t="shared" si="3"/>
        <v>9.6482098504273548</v>
      </c>
      <c r="L11" s="27">
        <v>37</v>
      </c>
      <c r="M11" s="31">
        <f t="shared" si="6"/>
        <v>8.1081081081081086E-2</v>
      </c>
      <c r="N11" s="27">
        <v>5</v>
      </c>
      <c r="O11" s="32">
        <f t="shared" ref="O11:P11" si="19">D11/7</f>
        <v>0.42857142857142855</v>
      </c>
      <c r="P11" s="32">
        <f t="shared" si="19"/>
        <v>0</v>
      </c>
      <c r="Q11" s="27">
        <f t="shared" si="8"/>
        <v>11</v>
      </c>
      <c r="R11" s="27"/>
      <c r="S11" s="33">
        <v>1.8904109589041</v>
      </c>
      <c r="T11" s="26">
        <v>441</v>
      </c>
      <c r="U11" s="34">
        <v>119</v>
      </c>
      <c r="V11" s="35" t="s">
        <v>992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0.17671759259259259</v>
      </c>
      <c r="AD11" s="37">
        <f t="shared" si="12"/>
        <v>-0.73161083333333332</v>
      </c>
      <c r="AE11" s="37">
        <v>-6.56</v>
      </c>
      <c r="AF11" s="37">
        <v>-9.8894198717948694</v>
      </c>
      <c r="AG11" s="37">
        <v>0</v>
      </c>
    </row>
    <row r="12" spans="1:33" ht="15.75" customHeight="1" x14ac:dyDescent="0.2">
      <c r="A12" s="26" t="s">
        <v>52</v>
      </c>
      <c r="B12" s="26" t="s">
        <v>993</v>
      </c>
      <c r="C12" s="14">
        <f t="shared" si="4"/>
        <v>30.99</v>
      </c>
      <c r="D12" s="27">
        <v>2</v>
      </c>
      <c r="E12" s="27">
        <v>1</v>
      </c>
      <c r="F12" s="28">
        <v>61.98</v>
      </c>
      <c r="G12" s="28">
        <v>0</v>
      </c>
      <c r="H12" s="29">
        <f t="shared" si="1"/>
        <v>0</v>
      </c>
      <c r="I12" s="29">
        <f t="shared" si="2"/>
        <v>0.31133300582211521</v>
      </c>
      <c r="J12" s="30">
        <f t="shared" si="5"/>
        <v>19.296419700854699</v>
      </c>
      <c r="K12" s="30">
        <f t="shared" si="3"/>
        <v>9.6482098504273495</v>
      </c>
      <c r="L12" s="27">
        <v>30</v>
      </c>
      <c r="M12" s="31">
        <f t="shared" si="6"/>
        <v>6.6666666666666666E-2</v>
      </c>
      <c r="N12" s="27">
        <v>2</v>
      </c>
      <c r="O12" s="32">
        <f t="shared" ref="O12:P12" si="20">D12/7</f>
        <v>0.2857142857142857</v>
      </c>
      <c r="P12" s="32">
        <f t="shared" si="20"/>
        <v>0.14285714285714285</v>
      </c>
      <c r="Q12" s="27">
        <f t="shared" si="8"/>
        <v>4</v>
      </c>
      <c r="R12" s="27"/>
      <c r="S12" s="33">
        <v>2.1011673151750898</v>
      </c>
      <c r="T12" s="26">
        <v>441</v>
      </c>
      <c r="U12" s="34">
        <v>119</v>
      </c>
      <c r="V12" s="35" t="s">
        <v>994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0.17671759259259259</v>
      </c>
      <c r="AD12" s="37">
        <f t="shared" si="12"/>
        <v>-0.48774055555555551</v>
      </c>
      <c r="AE12" s="37">
        <v>-6.56</v>
      </c>
      <c r="AF12" s="37">
        <v>-9.8894198717948694</v>
      </c>
      <c r="AG12" s="37">
        <v>0</v>
      </c>
    </row>
    <row r="13" spans="1:33" ht="15.75" customHeight="1" x14ac:dyDescent="0.2">
      <c r="A13" s="26" t="s">
        <v>54</v>
      </c>
      <c r="B13" s="26" t="s">
        <v>461</v>
      </c>
      <c r="C13" s="14">
        <f t="shared" si="4"/>
        <v>30.99</v>
      </c>
      <c r="D13" s="27">
        <v>2</v>
      </c>
      <c r="E13" s="27">
        <v>0</v>
      </c>
      <c r="F13" s="30">
        <v>61.98</v>
      </c>
      <c r="G13" s="28">
        <v>0</v>
      </c>
      <c r="H13" s="29">
        <f t="shared" si="1"/>
        <v>0</v>
      </c>
      <c r="I13" s="29">
        <f t="shared" si="2"/>
        <v>0.30719602201426971</v>
      </c>
      <c r="J13" s="30">
        <f t="shared" si="5"/>
        <v>19.040009444444436</v>
      </c>
      <c r="K13" s="30">
        <f t="shared" si="3"/>
        <v>9.5200047222222182</v>
      </c>
      <c r="L13" s="27">
        <v>6</v>
      </c>
      <c r="M13" s="31">
        <f t="shared" si="6"/>
        <v>0.33333333333333331</v>
      </c>
      <c r="N13" s="27">
        <v>0</v>
      </c>
      <c r="O13" s="32">
        <f t="shared" ref="O13:P13" si="21">D13/7</f>
        <v>0.2857142857142857</v>
      </c>
      <c r="P13" s="32">
        <f t="shared" si="21"/>
        <v>0</v>
      </c>
      <c r="Q13" s="27">
        <f t="shared" si="8"/>
        <v>0</v>
      </c>
      <c r="R13" s="27"/>
      <c r="S13" s="33">
        <v>2.1440000000000001</v>
      </c>
      <c r="T13" s="26">
        <v>441</v>
      </c>
      <c r="U13" s="34">
        <v>119</v>
      </c>
      <c r="V13" s="35" t="s">
        <v>995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0.17671759259259259</v>
      </c>
      <c r="AD13" s="37">
        <f t="shared" si="12"/>
        <v>-0.48774055555555551</v>
      </c>
      <c r="AE13" s="37">
        <v>-6.56</v>
      </c>
      <c r="AF13" s="37">
        <v>-10.017625000000001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441</v>
      </c>
      <c r="U14" s="34">
        <v>119</v>
      </c>
      <c r="V14" s="35" t="s">
        <v>995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0.17671759259259259</v>
      </c>
      <c r="AD14" s="37">
        <f t="shared" si="12"/>
        <v>0</v>
      </c>
      <c r="AE14" s="37">
        <v>-6.56</v>
      </c>
      <c r="AF14" s="37">
        <v>-10.017625000000001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441</v>
      </c>
      <c r="U15" s="34">
        <v>119</v>
      </c>
      <c r="V15" s="35" t="s">
        <v>996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0.17671759259259259</v>
      </c>
      <c r="AD15" s="37">
        <f t="shared" si="12"/>
        <v>0</v>
      </c>
      <c r="AE15" s="37">
        <v>-6.56</v>
      </c>
      <c r="AF15" s="37">
        <v>-10.017625000000001</v>
      </c>
      <c r="AG15" s="37">
        <v>0</v>
      </c>
    </row>
    <row r="16" spans="1:33" ht="15.75" customHeight="1" x14ac:dyDescent="0.2">
      <c r="A16" s="26" t="s">
        <v>60</v>
      </c>
      <c r="B16" s="26" t="s">
        <v>997</v>
      </c>
      <c r="C16" s="14">
        <f t="shared" si="4"/>
        <v>30.99</v>
      </c>
      <c r="D16" s="27">
        <v>1</v>
      </c>
      <c r="E16" s="27">
        <v>0</v>
      </c>
      <c r="F16" s="30">
        <v>30.99</v>
      </c>
      <c r="G16" s="28">
        <v>0</v>
      </c>
      <c r="H16" s="29">
        <f t="shared" si="1"/>
        <v>0</v>
      </c>
      <c r="I16" s="29">
        <f t="shared" si="2"/>
        <v>0.30719602201426971</v>
      </c>
      <c r="J16" s="30">
        <f t="shared" si="5"/>
        <v>9.5200047222222182</v>
      </c>
      <c r="K16" s="30">
        <f t="shared" si="3"/>
        <v>9.5200047222222182</v>
      </c>
      <c r="L16" s="27">
        <v>2</v>
      </c>
      <c r="M16" s="31">
        <f t="shared" si="6"/>
        <v>0.5</v>
      </c>
      <c r="N16" s="27">
        <v>120</v>
      </c>
      <c r="O16" s="32">
        <f t="shared" ref="O16:P16" si="24">D16/7</f>
        <v>0.14285714285714285</v>
      </c>
      <c r="P16" s="32">
        <f t="shared" si="24"/>
        <v>0</v>
      </c>
      <c r="Q16" s="27">
        <f t="shared" si="8"/>
        <v>840</v>
      </c>
      <c r="R16" s="27"/>
      <c r="S16" s="33">
        <v>1.3120000000000001</v>
      </c>
      <c r="T16" s="26">
        <v>322</v>
      </c>
      <c r="U16" s="34" t="s">
        <v>34</v>
      </c>
      <c r="V16" s="35" t="s">
        <v>998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0.17671759259259259</v>
      </c>
      <c r="AD16" s="37">
        <f t="shared" si="12"/>
        <v>-0.24387027777777776</v>
      </c>
      <c r="AE16" s="37">
        <v>-6.56</v>
      </c>
      <c r="AF16" s="37">
        <v>-10.017625000000001</v>
      </c>
      <c r="AG16" s="37">
        <v>0</v>
      </c>
    </row>
    <row r="17" spans="1:33" ht="15.75" customHeight="1" x14ac:dyDescent="0.2">
      <c r="A17" s="26" t="s">
        <v>61</v>
      </c>
      <c r="B17" s="26" t="s">
        <v>406</v>
      </c>
      <c r="C17" s="14">
        <f t="shared" si="4"/>
        <v>27.689999999999998</v>
      </c>
      <c r="D17" s="27">
        <v>2</v>
      </c>
      <c r="E17" s="27">
        <v>0</v>
      </c>
      <c r="F17" s="30">
        <v>55.379999999999995</v>
      </c>
      <c r="G17" s="28">
        <v>0</v>
      </c>
      <c r="H17" s="29">
        <f t="shared" si="1"/>
        <v>0</v>
      </c>
      <c r="I17" s="29">
        <f t="shared" si="2"/>
        <v>0.24250649051001152</v>
      </c>
      <c r="J17" s="30">
        <f t="shared" si="5"/>
        <v>13.430009444444437</v>
      </c>
      <c r="K17" s="30">
        <f t="shared" si="3"/>
        <v>6.7150047222222184</v>
      </c>
      <c r="L17" s="27">
        <v>24</v>
      </c>
      <c r="M17" s="31">
        <f t="shared" si="6"/>
        <v>8.3333333333333329E-2</v>
      </c>
      <c r="N17" s="27">
        <v>118</v>
      </c>
      <c r="O17" s="32">
        <f t="shared" ref="O17:P17" si="25">D17/7</f>
        <v>0.2857142857142857</v>
      </c>
      <c r="P17" s="32">
        <f t="shared" si="25"/>
        <v>0</v>
      </c>
      <c r="Q17" s="27">
        <f t="shared" si="8"/>
        <v>413</v>
      </c>
      <c r="R17" s="27"/>
      <c r="S17" s="33">
        <v>1.33891213389121</v>
      </c>
      <c r="T17" s="26">
        <v>322</v>
      </c>
      <c r="U17" s="34" t="s">
        <v>34</v>
      </c>
      <c r="V17" s="35" t="s">
        <v>998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0.17671759259259259</v>
      </c>
      <c r="AD17" s="37">
        <f t="shared" si="12"/>
        <v>-0.48774055555555551</v>
      </c>
      <c r="AE17" s="37">
        <v>-6.56</v>
      </c>
      <c r="AF17" s="37">
        <v>-10.017625000000001</v>
      </c>
      <c r="AG17" s="37">
        <v>0</v>
      </c>
    </row>
    <row r="18" spans="1:33" ht="15.75" customHeight="1" x14ac:dyDescent="0.2">
      <c r="A18" s="26" t="s">
        <v>62</v>
      </c>
      <c r="B18" s="26" t="s">
        <v>523</v>
      </c>
      <c r="C18" s="14">
        <f t="shared" si="4"/>
        <v>24.990000000000002</v>
      </c>
      <c r="D18" s="27">
        <v>8</v>
      </c>
      <c r="E18" s="27">
        <v>1</v>
      </c>
      <c r="F18" s="30">
        <v>199.92000000000002</v>
      </c>
      <c r="G18" s="28">
        <v>0</v>
      </c>
      <c r="H18" s="29">
        <f t="shared" si="1"/>
        <v>0</v>
      </c>
      <c r="I18" s="29">
        <f t="shared" si="2"/>
        <v>0.17687093726379446</v>
      </c>
      <c r="J18" s="30">
        <f t="shared" si="5"/>
        <v>35.360037777777791</v>
      </c>
      <c r="K18" s="30">
        <f t="shared" si="3"/>
        <v>4.4200047222222238</v>
      </c>
      <c r="L18" s="27">
        <v>53</v>
      </c>
      <c r="M18" s="31">
        <f t="shared" si="6"/>
        <v>0.15094339622641509</v>
      </c>
      <c r="N18" s="27">
        <v>96</v>
      </c>
      <c r="O18" s="32">
        <f t="shared" ref="O18:P18" si="26">D18/7</f>
        <v>1.1428571428571428</v>
      </c>
      <c r="P18" s="32">
        <f t="shared" si="26"/>
        <v>0.14285714285714285</v>
      </c>
      <c r="Q18" s="27">
        <f t="shared" si="8"/>
        <v>74</v>
      </c>
      <c r="R18" s="27"/>
      <c r="S18" s="33">
        <v>1.3118279569892399</v>
      </c>
      <c r="T18" s="26">
        <v>322</v>
      </c>
      <c r="U18" s="34" t="s">
        <v>34</v>
      </c>
      <c r="V18" s="35" t="s">
        <v>998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0.17671759259259259</v>
      </c>
      <c r="AD18" s="37">
        <f t="shared" si="12"/>
        <v>-1.950962222222222</v>
      </c>
      <c r="AE18" s="37">
        <v>-6.56</v>
      </c>
      <c r="AF18" s="37">
        <v>-10.017625000000001</v>
      </c>
      <c r="AG18" s="37">
        <v>0</v>
      </c>
    </row>
    <row r="19" spans="1:33" ht="15.75" customHeight="1" x14ac:dyDescent="0.2">
      <c r="A19" s="26" t="s">
        <v>64</v>
      </c>
      <c r="B19" s="26" t="s">
        <v>523</v>
      </c>
      <c r="C19" s="14">
        <f t="shared" si="4"/>
        <v>24.99</v>
      </c>
      <c r="D19" s="27">
        <v>5</v>
      </c>
      <c r="E19" s="27">
        <v>1</v>
      </c>
      <c r="F19" s="30">
        <v>124.94999999999999</v>
      </c>
      <c r="G19" s="28">
        <v>0</v>
      </c>
      <c r="H19" s="29">
        <f t="shared" si="1"/>
        <v>0</v>
      </c>
      <c r="I19" s="29">
        <f t="shared" si="2"/>
        <v>0.17723979141656648</v>
      </c>
      <c r="J19" s="30">
        <f t="shared" si="5"/>
        <v>22.146111937499981</v>
      </c>
      <c r="K19" s="30">
        <f t="shared" si="3"/>
        <v>4.4292223874999959</v>
      </c>
      <c r="L19" s="27">
        <v>25</v>
      </c>
      <c r="M19" s="31">
        <f t="shared" si="6"/>
        <v>0.2</v>
      </c>
      <c r="N19" s="27">
        <v>94</v>
      </c>
      <c r="O19" s="32">
        <f t="shared" ref="O19:P19" si="27">D19/7</f>
        <v>0.7142857142857143</v>
      </c>
      <c r="P19" s="32">
        <f t="shared" si="27"/>
        <v>0.14285714285714285</v>
      </c>
      <c r="Q19" s="27">
        <f t="shared" si="8"/>
        <v>109</v>
      </c>
      <c r="R19" s="27"/>
      <c r="S19" s="33">
        <v>1.53459119496855</v>
      </c>
      <c r="T19" s="26">
        <v>182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0.17003812500000001</v>
      </c>
      <c r="AD19" s="37">
        <f t="shared" si="12"/>
        <v>-1.1732630625</v>
      </c>
      <c r="AE19" s="37">
        <v>-6.56</v>
      </c>
      <c r="AF19" s="37">
        <v>-10.017625000000001</v>
      </c>
      <c r="AG19" s="37">
        <v>0</v>
      </c>
    </row>
    <row r="20" spans="1:33" ht="15.75" customHeight="1" x14ac:dyDescent="0.2">
      <c r="A20" s="26" t="s">
        <v>65</v>
      </c>
      <c r="B20" s="26" t="s">
        <v>999</v>
      </c>
      <c r="C20" s="14">
        <f t="shared" si="4"/>
        <v>24.99</v>
      </c>
      <c r="D20" s="27">
        <v>5</v>
      </c>
      <c r="E20" s="27">
        <v>0</v>
      </c>
      <c r="F20" s="30">
        <v>124.94999999999999</v>
      </c>
      <c r="G20" s="28">
        <v>0</v>
      </c>
      <c r="H20" s="29">
        <f t="shared" si="1"/>
        <v>0</v>
      </c>
      <c r="I20" s="29">
        <f t="shared" si="2"/>
        <v>0.17723979141656648</v>
      </c>
      <c r="J20" s="30">
        <f t="shared" si="5"/>
        <v>22.146111937499981</v>
      </c>
      <c r="K20" s="30">
        <f t="shared" si="3"/>
        <v>4.4292223874999959</v>
      </c>
      <c r="L20" s="27">
        <v>25</v>
      </c>
      <c r="M20" s="31">
        <f t="shared" si="6"/>
        <v>0.2</v>
      </c>
      <c r="N20" s="27">
        <v>91</v>
      </c>
      <c r="O20" s="32">
        <f t="shared" ref="O20:P20" si="28">D20/7</f>
        <v>0.7142857142857143</v>
      </c>
      <c r="P20" s="32">
        <f t="shared" si="28"/>
        <v>0</v>
      </c>
      <c r="Q20" s="27">
        <f t="shared" si="8"/>
        <v>127</v>
      </c>
      <c r="R20" s="27"/>
      <c r="S20" s="33">
        <v>1.52</v>
      </c>
      <c r="T20" s="26">
        <v>231</v>
      </c>
      <c r="U20" s="34" t="s">
        <v>34</v>
      </c>
      <c r="V20" s="35" t="s">
        <v>1000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0.17003812500000001</v>
      </c>
      <c r="AD20" s="37">
        <f t="shared" si="12"/>
        <v>-1.1732630625</v>
      </c>
      <c r="AE20" s="37">
        <v>-6.56</v>
      </c>
      <c r="AF20" s="37">
        <v>-10.017625000000001</v>
      </c>
      <c r="AG20" s="37">
        <v>0</v>
      </c>
    </row>
    <row r="21" spans="1:33" ht="15.75" customHeight="1" x14ac:dyDescent="0.2">
      <c r="A21" s="26" t="s">
        <v>66</v>
      </c>
      <c r="B21" s="26" t="s">
        <v>1001</v>
      </c>
      <c r="C21" s="14">
        <f t="shared" si="4"/>
        <v>23.18</v>
      </c>
      <c r="D21" s="27">
        <v>5</v>
      </c>
      <c r="E21" s="27">
        <v>0</v>
      </c>
      <c r="F21" s="30">
        <v>115.89999999999999</v>
      </c>
      <c r="G21" s="28">
        <v>0</v>
      </c>
      <c r="H21" s="29">
        <f t="shared" si="1"/>
        <v>0</v>
      </c>
      <c r="I21" s="29">
        <f t="shared" si="2"/>
        <v>0.12470760946937001</v>
      </c>
      <c r="J21" s="30">
        <f t="shared" si="5"/>
        <v>14.453611937499984</v>
      </c>
      <c r="K21" s="30">
        <f t="shared" si="3"/>
        <v>2.8907223874999968</v>
      </c>
      <c r="L21" s="27">
        <v>26</v>
      </c>
      <c r="M21" s="31">
        <f t="shared" si="6"/>
        <v>0.19230769230769232</v>
      </c>
      <c r="N21" s="27">
        <v>99</v>
      </c>
      <c r="O21" s="32">
        <f t="shared" ref="O21:P21" si="29">D21/7</f>
        <v>0.7142857142857143</v>
      </c>
      <c r="P21" s="32">
        <f t="shared" si="29"/>
        <v>0</v>
      </c>
      <c r="Q21" s="27">
        <f t="shared" si="8"/>
        <v>138</v>
      </c>
      <c r="R21" s="27"/>
      <c r="S21" s="33">
        <v>0.77272727272727204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0.17003812500000001</v>
      </c>
      <c r="AD21" s="37">
        <f t="shared" si="12"/>
        <v>-1.1732630625</v>
      </c>
      <c r="AE21" s="37">
        <v>-6.56</v>
      </c>
      <c r="AF21" s="37">
        <v>-10.017625000000001</v>
      </c>
      <c r="AG21" s="37">
        <v>0</v>
      </c>
    </row>
    <row r="22" spans="1:33" ht="15.75" customHeight="1" x14ac:dyDescent="0.2">
      <c r="A22" s="26" t="s">
        <v>67</v>
      </c>
      <c r="B22" s="26" t="s">
        <v>264</v>
      </c>
      <c r="C22" s="14">
        <f t="shared" si="4"/>
        <v>22.226428571428574</v>
      </c>
      <c r="D22" s="27">
        <v>14</v>
      </c>
      <c r="E22" s="27">
        <v>2</v>
      </c>
      <c r="F22" s="28">
        <v>311.17</v>
      </c>
      <c r="G22" s="28">
        <v>0</v>
      </c>
      <c r="H22" s="29">
        <f t="shared" si="1"/>
        <v>0</v>
      </c>
      <c r="I22" s="29">
        <f t="shared" si="2"/>
        <v>9.3590684914998251E-2</v>
      </c>
      <c r="J22" s="30">
        <f t="shared" si="5"/>
        <v>29.122613425000008</v>
      </c>
      <c r="K22" s="30">
        <f t="shared" si="3"/>
        <v>2.0801866732142864</v>
      </c>
      <c r="L22" s="27">
        <v>52</v>
      </c>
      <c r="M22" s="31">
        <f t="shared" si="6"/>
        <v>0.26923076923076922</v>
      </c>
      <c r="N22" s="27">
        <v>86</v>
      </c>
      <c r="O22" s="32">
        <f t="shared" ref="O22:P22" si="30">D22/7</f>
        <v>2</v>
      </c>
      <c r="P22" s="32">
        <f t="shared" si="30"/>
        <v>0.2857142857142857</v>
      </c>
      <c r="Q22" s="27">
        <f t="shared" si="8"/>
        <v>37</v>
      </c>
      <c r="R22" s="27"/>
      <c r="S22" s="33">
        <v>0.89256198347107396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0.17003812500000001</v>
      </c>
      <c r="AD22" s="37">
        <f t="shared" si="12"/>
        <v>-3.2851365750000001</v>
      </c>
      <c r="AE22" s="37">
        <v>-6.56</v>
      </c>
      <c r="AF22" s="37">
        <v>-10.017625000000001</v>
      </c>
      <c r="AG22" s="37">
        <v>0</v>
      </c>
    </row>
    <row r="23" spans="1:33" ht="15.75" customHeight="1" x14ac:dyDescent="0.2">
      <c r="A23" s="26" t="s">
        <v>68</v>
      </c>
      <c r="B23" s="26" t="s">
        <v>1002</v>
      </c>
      <c r="C23" s="14">
        <f t="shared" si="4"/>
        <v>23.990000000000002</v>
      </c>
      <c r="D23" s="27">
        <v>7</v>
      </c>
      <c r="E23" s="27">
        <v>3</v>
      </c>
      <c r="F23" s="30">
        <v>167.93</v>
      </c>
      <c r="G23" s="28">
        <v>0</v>
      </c>
      <c r="H23" s="29">
        <f t="shared" si="1"/>
        <v>0</v>
      </c>
      <c r="I23" s="29">
        <f t="shared" si="2"/>
        <v>0.14919643132555224</v>
      </c>
      <c r="J23" s="30">
        <f t="shared" si="5"/>
        <v>25.054556712499991</v>
      </c>
      <c r="K23" s="30">
        <f t="shared" si="3"/>
        <v>3.5792223874999989</v>
      </c>
      <c r="L23" s="27">
        <v>47</v>
      </c>
      <c r="M23" s="31">
        <f t="shared" si="6"/>
        <v>0.14893617021276595</v>
      </c>
      <c r="N23" s="27">
        <v>76</v>
      </c>
      <c r="O23" s="32">
        <f t="shared" ref="O23:P23" si="31">D23/7</f>
        <v>1</v>
      </c>
      <c r="P23" s="32">
        <f t="shared" si="31"/>
        <v>0.42857142857142855</v>
      </c>
      <c r="Q23" s="27">
        <f t="shared" si="8"/>
        <v>53</v>
      </c>
      <c r="R23" s="27"/>
      <c r="S23" s="33">
        <v>1.0246305418719199</v>
      </c>
      <c r="T23" s="26">
        <v>231</v>
      </c>
      <c r="U23" s="34">
        <v>49</v>
      </c>
      <c r="V23" s="35" t="s">
        <v>1003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0.17003812500000001</v>
      </c>
      <c r="AD23" s="37">
        <f t="shared" si="12"/>
        <v>-1.6425682875000001</v>
      </c>
      <c r="AE23" s="37">
        <v>-6.56</v>
      </c>
      <c r="AF23" s="37">
        <v>-10.017625000000001</v>
      </c>
      <c r="AG23" s="37">
        <v>0</v>
      </c>
    </row>
    <row r="24" spans="1:33" ht="15.75" customHeight="1" x14ac:dyDescent="0.2">
      <c r="A24" s="26" t="s">
        <v>71</v>
      </c>
      <c r="B24" s="26" t="s">
        <v>523</v>
      </c>
      <c r="C24" s="14">
        <f t="shared" si="4"/>
        <v>22.990000000000002</v>
      </c>
      <c r="D24" s="27">
        <v>8</v>
      </c>
      <c r="E24" s="27">
        <v>2</v>
      </c>
      <c r="F24" s="30">
        <v>183.92000000000002</v>
      </c>
      <c r="G24" s="30">
        <v>0</v>
      </c>
      <c r="H24" s="29">
        <f t="shared" si="1"/>
        <v>0</v>
      </c>
      <c r="I24" s="29">
        <f t="shared" si="2"/>
        <v>0.1187134574815138</v>
      </c>
      <c r="J24" s="30">
        <f t="shared" si="5"/>
        <v>21.833779100000019</v>
      </c>
      <c r="K24" s="30">
        <f t="shared" si="3"/>
        <v>2.7292223875000023</v>
      </c>
      <c r="L24" s="27">
        <v>54</v>
      </c>
      <c r="M24" s="31">
        <f t="shared" si="6"/>
        <v>0.14814814814814814</v>
      </c>
      <c r="N24" s="27">
        <v>64</v>
      </c>
      <c r="O24" s="32">
        <f t="shared" ref="O24:P24" si="32">D24/7</f>
        <v>1.1428571428571428</v>
      </c>
      <c r="P24" s="32">
        <f t="shared" si="32"/>
        <v>0.2857142857142857</v>
      </c>
      <c r="Q24" s="27">
        <f t="shared" si="8"/>
        <v>44</v>
      </c>
      <c r="R24" s="27"/>
      <c r="S24" s="33">
        <v>1.34736842105263</v>
      </c>
      <c r="T24" s="26">
        <v>231</v>
      </c>
      <c r="U24" s="34">
        <v>49</v>
      </c>
      <c r="V24" s="35" t="s">
        <v>1004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0.17003812500000001</v>
      </c>
      <c r="AD24" s="37">
        <f t="shared" si="12"/>
        <v>-1.8772209</v>
      </c>
      <c r="AE24" s="37">
        <v>-6.56</v>
      </c>
      <c r="AF24" s="37">
        <v>-10.017625000000001</v>
      </c>
      <c r="AG24" s="37">
        <v>0</v>
      </c>
    </row>
    <row r="25" spans="1:33" ht="15.75" customHeight="1" x14ac:dyDescent="0.2">
      <c r="A25" s="40" t="s">
        <v>73</v>
      </c>
      <c r="B25" s="26" t="s">
        <v>523</v>
      </c>
      <c r="C25" s="14">
        <f t="shared" si="4"/>
        <v>22.99</v>
      </c>
      <c r="D25" s="15">
        <v>6</v>
      </c>
      <c r="E25" s="15">
        <v>0</v>
      </c>
      <c r="F25" s="16">
        <v>137.94</v>
      </c>
      <c r="G25" s="16">
        <v>0</v>
      </c>
      <c r="H25" s="29">
        <f t="shared" si="1"/>
        <v>0</v>
      </c>
      <c r="I25" s="29">
        <f t="shared" si="2"/>
        <v>0.11844907916485427</v>
      </c>
      <c r="J25" s="30">
        <f t="shared" si="5"/>
        <v>16.338865979999998</v>
      </c>
      <c r="K25" s="30">
        <f t="shared" si="3"/>
        <v>2.7231443299999998</v>
      </c>
      <c r="L25" s="15">
        <v>55</v>
      </c>
      <c r="M25" s="31">
        <f t="shared" si="6"/>
        <v>0.10909090909090909</v>
      </c>
      <c r="N25" s="15">
        <v>58</v>
      </c>
      <c r="O25" s="32">
        <f t="shared" ref="O25:P25" si="33">D25/7</f>
        <v>0.8571428571428571</v>
      </c>
      <c r="P25" s="32">
        <f t="shared" si="33"/>
        <v>0</v>
      </c>
      <c r="Q25" s="27">
        <f t="shared" si="8"/>
        <v>67</v>
      </c>
      <c r="R25" s="27"/>
      <c r="S25" s="41">
        <v>0.92715231788079466</v>
      </c>
      <c r="T25" s="26">
        <v>231</v>
      </c>
      <c r="U25" s="34">
        <v>49</v>
      </c>
      <c r="V25" s="35" t="s">
        <v>1005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0.17272149999999997</v>
      </c>
      <c r="AD25" s="37">
        <f t="shared" si="12"/>
        <v>-1.4301340199999997</v>
      </c>
      <c r="AE25" s="42">
        <v>-6.56</v>
      </c>
      <c r="AF25" s="42">
        <v>-10.02</v>
      </c>
      <c r="AG25" s="42">
        <v>0</v>
      </c>
    </row>
    <row r="26" spans="1:33" ht="15.75" customHeight="1" x14ac:dyDescent="0.2">
      <c r="A26" s="40" t="s">
        <v>75</v>
      </c>
      <c r="B26" s="26" t="s">
        <v>523</v>
      </c>
      <c r="C26" s="14">
        <f t="shared" si="4"/>
        <v>22.990000000000002</v>
      </c>
      <c r="D26" s="15">
        <v>5</v>
      </c>
      <c r="E26" s="15">
        <v>0</v>
      </c>
      <c r="F26" s="16">
        <v>114.95</v>
      </c>
      <c r="G26" s="16">
        <v>0</v>
      </c>
      <c r="H26" s="29">
        <f t="shared" si="1"/>
        <v>0</v>
      </c>
      <c r="I26" s="29">
        <f t="shared" si="2"/>
        <v>0.11768244149630268</v>
      </c>
      <c r="J26" s="30">
        <f t="shared" si="5"/>
        <v>13.527596649999992</v>
      </c>
      <c r="K26" s="30">
        <f t="shared" si="3"/>
        <v>2.7055193299999987</v>
      </c>
      <c r="L26" s="15">
        <v>60</v>
      </c>
      <c r="M26" s="31">
        <f t="shared" si="6"/>
        <v>8.3333333333333329E-2</v>
      </c>
      <c r="N26" s="15">
        <v>52</v>
      </c>
      <c r="O26" s="32">
        <f t="shared" ref="O26:P26" si="34">D26/7</f>
        <v>0.7142857142857143</v>
      </c>
      <c r="P26" s="32">
        <f t="shared" si="34"/>
        <v>0</v>
      </c>
      <c r="Q26" s="27">
        <f t="shared" si="8"/>
        <v>72</v>
      </c>
      <c r="R26" s="27"/>
      <c r="S26" s="41">
        <v>1.041666666666667</v>
      </c>
      <c r="T26" s="26">
        <v>231</v>
      </c>
      <c r="U26" s="34">
        <v>49</v>
      </c>
      <c r="V26" s="35" t="s">
        <v>1006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0.17272149999999997</v>
      </c>
      <c r="AD26" s="37">
        <f t="shared" si="12"/>
        <v>-1.1917783499999997</v>
      </c>
      <c r="AE26" s="42">
        <v>-6.58</v>
      </c>
      <c r="AF26" s="42">
        <v>-10.017625000000001</v>
      </c>
      <c r="AG26" s="42">
        <v>0</v>
      </c>
    </row>
    <row r="27" spans="1:33" ht="15.75" customHeight="1" x14ac:dyDescent="0.2">
      <c r="A27" s="40" t="s">
        <v>77</v>
      </c>
      <c r="B27" s="26" t="s">
        <v>523</v>
      </c>
      <c r="C27" s="14">
        <f t="shared" si="4"/>
        <v>22.990000000000002</v>
      </c>
      <c r="D27" s="15">
        <v>7</v>
      </c>
      <c r="E27" s="15">
        <v>0</v>
      </c>
      <c r="F27" s="16">
        <v>160.93</v>
      </c>
      <c r="G27" s="16">
        <v>0</v>
      </c>
      <c r="H27" s="29">
        <f t="shared" si="1"/>
        <v>0</v>
      </c>
      <c r="I27" s="29">
        <f t="shared" si="2"/>
        <v>0.11768244149630271</v>
      </c>
      <c r="J27" s="30">
        <f t="shared" si="5"/>
        <v>18.938635309999995</v>
      </c>
      <c r="K27" s="30">
        <f t="shared" si="3"/>
        <v>2.7055193299999991</v>
      </c>
      <c r="L27" s="15">
        <v>51</v>
      </c>
      <c r="M27" s="31">
        <f t="shared" si="6"/>
        <v>0.13725490196078433</v>
      </c>
      <c r="N27" s="15">
        <v>45</v>
      </c>
      <c r="O27" s="32">
        <f t="shared" ref="O27:P27" si="35">D27/7</f>
        <v>1</v>
      </c>
      <c r="P27" s="32">
        <f t="shared" si="35"/>
        <v>0</v>
      </c>
      <c r="Q27" s="27">
        <f t="shared" si="8"/>
        <v>45</v>
      </c>
      <c r="R27" s="27"/>
      <c r="S27" s="41">
        <v>1.3278008298755191</v>
      </c>
      <c r="T27" s="26">
        <v>133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0.17272149999999997</v>
      </c>
      <c r="AD27" s="37">
        <f t="shared" si="12"/>
        <v>-1.6684896899999995</v>
      </c>
      <c r="AE27" s="42">
        <v>-6.58</v>
      </c>
      <c r="AF27" s="42">
        <v>-10.017625000000001</v>
      </c>
      <c r="AG27" s="42">
        <v>0</v>
      </c>
    </row>
    <row r="28" spans="1:33" ht="15.75" customHeight="1" x14ac:dyDescent="0.2">
      <c r="A28" s="40" t="s">
        <v>79</v>
      </c>
      <c r="B28" s="40" t="s">
        <v>1007</v>
      </c>
      <c r="C28" s="14">
        <f t="shared" si="4"/>
        <v>22.99</v>
      </c>
      <c r="D28" s="15">
        <v>4</v>
      </c>
      <c r="E28" s="15">
        <v>0</v>
      </c>
      <c r="F28" s="16">
        <v>91.96</v>
      </c>
      <c r="G28" s="16">
        <v>0</v>
      </c>
      <c r="H28" s="29">
        <f t="shared" si="1"/>
        <v>0</v>
      </c>
      <c r="I28" s="29">
        <f t="shared" si="2"/>
        <v>0.11768244149630269</v>
      </c>
      <c r="J28" s="30">
        <f t="shared" si="5"/>
        <v>10.822077319999995</v>
      </c>
      <c r="K28" s="30">
        <f t="shared" si="3"/>
        <v>2.7055193299999987</v>
      </c>
      <c r="L28" s="15">
        <v>40</v>
      </c>
      <c r="M28" s="31">
        <f t="shared" si="6"/>
        <v>0.1</v>
      </c>
      <c r="N28" s="15">
        <v>91</v>
      </c>
      <c r="O28" s="32">
        <f t="shared" ref="O28:P28" si="36">D28/7</f>
        <v>0.5714285714285714</v>
      </c>
      <c r="P28" s="32">
        <f t="shared" si="36"/>
        <v>0</v>
      </c>
      <c r="Q28" s="27">
        <f t="shared" si="8"/>
        <v>159</v>
      </c>
      <c r="R28" s="27"/>
      <c r="S28" s="41">
        <v>1.231884057971014</v>
      </c>
      <c r="T28" s="40" t="s">
        <v>34</v>
      </c>
      <c r="U28" s="22" t="s">
        <v>34</v>
      </c>
      <c r="V28" s="1" t="s">
        <v>1008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0.17272149999999997</v>
      </c>
      <c r="AD28" s="37">
        <f t="shared" si="12"/>
        <v>-0.95342267999999974</v>
      </c>
      <c r="AE28" s="42">
        <v>-6.58</v>
      </c>
      <c r="AF28" s="42">
        <v>-10.017625000000001</v>
      </c>
      <c r="AG28" s="42">
        <v>0</v>
      </c>
    </row>
    <row r="29" spans="1:33" ht="15.75" customHeight="1" x14ac:dyDescent="0.2">
      <c r="A29" s="26" t="s">
        <v>82</v>
      </c>
      <c r="B29" s="26" t="s">
        <v>523</v>
      </c>
      <c r="C29" s="14">
        <f t="shared" si="4"/>
        <v>20.59</v>
      </c>
      <c r="D29" s="27">
        <v>5</v>
      </c>
      <c r="E29" s="27">
        <v>1</v>
      </c>
      <c r="F29" s="30">
        <v>102.95</v>
      </c>
      <c r="G29" s="30">
        <v>-0.19</v>
      </c>
      <c r="H29" s="29">
        <f t="shared" si="1"/>
        <v>1.8455560951918407E-3</v>
      </c>
      <c r="I29" s="29">
        <f t="shared" si="2"/>
        <v>3.0209068587771764E-2</v>
      </c>
      <c r="J29" s="30">
        <f t="shared" si="5"/>
        <v>3.110023611111103</v>
      </c>
      <c r="K29" s="30">
        <f t="shared" si="3"/>
        <v>0.62200472222222059</v>
      </c>
      <c r="L29" s="27">
        <v>64</v>
      </c>
      <c r="M29" s="31">
        <f t="shared" si="6"/>
        <v>7.8125E-2</v>
      </c>
      <c r="N29" s="15">
        <v>84</v>
      </c>
      <c r="O29" s="32">
        <f t="shared" ref="O29:P29" si="37">D29/7</f>
        <v>0.7142857142857143</v>
      </c>
      <c r="P29" s="32">
        <f t="shared" si="37"/>
        <v>0.14285714285714285</v>
      </c>
      <c r="Q29" s="27">
        <f t="shared" si="8"/>
        <v>98</v>
      </c>
      <c r="R29" s="27"/>
      <c r="S29" s="41">
        <v>0.9658792650918635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0.17671759259259259</v>
      </c>
      <c r="AD29" s="37">
        <f t="shared" si="12"/>
        <v>-1.2193513888888887</v>
      </c>
      <c r="AE29" s="37">
        <v>-6.58</v>
      </c>
      <c r="AF29" s="42">
        <v>-10.017625000000001</v>
      </c>
      <c r="AG29" s="37">
        <v>0</v>
      </c>
    </row>
    <row r="30" spans="1:33" ht="15.75" customHeight="1" x14ac:dyDescent="0.2">
      <c r="A30" s="40" t="s">
        <v>84</v>
      </c>
      <c r="B30" s="26" t="s">
        <v>1009</v>
      </c>
      <c r="C30" s="14">
        <f t="shared" si="4"/>
        <v>19.990000000000002</v>
      </c>
      <c r="D30" s="15">
        <v>11</v>
      </c>
      <c r="E30" s="15">
        <v>0</v>
      </c>
      <c r="F30" s="16">
        <v>219.89000000000001</v>
      </c>
      <c r="G30" s="16">
        <v>-0.2</v>
      </c>
      <c r="H30" s="29">
        <f t="shared" si="1"/>
        <v>9.09545681931875E-4</v>
      </c>
      <c r="I30" s="29">
        <f t="shared" si="2"/>
        <v>2.9682100627333969E-2</v>
      </c>
      <c r="J30" s="30">
        <f t="shared" si="5"/>
        <v>6.5267971069444668</v>
      </c>
      <c r="K30" s="30">
        <f t="shared" si="3"/>
        <v>0.5933451915404061</v>
      </c>
      <c r="L30" s="15">
        <v>36</v>
      </c>
      <c r="M30" s="31">
        <f t="shared" si="6"/>
        <v>0.30555555555555558</v>
      </c>
      <c r="N30" s="15">
        <v>76</v>
      </c>
      <c r="O30" s="32">
        <f t="shared" ref="O30:P30" si="38">D30/7</f>
        <v>1.5714285714285714</v>
      </c>
      <c r="P30" s="32">
        <f t="shared" si="38"/>
        <v>0</v>
      </c>
      <c r="Q30" s="27">
        <f t="shared" si="8"/>
        <v>48</v>
      </c>
      <c r="R30" s="27"/>
      <c r="S30" s="41">
        <v>0.99470899470899465</v>
      </c>
      <c r="T30" s="26">
        <v>133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0.17671759259259259</v>
      </c>
      <c r="AD30" s="37">
        <f t="shared" si="12"/>
        <v>-2.6825730555555554</v>
      </c>
      <c r="AE30" s="42">
        <v>-6.58</v>
      </c>
      <c r="AF30" s="42">
        <v>-9.5561027124999995</v>
      </c>
      <c r="AG30" s="42">
        <v>0</v>
      </c>
    </row>
    <row r="31" spans="1:33" ht="15.75" customHeight="1" x14ac:dyDescent="0.2">
      <c r="A31" s="40" t="s">
        <v>87</v>
      </c>
      <c r="B31" s="40" t="s">
        <v>1010</v>
      </c>
      <c r="C31" s="14">
        <f t="shared" si="4"/>
        <v>21.808181818181822</v>
      </c>
      <c r="D31" s="15">
        <v>11</v>
      </c>
      <c r="E31" s="15">
        <v>1</v>
      </c>
      <c r="F31" s="16">
        <v>239.89000000000004</v>
      </c>
      <c r="G31" s="43">
        <v>-0.02</v>
      </c>
      <c r="H31" s="29">
        <f t="shared" si="1"/>
        <v>8.3371545291591962E-5</v>
      </c>
      <c r="I31" s="29">
        <f t="shared" si="2"/>
        <v>9.8823615436010009E-2</v>
      </c>
      <c r="J31" s="30">
        <f t="shared" si="5"/>
        <v>23.706797106944446</v>
      </c>
      <c r="K31" s="30">
        <f t="shared" si="3"/>
        <v>2.1551633733585862</v>
      </c>
      <c r="L31" s="15">
        <v>49</v>
      </c>
      <c r="M31" s="31">
        <f t="shared" si="6"/>
        <v>0.22448979591836735</v>
      </c>
      <c r="N31" s="15">
        <v>62</v>
      </c>
      <c r="O31" s="32">
        <f t="shared" ref="O31:P31" si="39">D31/7</f>
        <v>1.5714285714285714</v>
      </c>
      <c r="P31" s="32">
        <f t="shared" si="39"/>
        <v>0.14285714285714285</v>
      </c>
      <c r="Q31" s="27">
        <f t="shared" si="8"/>
        <v>36</v>
      </c>
      <c r="R31" s="27"/>
      <c r="S31" s="41">
        <v>1.2316715542521901</v>
      </c>
      <c r="T31" s="40">
        <v>133</v>
      </c>
      <c r="U31" s="22" t="s">
        <v>34</v>
      </c>
      <c r="V31" s="1" t="s">
        <v>1008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0.17671759259259259</v>
      </c>
      <c r="AD31" s="37">
        <f t="shared" si="12"/>
        <v>-2.6825730555555554</v>
      </c>
      <c r="AE31" s="45">
        <v>-6.58</v>
      </c>
      <c r="AF31" s="45">
        <v>-9.5561027125000013</v>
      </c>
      <c r="AG31" s="42">
        <v>0</v>
      </c>
    </row>
    <row r="32" spans="1:33" ht="15.75" customHeight="1" x14ac:dyDescent="0.2">
      <c r="A32" s="40" t="s">
        <v>90</v>
      </c>
      <c r="B32" s="40" t="s">
        <v>1010</v>
      </c>
      <c r="C32" s="14">
        <f t="shared" si="4"/>
        <v>24.99</v>
      </c>
      <c r="D32" s="15">
        <v>3</v>
      </c>
      <c r="E32" s="15">
        <v>0</v>
      </c>
      <c r="F32" s="16">
        <v>74.97</v>
      </c>
      <c r="G32" s="16">
        <v>0</v>
      </c>
      <c r="H32" s="29">
        <f t="shared" si="1"/>
        <v>0</v>
      </c>
      <c r="I32" s="29">
        <f t="shared" si="2"/>
        <v>0.19453889594726778</v>
      </c>
      <c r="J32" s="30">
        <f t="shared" si="5"/>
        <v>14.584581029166666</v>
      </c>
      <c r="K32" s="30">
        <f t="shared" si="3"/>
        <v>4.8615270097222218</v>
      </c>
      <c r="L32" s="15">
        <v>42</v>
      </c>
      <c r="M32" s="31">
        <f t="shared" si="6"/>
        <v>7.1428571428571425E-2</v>
      </c>
      <c r="N32" s="15">
        <v>60</v>
      </c>
      <c r="O32" s="32">
        <f t="shared" ref="O32:P32" si="40">D32/7</f>
        <v>0.42857142857142855</v>
      </c>
      <c r="P32" s="32">
        <f t="shared" si="40"/>
        <v>0</v>
      </c>
      <c r="Q32" s="27">
        <f t="shared" si="8"/>
        <v>140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1.1461988304093571</v>
      </c>
      <c r="T32" s="40">
        <f ca="1">IFERROR(__xludf.DUMMYFUNCTION("IFERROR(VLOOKUP($B$2,IMPORTRANGE(""https://docs.google.com/spreadsheets/d/1KiWZV1ko8G7lnRucBRBd29jj3Be6ltMfljMDqzOkQmI/edit#gid=1381463014"",""Lookup!A:D""),4,FALSE),"""")"),133)</f>
        <v>133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133 At Factory 50-75 days from Earliest Arrival")</f>
        <v>No Transit, But 133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0.17671759259259259</v>
      </c>
      <c r="AD32" s="37">
        <f t="shared" si="12"/>
        <v>-0.73161083333333332</v>
      </c>
      <c r="AE32" s="42">
        <v>-6.58</v>
      </c>
      <c r="AF32" s="42">
        <v>-9.5561027124999995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8.1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6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Info!B1:BJ5000""),3,FALSE),"""")"),"Dual Glass Computer Monitor Stands - 16 x 9.5 inch - Perfect for Monitors, Laptop, Desktop &amp; More")</f>
        <v>Dual Glass Computer Monitor Stands - 16 x 9.5 inch - Perfect for Monitors, Laptop, Desktop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Info!B1:BJ5000""),2,FALSE),"""")"),"B07C8MN7N1")</f>
        <v>B07C8MN7N1</v>
      </c>
      <c r="B2" s="3" t="s">
        <v>1011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49.25" customHeight="1" x14ac:dyDescent="0.2">
      <c r="A3" s="68" t="s">
        <v>31</v>
      </c>
      <c r="B3" s="69"/>
      <c r="C3" s="48">
        <f>((AE32+AF32)/0.85)*-1</f>
        <v>22.917641588235295</v>
      </c>
      <c r="D3" s="5">
        <f>SUM(D4:D99767)</f>
        <v>344</v>
      </c>
      <c r="E3" s="5"/>
      <c r="F3" s="6">
        <f t="shared" ref="F3:G3" si="0">SUM(F4:F99767)</f>
        <v>10547.3</v>
      </c>
      <c r="G3" s="6">
        <f t="shared" si="0"/>
        <v>-143.79</v>
      </c>
      <c r="H3" s="7">
        <f t="shared" ref="H3:H32" si="1">G3/F3*-1</f>
        <v>1.3632872867937766E-2</v>
      </c>
      <c r="I3" s="8">
        <f t="shared" ref="I3:I32" si="2">J3/F3</f>
        <v>0.17533540548470553</v>
      </c>
      <c r="J3" s="6">
        <f>SUM(J4:J99767)</f>
        <v>1849.3151222688346</v>
      </c>
      <c r="K3" s="6">
        <f t="shared" ref="K3:K32" si="3">J3/D3</f>
        <v>5.3759160531070771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QTY-335")</f>
        <v>US QTY-335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10</v>
      </c>
      <c r="X3" s="7">
        <f>W3/D3</f>
        <v>2.9069767441860465E-2</v>
      </c>
      <c r="Y3" s="6"/>
      <c r="Z3" s="5"/>
      <c r="AA3" s="5"/>
      <c r="AB3" s="5"/>
      <c r="AC3" s="5"/>
      <c r="AD3" s="6">
        <f>SUM(AD4:AD99767)</f>
        <v>-109.56296960168021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Info!B2:BZ3000""),37,FALSE)),"""")*-1"),-12.29999535)</f>
        <v>-12.29999535</v>
      </c>
      <c r="AG3" s="6">
        <f>SUM(AG4:AG99767)</f>
        <v>0</v>
      </c>
    </row>
    <row r="4" spans="1:33" x14ac:dyDescent="0.2">
      <c r="A4" s="1" t="s">
        <v>32</v>
      </c>
      <c r="B4" s="2" t="s">
        <v>1012</v>
      </c>
      <c r="C4" s="14">
        <f t="shared" ref="C4:C32" si="4">IFERROR(F4/D4," - ")</f>
        <v>31.990000000000002</v>
      </c>
      <c r="D4" s="15">
        <v>21</v>
      </c>
      <c r="E4" s="15">
        <v>0</v>
      </c>
      <c r="F4" s="16">
        <v>671.79000000000008</v>
      </c>
      <c r="G4" s="16">
        <v>-20.66</v>
      </c>
      <c r="H4" s="17">
        <f t="shared" si="1"/>
        <v>3.0753658137215496E-2</v>
      </c>
      <c r="I4" s="17">
        <f t="shared" si="2"/>
        <v>0.19250374100995404</v>
      </c>
      <c r="J4" s="16">
        <f t="shared" ref="J4:J32" si="5">F4*0.85+G4+AF4*D4+D4*AE4+AG4+AD4</f>
        <v>129.32208817307705</v>
      </c>
      <c r="K4" s="16">
        <f t="shared" si="3"/>
        <v>6.1581946749084313</v>
      </c>
      <c r="L4" s="15">
        <v>1442</v>
      </c>
      <c r="M4" s="18">
        <f t="shared" ref="M4:M32" si="6">IFERROR(D4/L4,"-")</f>
        <v>1.4563106796116505E-2</v>
      </c>
      <c r="N4" s="15">
        <v>194</v>
      </c>
      <c r="O4" s="19">
        <f t="shared" ref="O4:P4" si="7">D4/7</f>
        <v>3</v>
      </c>
      <c r="P4" s="19">
        <f t="shared" si="7"/>
        <v>0</v>
      </c>
      <c r="Q4" s="15">
        <f t="shared" ref="Q4:Q32" si="8">ROUNDDOWN(N4/(O4+P4),0)</f>
        <v>64</v>
      </c>
      <c r="R4" s="15"/>
      <c r="S4" s="20">
        <v>1.5639810426540199</v>
      </c>
      <c r="T4" s="2">
        <v>935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9.5238095238095233E-2</v>
      </c>
      <c r="Y4" s="24">
        <f t="shared" ref="Y4:Y32" si="10">IFERROR(G4/(W4+Z4)*-1,0)</f>
        <v>10.33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0.23077083333333337</v>
      </c>
      <c r="AD4" s="24">
        <f t="shared" ref="AD4:AD32" si="12">IFERROR(AB4*AC4*D4*2,0)</f>
        <v>-6.6877387500000012</v>
      </c>
      <c r="AE4" s="24">
        <v>-7.32</v>
      </c>
      <c r="AF4" s="24">
        <v>-12.411032051282051</v>
      </c>
      <c r="AG4" s="24">
        <v>0</v>
      </c>
    </row>
    <row r="5" spans="1:33" ht="15.75" customHeight="1" x14ac:dyDescent="0.2">
      <c r="A5" s="26" t="s">
        <v>35</v>
      </c>
      <c r="B5" s="26" t="s">
        <v>966</v>
      </c>
      <c r="C5" s="14">
        <f t="shared" si="4"/>
        <v>32.079677419354837</v>
      </c>
      <c r="D5" s="27">
        <v>31</v>
      </c>
      <c r="E5" s="27">
        <v>0</v>
      </c>
      <c r="F5" s="28">
        <v>994.47</v>
      </c>
      <c r="G5" s="28">
        <v>-4.37</v>
      </c>
      <c r="H5" s="29">
        <f t="shared" si="1"/>
        <v>4.3943004816635999E-3</v>
      </c>
      <c r="I5" s="29">
        <f t="shared" si="2"/>
        <v>0.22060362862487171</v>
      </c>
      <c r="J5" s="30">
        <f t="shared" si="5"/>
        <v>219.38369055857618</v>
      </c>
      <c r="K5" s="30">
        <f t="shared" si="3"/>
        <v>7.0768932438250376</v>
      </c>
      <c r="L5" s="27">
        <v>265</v>
      </c>
      <c r="M5" s="31">
        <f t="shared" si="6"/>
        <v>0.1169811320754717</v>
      </c>
      <c r="N5" s="27">
        <v>158</v>
      </c>
      <c r="O5" s="32">
        <f t="shared" ref="O5:P5" si="13">D5/7</f>
        <v>4.4285714285714288</v>
      </c>
      <c r="P5" s="32">
        <f t="shared" si="13"/>
        <v>0</v>
      </c>
      <c r="Q5" s="27">
        <f t="shared" si="8"/>
        <v>35</v>
      </c>
      <c r="R5" s="27"/>
      <c r="S5" s="33">
        <v>1.3384321223709299</v>
      </c>
      <c r="T5" s="26">
        <v>935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0.23103823870220164</v>
      </c>
      <c r="AD5" s="37">
        <f t="shared" si="12"/>
        <v>-9.8838158516801844</v>
      </c>
      <c r="AE5" s="37">
        <v>-7.32</v>
      </c>
      <c r="AF5" s="37">
        <v>-12.411032051282051</v>
      </c>
      <c r="AG5" s="37">
        <v>0</v>
      </c>
    </row>
    <row r="6" spans="1:33" ht="15.75" customHeight="1" x14ac:dyDescent="0.2">
      <c r="A6" s="26" t="s">
        <v>38</v>
      </c>
      <c r="B6" s="26" t="s">
        <v>984</v>
      </c>
      <c r="C6" s="14">
        <f t="shared" si="4"/>
        <v>32.122222222222213</v>
      </c>
      <c r="D6" s="27">
        <v>27</v>
      </c>
      <c r="E6" s="27">
        <v>0</v>
      </c>
      <c r="F6" s="28">
        <v>867.29999999999973</v>
      </c>
      <c r="G6" s="28">
        <v>-0.08</v>
      </c>
      <c r="H6" s="29">
        <f t="shared" si="1"/>
        <v>9.224028594488646E-5</v>
      </c>
      <c r="I6" s="29">
        <f t="shared" si="2"/>
        <v>0.22574497101969829</v>
      </c>
      <c r="J6" s="30">
        <f t="shared" si="5"/>
        <v>195.78861336538426</v>
      </c>
      <c r="K6" s="30">
        <f t="shared" si="3"/>
        <v>7.2514301246438615</v>
      </c>
      <c r="L6" s="27">
        <v>219</v>
      </c>
      <c r="M6" s="31">
        <f t="shared" si="6"/>
        <v>0.12328767123287671</v>
      </c>
      <c r="N6" s="27">
        <v>132</v>
      </c>
      <c r="O6" s="32">
        <f t="shared" ref="O6:P6" si="14">D6/7</f>
        <v>3.8571428571428572</v>
      </c>
      <c r="P6" s="32">
        <f t="shared" si="14"/>
        <v>0</v>
      </c>
      <c r="Q6" s="27">
        <f t="shared" si="8"/>
        <v>34</v>
      </c>
      <c r="R6" s="27"/>
      <c r="S6" s="33">
        <v>1.34774774774774</v>
      </c>
      <c r="T6" s="26">
        <v>560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0.23077083333333337</v>
      </c>
      <c r="AD6" s="37">
        <f t="shared" si="12"/>
        <v>-8.598521250000001</v>
      </c>
      <c r="AE6" s="37">
        <v>-7.32</v>
      </c>
      <c r="AF6" s="37">
        <v>-12.411032051282051</v>
      </c>
      <c r="AG6" s="37">
        <v>0</v>
      </c>
    </row>
    <row r="7" spans="1:33" ht="15.75" customHeight="1" x14ac:dyDescent="0.2">
      <c r="A7" s="26" t="s">
        <v>41</v>
      </c>
      <c r="B7" s="26" t="s">
        <v>1013</v>
      </c>
      <c r="C7" s="14">
        <f t="shared" si="4"/>
        <v>31.562903225806458</v>
      </c>
      <c r="D7" s="27">
        <v>31</v>
      </c>
      <c r="E7" s="27">
        <v>0</v>
      </c>
      <c r="F7" s="28">
        <v>978.45000000000016</v>
      </c>
      <c r="G7" s="28">
        <v>0</v>
      </c>
      <c r="H7" s="29">
        <f t="shared" si="1"/>
        <v>0</v>
      </c>
      <c r="I7" s="29">
        <f t="shared" si="2"/>
        <v>0.21477656513900198</v>
      </c>
      <c r="J7" s="30">
        <f t="shared" si="5"/>
        <v>210.14813016025653</v>
      </c>
      <c r="K7" s="30">
        <f t="shared" si="3"/>
        <v>6.7789719406534363</v>
      </c>
      <c r="L7" s="27">
        <v>189</v>
      </c>
      <c r="M7" s="31">
        <f t="shared" si="6"/>
        <v>0.16402116402116401</v>
      </c>
      <c r="N7" s="27">
        <v>97</v>
      </c>
      <c r="O7" s="32">
        <f t="shared" ref="O7:P7" si="15">D7/7</f>
        <v>4.4285714285714288</v>
      </c>
      <c r="P7" s="32">
        <f t="shared" si="15"/>
        <v>0</v>
      </c>
      <c r="Q7" s="27">
        <f t="shared" si="8"/>
        <v>21</v>
      </c>
      <c r="R7" s="27"/>
      <c r="S7" s="33">
        <v>1.72268907563025</v>
      </c>
      <c r="T7" s="26">
        <v>1120</v>
      </c>
      <c r="U7" s="34">
        <v>560</v>
      </c>
      <c r="V7" s="49" t="s">
        <v>1014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0.23077083333333337</v>
      </c>
      <c r="AD7" s="37">
        <f t="shared" si="12"/>
        <v>-9.8723762500000021</v>
      </c>
      <c r="AE7" s="37">
        <v>-7.32</v>
      </c>
      <c r="AF7" s="37">
        <v>-12.411032051282051</v>
      </c>
      <c r="AG7" s="37">
        <v>0</v>
      </c>
    </row>
    <row r="8" spans="1:33" ht="15.75" customHeight="1" x14ac:dyDescent="0.2">
      <c r="A8" s="26" t="s">
        <v>43</v>
      </c>
      <c r="B8" s="26" t="s">
        <v>966</v>
      </c>
      <c r="C8" s="14">
        <f t="shared" si="4"/>
        <v>34.03521739130435</v>
      </c>
      <c r="D8" s="27">
        <v>23</v>
      </c>
      <c r="E8" s="27">
        <v>0</v>
      </c>
      <c r="F8" s="28">
        <v>782.81000000000006</v>
      </c>
      <c r="G8" s="28">
        <v>-0.08</v>
      </c>
      <c r="H8" s="29">
        <f t="shared" si="1"/>
        <v>1.0219593515667914E-4</v>
      </c>
      <c r="I8" s="29">
        <f t="shared" si="2"/>
        <v>0.26084724741635895</v>
      </c>
      <c r="J8" s="30">
        <f t="shared" si="5"/>
        <v>204.19383374999995</v>
      </c>
      <c r="K8" s="30">
        <f t="shared" si="3"/>
        <v>8.8779927717391285</v>
      </c>
      <c r="L8" s="27">
        <v>134</v>
      </c>
      <c r="M8" s="31">
        <f t="shared" si="6"/>
        <v>0.17164179104477612</v>
      </c>
      <c r="N8" s="27">
        <v>74</v>
      </c>
      <c r="O8" s="32">
        <f t="shared" ref="O8:P8" si="16">D8/7</f>
        <v>3.2857142857142856</v>
      </c>
      <c r="P8" s="32">
        <f t="shared" si="16"/>
        <v>0</v>
      </c>
      <c r="Q8" s="27">
        <f t="shared" si="8"/>
        <v>22</v>
      </c>
      <c r="R8" s="27"/>
      <c r="S8" s="33">
        <v>2.1432098765431999</v>
      </c>
      <c r="T8" s="26">
        <v>935</v>
      </c>
      <c r="U8" s="34">
        <v>560</v>
      </c>
      <c r="V8" s="35" t="s">
        <v>1015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0.23077083333333337</v>
      </c>
      <c r="AD8" s="37">
        <f t="shared" si="12"/>
        <v>-7.3246662500000008</v>
      </c>
      <c r="AE8" s="37">
        <v>-7.32</v>
      </c>
      <c r="AF8" s="37">
        <v>-12.41</v>
      </c>
      <c r="AG8" s="37">
        <v>0</v>
      </c>
    </row>
    <row r="9" spans="1:33" ht="15.75" customHeight="1" x14ac:dyDescent="0.2">
      <c r="A9" s="26" t="s">
        <v>45</v>
      </c>
      <c r="B9" s="26" t="s">
        <v>1016</v>
      </c>
      <c r="C9" s="14">
        <f t="shared" si="4"/>
        <v>34.04666666666666</v>
      </c>
      <c r="D9" s="27">
        <v>18</v>
      </c>
      <c r="E9" s="27">
        <v>0</v>
      </c>
      <c r="F9" s="28">
        <v>612.83999999999992</v>
      </c>
      <c r="G9" s="28">
        <v>0</v>
      </c>
      <c r="H9" s="29">
        <f t="shared" si="1"/>
        <v>0</v>
      </c>
      <c r="I9" s="29">
        <f t="shared" si="2"/>
        <v>0.2515586930080897</v>
      </c>
      <c r="J9" s="30">
        <f t="shared" si="5"/>
        <v>154.16522942307768</v>
      </c>
      <c r="K9" s="30">
        <f t="shared" si="3"/>
        <v>8.564734967948759</v>
      </c>
      <c r="L9" s="27">
        <v>138</v>
      </c>
      <c r="M9" s="31">
        <f t="shared" si="6"/>
        <v>0.13043478260869565</v>
      </c>
      <c r="N9" s="27">
        <v>55</v>
      </c>
      <c r="O9" s="32">
        <f t="shared" ref="O9:P9" si="17">D9/7</f>
        <v>2.5714285714285716</v>
      </c>
      <c r="P9" s="32">
        <f t="shared" si="17"/>
        <v>0</v>
      </c>
      <c r="Q9" s="27">
        <f t="shared" si="8"/>
        <v>21</v>
      </c>
      <c r="R9" s="27"/>
      <c r="S9" s="33">
        <v>1.7743190661478501</v>
      </c>
      <c r="T9" s="26">
        <v>935</v>
      </c>
      <c r="U9" s="34">
        <v>560</v>
      </c>
      <c r="V9" s="35" t="s">
        <v>1017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0.23077083333333337</v>
      </c>
      <c r="AD9" s="37">
        <f t="shared" si="12"/>
        <v>-5.7323475000000013</v>
      </c>
      <c r="AE9" s="37">
        <v>-7.32</v>
      </c>
      <c r="AF9" s="37">
        <v>-12.7364679487179</v>
      </c>
      <c r="AG9" s="37">
        <v>0</v>
      </c>
    </row>
    <row r="10" spans="1:33" ht="15.75" customHeight="1" x14ac:dyDescent="0.2">
      <c r="A10" s="26" t="s">
        <v>48</v>
      </c>
      <c r="B10" s="26" t="s">
        <v>1018</v>
      </c>
      <c r="C10" s="14">
        <f t="shared" si="4"/>
        <v>34.49</v>
      </c>
      <c r="D10" s="27">
        <v>12</v>
      </c>
      <c r="E10" s="27">
        <v>4</v>
      </c>
      <c r="F10" s="28">
        <v>413.88000000000005</v>
      </c>
      <c r="G10" s="28">
        <v>0</v>
      </c>
      <c r="H10" s="29">
        <f t="shared" si="1"/>
        <v>0</v>
      </c>
      <c r="I10" s="29">
        <f t="shared" si="2"/>
        <v>0.25925103801919697</v>
      </c>
      <c r="J10" s="30">
        <f t="shared" si="5"/>
        <v>107.29881961538526</v>
      </c>
      <c r="K10" s="30">
        <f t="shared" si="3"/>
        <v>8.9415683012821052</v>
      </c>
      <c r="L10" s="27">
        <v>119</v>
      </c>
      <c r="M10" s="31">
        <f t="shared" si="6"/>
        <v>0.10084033613445378</v>
      </c>
      <c r="N10" s="27">
        <v>40</v>
      </c>
      <c r="O10" s="32">
        <f t="shared" ref="O10:P10" si="18">D10/7</f>
        <v>1.7142857142857142</v>
      </c>
      <c r="P10" s="32">
        <f t="shared" si="18"/>
        <v>0.5714285714285714</v>
      </c>
      <c r="Q10" s="27">
        <f t="shared" si="8"/>
        <v>17</v>
      </c>
      <c r="R10" s="27"/>
      <c r="S10" s="33">
        <v>2.1418764302059499</v>
      </c>
      <c r="T10" s="26">
        <v>935</v>
      </c>
      <c r="U10" s="34">
        <v>560</v>
      </c>
      <c r="V10" s="35" t="s">
        <v>1017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0.23077083333333337</v>
      </c>
      <c r="AD10" s="37">
        <f t="shared" si="12"/>
        <v>-3.8215650000000005</v>
      </c>
      <c r="AE10" s="37">
        <v>-7.32</v>
      </c>
      <c r="AF10" s="37">
        <v>-12.7364679487179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35.704285714285717</v>
      </c>
      <c r="D11" s="27">
        <v>7</v>
      </c>
      <c r="E11" s="27">
        <v>0</v>
      </c>
      <c r="F11" s="28">
        <v>249.93000000000004</v>
      </c>
      <c r="G11" s="28">
        <v>-0.16</v>
      </c>
      <c r="H11" s="29">
        <f t="shared" si="1"/>
        <v>6.4017925019005319E-4</v>
      </c>
      <c r="I11" s="29">
        <f t="shared" si="2"/>
        <v>0.27870194898161366</v>
      </c>
      <c r="J11" s="30">
        <f t="shared" si="5"/>
        <v>69.655978108974708</v>
      </c>
      <c r="K11" s="30">
        <f t="shared" si="3"/>
        <v>9.9508540155678151</v>
      </c>
      <c r="L11" s="27">
        <v>102</v>
      </c>
      <c r="M11" s="31">
        <f t="shared" si="6"/>
        <v>6.8627450980392163E-2</v>
      </c>
      <c r="N11" s="27">
        <v>30</v>
      </c>
      <c r="O11" s="32">
        <f t="shared" ref="O11:P11" si="19">D11/7</f>
        <v>1</v>
      </c>
      <c r="P11" s="32">
        <f t="shared" si="19"/>
        <v>0</v>
      </c>
      <c r="Q11" s="27">
        <f t="shared" si="8"/>
        <v>30</v>
      </c>
      <c r="R11" s="27"/>
      <c r="S11" s="33">
        <v>2.0526315789473601</v>
      </c>
      <c r="T11" s="26">
        <v>935</v>
      </c>
      <c r="U11" s="34">
        <v>560</v>
      </c>
      <c r="V11" s="35" t="s">
        <v>1019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0.23077083333333337</v>
      </c>
      <c r="AD11" s="37">
        <f t="shared" si="12"/>
        <v>-2.2292462500000001</v>
      </c>
      <c r="AE11" s="37">
        <v>-7.32</v>
      </c>
      <c r="AF11" s="37">
        <v>-12.7364679487179</v>
      </c>
      <c r="AG11" s="37">
        <v>0</v>
      </c>
    </row>
    <row r="12" spans="1:33" ht="15.75" customHeight="1" x14ac:dyDescent="0.2">
      <c r="A12" s="26" t="s">
        <v>52</v>
      </c>
      <c r="B12" s="26" t="s">
        <v>1020</v>
      </c>
      <c r="C12" s="14">
        <f t="shared" si="4"/>
        <v>35.99</v>
      </c>
      <c r="D12" s="27">
        <v>11</v>
      </c>
      <c r="E12" s="27">
        <v>0</v>
      </c>
      <c r="F12" s="28">
        <v>395.89000000000004</v>
      </c>
      <c r="G12" s="28">
        <v>-0.05</v>
      </c>
      <c r="H12" s="29">
        <f t="shared" si="1"/>
        <v>1.2629770895955948E-4</v>
      </c>
      <c r="I12" s="29">
        <f t="shared" si="2"/>
        <v>0.28374611966481367</v>
      </c>
      <c r="J12" s="30">
        <f t="shared" si="5"/>
        <v>112.33225131410309</v>
      </c>
      <c r="K12" s="30">
        <f t="shared" si="3"/>
        <v>10.212022846736645</v>
      </c>
      <c r="L12" s="27">
        <v>110</v>
      </c>
      <c r="M12" s="31">
        <f t="shared" si="6"/>
        <v>0.1</v>
      </c>
      <c r="N12" s="27">
        <v>16</v>
      </c>
      <c r="O12" s="32">
        <f t="shared" ref="O12:P12" si="20">D12/7</f>
        <v>1.5714285714285714</v>
      </c>
      <c r="P12" s="32">
        <f t="shared" si="20"/>
        <v>0</v>
      </c>
      <c r="Q12" s="27">
        <f t="shared" si="8"/>
        <v>10</v>
      </c>
      <c r="R12" s="27"/>
      <c r="S12" s="33">
        <v>2.2641509433962201</v>
      </c>
      <c r="T12" s="26">
        <v>935</v>
      </c>
      <c r="U12" s="34">
        <v>560</v>
      </c>
      <c r="V12" s="35" t="s">
        <v>1021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0.23077083333333337</v>
      </c>
      <c r="AD12" s="37">
        <f t="shared" si="12"/>
        <v>-3.5031012500000003</v>
      </c>
      <c r="AE12" s="37">
        <v>-7.32</v>
      </c>
      <c r="AF12" s="37">
        <v>-12.7364679487179</v>
      </c>
      <c r="AG12" s="37">
        <v>0</v>
      </c>
    </row>
    <row r="13" spans="1:33" ht="15.75" customHeight="1" x14ac:dyDescent="0.2">
      <c r="A13" s="26" t="s">
        <v>54</v>
      </c>
      <c r="B13" s="26" t="s">
        <v>295</v>
      </c>
      <c r="C13" s="14">
        <f t="shared" si="4"/>
        <v>36.767777777777781</v>
      </c>
      <c r="D13" s="27">
        <v>9</v>
      </c>
      <c r="E13" s="27">
        <v>0</v>
      </c>
      <c r="F13" s="30">
        <v>330.91</v>
      </c>
      <c r="G13" s="28">
        <v>-0.1</v>
      </c>
      <c r="H13" s="29">
        <f t="shared" si="1"/>
        <v>3.0219697198634072E-4</v>
      </c>
      <c r="I13" s="29">
        <f t="shared" si="2"/>
        <v>0.29088748073494303</v>
      </c>
      <c r="J13" s="30">
        <f t="shared" si="5"/>
        <v>96.25757625</v>
      </c>
      <c r="K13" s="30">
        <f t="shared" si="3"/>
        <v>10.695286250000001</v>
      </c>
      <c r="L13" s="27">
        <v>58</v>
      </c>
      <c r="M13" s="31">
        <f t="shared" si="6"/>
        <v>0.15517241379310345</v>
      </c>
      <c r="N13" s="27">
        <v>9</v>
      </c>
      <c r="O13" s="32">
        <f t="shared" ref="O13:P13" si="21">D13/7</f>
        <v>1.2857142857142858</v>
      </c>
      <c r="P13" s="32">
        <f t="shared" si="21"/>
        <v>0</v>
      </c>
      <c r="Q13" s="27">
        <f t="shared" si="8"/>
        <v>7</v>
      </c>
      <c r="R13" s="27"/>
      <c r="S13" s="33">
        <v>2.4647519582245399</v>
      </c>
      <c r="T13" s="26">
        <v>935</v>
      </c>
      <c r="U13" s="34">
        <v>560</v>
      </c>
      <c r="V13" s="35" t="s">
        <v>1022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0.23077083333333337</v>
      </c>
      <c r="AD13" s="37">
        <f t="shared" si="12"/>
        <v>-2.8661737500000006</v>
      </c>
      <c r="AE13" s="37">
        <v>-7.32</v>
      </c>
      <c r="AF13" s="37">
        <v>-12.90775</v>
      </c>
      <c r="AG13" s="37">
        <v>0</v>
      </c>
    </row>
    <row r="14" spans="1:33" ht="15.75" customHeight="1" x14ac:dyDescent="0.2">
      <c r="A14" s="26" t="s">
        <v>56</v>
      </c>
      <c r="B14" s="26" t="s">
        <v>76</v>
      </c>
      <c r="C14" s="14">
        <f t="shared" si="4"/>
        <v>37.99</v>
      </c>
      <c r="D14" s="27">
        <v>5</v>
      </c>
      <c r="E14" s="27">
        <v>1</v>
      </c>
      <c r="F14" s="30">
        <v>189.95000000000002</v>
      </c>
      <c r="G14" s="28">
        <v>0</v>
      </c>
      <c r="H14" s="29">
        <f t="shared" si="1"/>
        <v>0</v>
      </c>
      <c r="I14" s="29">
        <f t="shared" si="2"/>
        <v>0.30916784022111088</v>
      </c>
      <c r="J14" s="30">
        <f t="shared" si="5"/>
        <v>58.726431250000019</v>
      </c>
      <c r="K14" s="30">
        <f t="shared" si="3"/>
        <v>11.745286250000003</v>
      </c>
      <c r="L14" s="27">
        <v>59</v>
      </c>
      <c r="M14" s="31">
        <f t="shared" si="6"/>
        <v>8.4745762711864403E-2</v>
      </c>
      <c r="N14" s="27">
        <v>4</v>
      </c>
      <c r="O14" s="32">
        <f t="shared" ref="O14:P14" si="22">D14/7</f>
        <v>0.7142857142857143</v>
      </c>
      <c r="P14" s="32">
        <f t="shared" si="22"/>
        <v>0.14285714285714285</v>
      </c>
      <c r="Q14" s="27">
        <f t="shared" si="8"/>
        <v>4</v>
      </c>
      <c r="R14" s="27"/>
      <c r="S14" s="33" t="e">
        <v>#N/A</v>
      </c>
      <c r="T14" s="26">
        <v>935</v>
      </c>
      <c r="U14" s="34">
        <v>560</v>
      </c>
      <c r="V14" s="35" t="s">
        <v>1022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0.23077083333333337</v>
      </c>
      <c r="AD14" s="37">
        <f t="shared" si="12"/>
        <v>-1.5923187500000002</v>
      </c>
      <c r="AE14" s="37">
        <v>-7.32</v>
      </c>
      <c r="AF14" s="37">
        <v>-12.90775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37.99</v>
      </c>
      <c r="D15" s="27">
        <v>3</v>
      </c>
      <c r="E15" s="27">
        <v>0</v>
      </c>
      <c r="F15" s="30">
        <v>113.97</v>
      </c>
      <c r="G15" s="28">
        <v>0</v>
      </c>
      <c r="H15" s="29">
        <f t="shared" si="1"/>
        <v>0</v>
      </c>
      <c r="I15" s="29">
        <f t="shared" si="2"/>
        <v>0.30916784022111082</v>
      </c>
      <c r="J15" s="30">
        <f t="shared" si="5"/>
        <v>35.235858749999998</v>
      </c>
      <c r="K15" s="30">
        <f t="shared" si="3"/>
        <v>11.745286249999999</v>
      </c>
      <c r="L15" s="27">
        <v>29</v>
      </c>
      <c r="M15" s="31">
        <f t="shared" si="6"/>
        <v>0.10344827586206896</v>
      </c>
      <c r="N15" s="27">
        <v>0</v>
      </c>
      <c r="O15" s="32">
        <f t="shared" ref="O15:P15" si="23">D15/7</f>
        <v>0.42857142857142855</v>
      </c>
      <c r="P15" s="32">
        <f t="shared" si="23"/>
        <v>0</v>
      </c>
      <c r="Q15" s="27">
        <f t="shared" si="8"/>
        <v>0</v>
      </c>
      <c r="R15" s="27"/>
      <c r="S15" s="33" t="e">
        <v>#N/A</v>
      </c>
      <c r="T15" s="26">
        <v>935</v>
      </c>
      <c r="U15" s="34">
        <v>560</v>
      </c>
      <c r="V15" s="35" t="s">
        <v>1022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0.23077083333333337</v>
      </c>
      <c r="AD15" s="37">
        <f t="shared" si="12"/>
        <v>-0.95539125000000014</v>
      </c>
      <c r="AE15" s="37">
        <v>-7.32</v>
      </c>
      <c r="AF15" s="37">
        <v>-12.90775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1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>
        <v>2.4624624624624598</v>
      </c>
      <c r="T16" s="26">
        <v>935</v>
      </c>
      <c r="U16" s="34" t="s">
        <v>34</v>
      </c>
      <c r="V16" s="35" t="s">
        <v>1023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0.23077083333333337</v>
      </c>
      <c r="AD16" s="37">
        <f t="shared" si="12"/>
        <v>0</v>
      </c>
      <c r="AE16" s="37">
        <v>-7.32</v>
      </c>
      <c r="AF16" s="37">
        <v>-12.90775</v>
      </c>
      <c r="AG16" s="37">
        <v>0</v>
      </c>
    </row>
    <row r="17" spans="1:33" ht="15.75" customHeight="1" x14ac:dyDescent="0.2">
      <c r="A17" s="26" t="s">
        <v>61</v>
      </c>
      <c r="B17" s="26" t="s">
        <v>76</v>
      </c>
      <c r="C17" s="14">
        <f t="shared" si="4"/>
        <v>37.99</v>
      </c>
      <c r="D17" s="27">
        <v>1</v>
      </c>
      <c r="E17" s="27">
        <v>0</v>
      </c>
      <c r="F17" s="30">
        <v>37.99</v>
      </c>
      <c r="G17" s="28">
        <v>0</v>
      </c>
      <c r="H17" s="29">
        <f t="shared" si="1"/>
        <v>0</v>
      </c>
      <c r="I17" s="29">
        <f t="shared" si="2"/>
        <v>0.30916784022111077</v>
      </c>
      <c r="J17" s="30">
        <f t="shared" si="5"/>
        <v>11.745286249999999</v>
      </c>
      <c r="K17" s="30">
        <f t="shared" si="3"/>
        <v>11.745286249999999</v>
      </c>
      <c r="L17" s="27">
        <v>12</v>
      </c>
      <c r="M17" s="31">
        <f t="shared" si="6"/>
        <v>8.3333333333333329E-2</v>
      </c>
      <c r="N17" s="27">
        <v>0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0</v>
      </c>
      <c r="R17" s="27"/>
      <c r="S17" s="33" t="e">
        <v>#N/A</v>
      </c>
      <c r="T17" s="26">
        <v>935</v>
      </c>
      <c r="U17" s="34" t="s">
        <v>34</v>
      </c>
      <c r="V17" s="35" t="s">
        <v>1023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0.23077083333333337</v>
      </c>
      <c r="AD17" s="37">
        <f t="shared" si="12"/>
        <v>-0.31846375000000005</v>
      </c>
      <c r="AE17" s="37">
        <v>-7.32</v>
      </c>
      <c r="AF17" s="37">
        <v>-12.90775</v>
      </c>
      <c r="AG17" s="37">
        <v>0</v>
      </c>
    </row>
    <row r="18" spans="1:33" ht="15.75" customHeight="1" x14ac:dyDescent="0.2">
      <c r="A18" s="26" t="s">
        <v>62</v>
      </c>
      <c r="B18" s="26" t="s">
        <v>76</v>
      </c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935</v>
      </c>
      <c r="U18" s="34" t="s">
        <v>34</v>
      </c>
      <c r="V18" s="35" t="s">
        <v>1023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-12.90775</v>
      </c>
      <c r="AG18" s="37">
        <v>0</v>
      </c>
    </row>
    <row r="19" spans="1:33" ht="15.75" customHeight="1" x14ac:dyDescent="0.2">
      <c r="A19" s="26" t="s">
        <v>64</v>
      </c>
      <c r="B19" s="26" t="s">
        <v>1024</v>
      </c>
      <c r="C19" s="14">
        <f t="shared" si="4"/>
        <v>37.99</v>
      </c>
      <c r="D19" s="27">
        <v>1</v>
      </c>
      <c r="E19" s="27">
        <v>0</v>
      </c>
      <c r="F19" s="30">
        <v>37.99</v>
      </c>
      <c r="G19" s="28">
        <v>0</v>
      </c>
      <c r="H19" s="29">
        <f t="shared" si="1"/>
        <v>0</v>
      </c>
      <c r="I19" s="29">
        <f t="shared" si="2"/>
        <v>0.30916784022111077</v>
      </c>
      <c r="J19" s="30">
        <f t="shared" si="5"/>
        <v>11.745286249999999</v>
      </c>
      <c r="K19" s="30">
        <f t="shared" si="3"/>
        <v>11.745286249999999</v>
      </c>
      <c r="L19" s="27">
        <v>22</v>
      </c>
      <c r="M19" s="31">
        <f t="shared" si="6"/>
        <v>4.5454545454545456E-2</v>
      </c>
      <c r="N19" s="27">
        <v>184</v>
      </c>
      <c r="O19" s="32">
        <f t="shared" ref="O19:P19" si="27">D19/7</f>
        <v>0.14285714285714285</v>
      </c>
      <c r="P19" s="32">
        <f t="shared" si="27"/>
        <v>0</v>
      </c>
      <c r="Q19" s="27">
        <f t="shared" si="8"/>
        <v>1288</v>
      </c>
      <c r="R19" s="27"/>
      <c r="S19" s="33">
        <v>1.6977491961414699</v>
      </c>
      <c r="T19" s="26">
        <v>375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0.23077083333333337</v>
      </c>
      <c r="AD19" s="37">
        <f t="shared" si="12"/>
        <v>-0.31846375000000005</v>
      </c>
      <c r="AE19" s="37">
        <v>-7.32</v>
      </c>
      <c r="AF19" s="37">
        <v>-12.90775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35.44</v>
      </c>
      <c r="D20" s="27">
        <v>5</v>
      </c>
      <c r="E20" s="27">
        <v>0</v>
      </c>
      <c r="F20" s="30">
        <v>177.2</v>
      </c>
      <c r="G20" s="28">
        <v>0</v>
      </c>
      <c r="H20" s="29">
        <f t="shared" si="1"/>
        <v>0</v>
      </c>
      <c r="I20" s="29">
        <f t="shared" si="2"/>
        <v>0.2702535623589164</v>
      </c>
      <c r="J20" s="30">
        <f t="shared" si="5"/>
        <v>47.888931249999985</v>
      </c>
      <c r="K20" s="30">
        <f t="shared" si="3"/>
        <v>9.5777862499999973</v>
      </c>
      <c r="L20" s="27">
        <v>36</v>
      </c>
      <c r="M20" s="31">
        <f t="shared" si="6"/>
        <v>0.1388888888888889</v>
      </c>
      <c r="N20" s="27">
        <v>179</v>
      </c>
      <c r="O20" s="32">
        <f t="shared" ref="O20:P20" si="28">D20/7</f>
        <v>0.7142857142857143</v>
      </c>
      <c r="P20" s="32">
        <f t="shared" si="28"/>
        <v>0</v>
      </c>
      <c r="Q20" s="27">
        <f t="shared" si="8"/>
        <v>250</v>
      </c>
      <c r="R20" s="27"/>
      <c r="S20" s="33">
        <v>1.2539184952978</v>
      </c>
      <c r="T20" s="26">
        <v>440</v>
      </c>
      <c r="U20" s="34" t="s">
        <v>34</v>
      </c>
      <c r="V20" s="35" t="s">
        <v>1025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0.23077083333333337</v>
      </c>
      <c r="AD20" s="37">
        <f t="shared" si="12"/>
        <v>-1.5923187500000002</v>
      </c>
      <c r="AE20" s="37">
        <v>-7.32</v>
      </c>
      <c r="AF20" s="37">
        <v>-12.90775</v>
      </c>
      <c r="AG20" s="37">
        <v>0</v>
      </c>
    </row>
    <row r="21" spans="1:33" ht="15.75" customHeight="1" x14ac:dyDescent="0.2">
      <c r="A21" s="26" t="s">
        <v>66</v>
      </c>
      <c r="B21" s="26" t="s">
        <v>1026</v>
      </c>
      <c r="C21" s="14">
        <f t="shared" si="4"/>
        <v>30.796666666666667</v>
      </c>
      <c r="D21" s="27">
        <v>6</v>
      </c>
      <c r="E21" s="27">
        <v>0</v>
      </c>
      <c r="F21" s="30">
        <v>184.78</v>
      </c>
      <c r="G21" s="28">
        <v>0</v>
      </c>
      <c r="H21" s="29">
        <f t="shared" si="1"/>
        <v>0</v>
      </c>
      <c r="I21" s="29">
        <f t="shared" si="2"/>
        <v>0.18284293484143296</v>
      </c>
      <c r="J21" s="30">
        <f t="shared" si="5"/>
        <v>33.785717499999983</v>
      </c>
      <c r="K21" s="30">
        <f t="shared" si="3"/>
        <v>5.6309529166666641</v>
      </c>
      <c r="L21" s="27">
        <v>22</v>
      </c>
      <c r="M21" s="31">
        <f t="shared" si="6"/>
        <v>0.27272727272727271</v>
      </c>
      <c r="N21" s="27">
        <v>167</v>
      </c>
      <c r="O21" s="32">
        <f t="shared" ref="O21:P21" si="29">D21/7</f>
        <v>0.8571428571428571</v>
      </c>
      <c r="P21" s="32">
        <f t="shared" si="29"/>
        <v>0</v>
      </c>
      <c r="Q21" s="27">
        <f t="shared" si="8"/>
        <v>194</v>
      </c>
      <c r="R21" s="27"/>
      <c r="S21" s="33">
        <v>1.27756653992395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0.23077083333333337</v>
      </c>
      <c r="AD21" s="37">
        <f t="shared" si="12"/>
        <v>-1.9107825000000003</v>
      </c>
      <c r="AE21" s="37">
        <v>-7.32</v>
      </c>
      <c r="AF21" s="37">
        <v>-12.90775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26.26</v>
      </c>
      <c r="D22" s="27">
        <v>11</v>
      </c>
      <c r="E22" s="27">
        <v>0</v>
      </c>
      <c r="F22" s="28">
        <v>288.86</v>
      </c>
      <c r="G22" s="28">
        <v>0</v>
      </c>
      <c r="H22" s="29">
        <f t="shared" si="1"/>
        <v>0</v>
      </c>
      <c r="I22" s="29">
        <f t="shared" si="2"/>
        <v>6.7585158035034232E-2</v>
      </c>
      <c r="J22" s="30">
        <f t="shared" si="5"/>
        <v>19.522648749999988</v>
      </c>
      <c r="K22" s="30">
        <f t="shared" si="3"/>
        <v>1.7747862499999989</v>
      </c>
      <c r="L22" s="27">
        <v>56</v>
      </c>
      <c r="M22" s="31">
        <f t="shared" si="6"/>
        <v>0.19642857142857142</v>
      </c>
      <c r="N22" s="27">
        <v>161</v>
      </c>
      <c r="O22" s="32">
        <f t="shared" ref="O22:P22" si="30">D22/7</f>
        <v>1.5714285714285714</v>
      </c>
      <c r="P22" s="32">
        <f t="shared" si="30"/>
        <v>0</v>
      </c>
      <c r="Q22" s="27">
        <f t="shared" si="8"/>
        <v>102</v>
      </c>
      <c r="R22" s="27"/>
      <c r="S22" s="33">
        <v>1.3277310924369701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0.23077083333333337</v>
      </c>
      <c r="AD22" s="37">
        <f t="shared" si="12"/>
        <v>-3.5031012500000003</v>
      </c>
      <c r="AE22" s="37">
        <v>-7.32</v>
      </c>
      <c r="AF22" s="37">
        <v>-12.90775</v>
      </c>
      <c r="AG22" s="37">
        <v>0</v>
      </c>
    </row>
    <row r="23" spans="1:33" ht="15.75" customHeight="1" x14ac:dyDescent="0.2">
      <c r="A23" s="26" t="s">
        <v>68</v>
      </c>
      <c r="B23" s="26" t="s">
        <v>1027</v>
      </c>
      <c r="C23" s="14">
        <f t="shared" si="4"/>
        <v>25.990000000000002</v>
      </c>
      <c r="D23" s="27">
        <v>9</v>
      </c>
      <c r="E23" s="27">
        <v>2</v>
      </c>
      <c r="F23" s="30">
        <v>233.91000000000003</v>
      </c>
      <c r="G23" s="28">
        <v>-0.04</v>
      </c>
      <c r="H23" s="29">
        <f t="shared" si="1"/>
        <v>1.7100594245650035E-4</v>
      </c>
      <c r="I23" s="29">
        <f t="shared" si="2"/>
        <v>5.928594865546595E-2</v>
      </c>
      <c r="J23" s="30">
        <f t="shared" si="5"/>
        <v>13.867576250000042</v>
      </c>
      <c r="K23" s="30">
        <f t="shared" si="3"/>
        <v>1.5408418055555602</v>
      </c>
      <c r="L23" s="27">
        <v>82</v>
      </c>
      <c r="M23" s="31">
        <f t="shared" si="6"/>
        <v>0.10975609756097561</v>
      </c>
      <c r="N23" s="27">
        <v>150</v>
      </c>
      <c r="O23" s="32">
        <f t="shared" ref="O23:P23" si="31">D23/7</f>
        <v>1.2857142857142858</v>
      </c>
      <c r="P23" s="32">
        <f t="shared" si="31"/>
        <v>0.2857142857142857</v>
      </c>
      <c r="Q23" s="27">
        <f t="shared" si="8"/>
        <v>95</v>
      </c>
      <c r="R23" s="27"/>
      <c r="S23" s="33">
        <v>0.85970149253731298</v>
      </c>
      <c r="T23" s="26">
        <v>375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0.23077083333333337</v>
      </c>
      <c r="AD23" s="37">
        <f t="shared" si="12"/>
        <v>-2.8661737500000006</v>
      </c>
      <c r="AE23" s="37">
        <v>-7.32</v>
      </c>
      <c r="AF23" s="37">
        <v>-12.90775</v>
      </c>
      <c r="AG23" s="37">
        <v>0</v>
      </c>
    </row>
    <row r="24" spans="1:33" ht="15.75" customHeight="1" x14ac:dyDescent="0.2">
      <c r="A24" s="26" t="s">
        <v>71</v>
      </c>
      <c r="B24" s="26" t="s">
        <v>105</v>
      </c>
      <c r="C24" s="14">
        <f t="shared" si="4"/>
        <v>25.990000000000006</v>
      </c>
      <c r="D24" s="27">
        <v>19</v>
      </c>
      <c r="E24" s="27">
        <v>3</v>
      </c>
      <c r="F24" s="30">
        <v>493.81000000000012</v>
      </c>
      <c r="G24" s="30">
        <v>-36.850000000000009</v>
      </c>
      <c r="H24" s="29">
        <f t="shared" si="1"/>
        <v>7.4623843178550447E-2</v>
      </c>
      <c r="I24" s="29">
        <f t="shared" si="2"/>
        <v>-1.5166888580628058E-2</v>
      </c>
      <c r="J24" s="30">
        <f t="shared" si="5"/>
        <v>-7.4895612499999427</v>
      </c>
      <c r="K24" s="30">
        <f t="shared" si="3"/>
        <v>-0.39418743421052332</v>
      </c>
      <c r="L24" s="27">
        <v>122</v>
      </c>
      <c r="M24" s="31">
        <f t="shared" si="6"/>
        <v>0.15573770491803279</v>
      </c>
      <c r="N24" s="27">
        <v>131</v>
      </c>
      <c r="O24" s="32">
        <f t="shared" ref="O24:P24" si="32">D24/7</f>
        <v>2.7142857142857144</v>
      </c>
      <c r="P24" s="32">
        <f t="shared" si="32"/>
        <v>0.42857142857142855</v>
      </c>
      <c r="Q24" s="27">
        <f t="shared" si="8"/>
        <v>41</v>
      </c>
      <c r="R24" s="27"/>
      <c r="S24" s="33">
        <v>0.87777777777777699</v>
      </c>
      <c r="T24" s="26">
        <v>375</v>
      </c>
      <c r="U24" s="34" t="s">
        <v>34</v>
      </c>
      <c r="V24" s="35" t="s">
        <v>34</v>
      </c>
      <c r="W24" s="26">
        <v>4</v>
      </c>
      <c r="X24" s="36">
        <f t="shared" si="9"/>
        <v>0.21052631578947367</v>
      </c>
      <c r="Y24" s="37">
        <f t="shared" si="10"/>
        <v>7.3700000000000019</v>
      </c>
      <c r="Z24" s="26">
        <v>1</v>
      </c>
      <c r="AA24" s="26" t="s">
        <v>37</v>
      </c>
      <c r="AB24" s="38">
        <f t="shared" si="11"/>
        <v>-0.69</v>
      </c>
      <c r="AC24" s="39">
        <v>0.23077083333333337</v>
      </c>
      <c r="AD24" s="37">
        <f t="shared" si="12"/>
        <v>-6.0508112500000006</v>
      </c>
      <c r="AE24" s="37">
        <v>-7.32</v>
      </c>
      <c r="AF24" s="37">
        <v>-12.90775</v>
      </c>
      <c r="AG24" s="37">
        <v>0</v>
      </c>
    </row>
    <row r="25" spans="1:33" ht="15.75" customHeight="1" x14ac:dyDescent="0.2">
      <c r="A25" s="40" t="s">
        <v>73</v>
      </c>
      <c r="B25" s="26" t="s">
        <v>105</v>
      </c>
      <c r="C25" s="14">
        <f t="shared" si="4"/>
        <v>25.990000000000002</v>
      </c>
      <c r="D25" s="15">
        <v>14</v>
      </c>
      <c r="E25" s="15">
        <v>1</v>
      </c>
      <c r="F25" s="16">
        <v>363.86</v>
      </c>
      <c r="G25" s="16">
        <v>-36.51</v>
      </c>
      <c r="H25" s="29">
        <f t="shared" si="1"/>
        <v>0.10034079041389544</v>
      </c>
      <c r="I25" s="29">
        <f t="shared" si="2"/>
        <v>-4.0970407574341776E-2</v>
      </c>
      <c r="J25" s="30">
        <f t="shared" si="5"/>
        <v>-14.907492499999998</v>
      </c>
      <c r="K25" s="30">
        <f t="shared" si="3"/>
        <v>-1.0648208928571428</v>
      </c>
      <c r="L25" s="15">
        <v>109</v>
      </c>
      <c r="M25" s="31">
        <f t="shared" si="6"/>
        <v>0.12844036697247707</v>
      </c>
      <c r="N25" s="15">
        <v>110</v>
      </c>
      <c r="O25" s="32">
        <f t="shared" ref="O25:P25" si="33">D25/7</f>
        <v>2</v>
      </c>
      <c r="P25" s="32">
        <f t="shared" si="33"/>
        <v>0.14285714285714285</v>
      </c>
      <c r="Q25" s="27">
        <f t="shared" si="8"/>
        <v>51</v>
      </c>
      <c r="R25" s="27"/>
      <c r="S25" s="41">
        <v>1.0990415335463259</v>
      </c>
      <c r="T25" s="26">
        <v>375</v>
      </c>
      <c r="U25" s="34" t="s">
        <v>34</v>
      </c>
      <c r="V25" s="35" t="s">
        <v>34</v>
      </c>
      <c r="W25" s="40">
        <v>2</v>
      </c>
      <c r="X25" s="36">
        <f t="shared" si="9"/>
        <v>0.14285714285714285</v>
      </c>
      <c r="Y25" s="37">
        <f t="shared" si="10"/>
        <v>12.17</v>
      </c>
      <c r="Z25" s="40">
        <v>1</v>
      </c>
      <c r="AA25" s="26" t="s">
        <v>37</v>
      </c>
      <c r="AB25" s="38">
        <f t="shared" si="11"/>
        <v>-0.69</v>
      </c>
      <c r="AC25" s="39">
        <v>0.23077083333333337</v>
      </c>
      <c r="AD25" s="37">
        <f t="shared" si="12"/>
        <v>-4.4584925000000002</v>
      </c>
      <c r="AE25" s="42">
        <v>-7.32</v>
      </c>
      <c r="AF25" s="42">
        <v>-12.91</v>
      </c>
      <c r="AG25" s="42">
        <v>0</v>
      </c>
    </row>
    <row r="26" spans="1:33" ht="15.75" customHeight="1" x14ac:dyDescent="0.2">
      <c r="A26" s="40" t="s">
        <v>75</v>
      </c>
      <c r="B26" s="40" t="s">
        <v>188</v>
      </c>
      <c r="C26" s="14">
        <f t="shared" si="4"/>
        <v>26.004285714285711</v>
      </c>
      <c r="D26" s="15">
        <v>21</v>
      </c>
      <c r="E26" s="15">
        <v>0</v>
      </c>
      <c r="F26" s="16">
        <v>546.08999999999992</v>
      </c>
      <c r="G26" s="16">
        <v>-33.770000000000003</v>
      </c>
      <c r="H26" s="29">
        <f t="shared" si="1"/>
        <v>6.1839623505283027E-2</v>
      </c>
      <c r="I26" s="29">
        <f t="shared" si="2"/>
        <v>3.4353517735170782E-3</v>
      </c>
      <c r="J26" s="30">
        <f t="shared" si="5"/>
        <v>1.8760112499999408</v>
      </c>
      <c r="K26" s="30">
        <f t="shared" si="3"/>
        <v>8.9333869047616227E-2</v>
      </c>
      <c r="L26" s="15">
        <v>103</v>
      </c>
      <c r="M26" s="31">
        <f t="shared" si="6"/>
        <v>0.20388349514563106</v>
      </c>
      <c r="N26" s="15">
        <v>87</v>
      </c>
      <c r="O26" s="32">
        <f t="shared" ref="O26:P26" si="34">D26/7</f>
        <v>3</v>
      </c>
      <c r="P26" s="32">
        <f t="shared" si="34"/>
        <v>0</v>
      </c>
      <c r="Q26" s="27">
        <f t="shared" si="8"/>
        <v>29</v>
      </c>
      <c r="R26" s="27"/>
      <c r="S26" s="41">
        <v>1.458483754512635</v>
      </c>
      <c r="T26" s="26">
        <v>375</v>
      </c>
      <c r="U26" s="34" t="s">
        <v>34</v>
      </c>
      <c r="V26" s="35" t="s">
        <v>34</v>
      </c>
      <c r="W26" s="40">
        <v>2</v>
      </c>
      <c r="X26" s="36">
        <f t="shared" si="9"/>
        <v>9.5238095238095233E-2</v>
      </c>
      <c r="Y26" s="37">
        <f t="shared" si="10"/>
        <v>11.256666666666668</v>
      </c>
      <c r="Z26" s="40">
        <v>1</v>
      </c>
      <c r="AA26" s="26" t="s">
        <v>37</v>
      </c>
      <c r="AB26" s="38">
        <f t="shared" si="11"/>
        <v>-0.69</v>
      </c>
      <c r="AC26" s="40">
        <v>0.23077083333333337</v>
      </c>
      <c r="AD26" s="37">
        <f t="shared" si="12"/>
        <v>-6.6877387500000012</v>
      </c>
      <c r="AE26" s="42">
        <v>-7.18</v>
      </c>
      <c r="AF26" s="42">
        <v>-12.90775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25.99</v>
      </c>
      <c r="D27" s="15">
        <v>17</v>
      </c>
      <c r="E27" s="15">
        <v>0</v>
      </c>
      <c r="F27" s="16">
        <v>441.83</v>
      </c>
      <c r="G27" s="16">
        <v>-8.01</v>
      </c>
      <c r="H27" s="29">
        <f t="shared" si="1"/>
        <v>1.8129144693660459E-2</v>
      </c>
      <c r="I27" s="29">
        <f t="shared" si="2"/>
        <v>4.6714497091641598E-2</v>
      </c>
      <c r="J27" s="30">
        <f t="shared" si="5"/>
        <v>20.639866250000008</v>
      </c>
      <c r="K27" s="30">
        <f t="shared" si="3"/>
        <v>1.2141097794117652</v>
      </c>
      <c r="L27" s="15">
        <v>78</v>
      </c>
      <c r="M27" s="31">
        <f t="shared" si="6"/>
        <v>0.21794871794871795</v>
      </c>
      <c r="N27" s="15">
        <v>78</v>
      </c>
      <c r="O27" s="32">
        <f t="shared" ref="O27:P27" si="35">D27/7</f>
        <v>2.4285714285714284</v>
      </c>
      <c r="P27" s="32">
        <f t="shared" si="35"/>
        <v>0</v>
      </c>
      <c r="Q27" s="27">
        <f t="shared" si="8"/>
        <v>32</v>
      </c>
      <c r="R27" s="27"/>
      <c r="S27" s="41">
        <v>1.155313351498638</v>
      </c>
      <c r="T27" s="26">
        <v>375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0.23077083333333337</v>
      </c>
      <c r="AD27" s="37">
        <f t="shared" si="12"/>
        <v>-5.413883750000001</v>
      </c>
      <c r="AE27" s="42">
        <v>-7.18</v>
      </c>
      <c r="AF27" s="42">
        <v>-12.90775</v>
      </c>
      <c r="AG27" s="42">
        <v>0</v>
      </c>
    </row>
    <row r="28" spans="1:33" ht="15.75" customHeight="1" x14ac:dyDescent="0.2">
      <c r="A28" s="40" t="s">
        <v>79</v>
      </c>
      <c r="B28" s="40" t="s">
        <v>683</v>
      </c>
      <c r="C28" s="14">
        <f t="shared" si="4"/>
        <v>25.990000000000002</v>
      </c>
      <c r="D28" s="15">
        <v>14</v>
      </c>
      <c r="E28" s="15">
        <v>0</v>
      </c>
      <c r="F28" s="16">
        <v>363.86</v>
      </c>
      <c r="G28" s="16">
        <v>-0.15</v>
      </c>
      <c r="H28" s="29">
        <f t="shared" si="1"/>
        <v>4.1224646842192051E-4</v>
      </c>
      <c r="I28" s="29">
        <f t="shared" si="2"/>
        <v>6.4431395316880163E-2</v>
      </c>
      <c r="J28" s="30">
        <f t="shared" si="5"/>
        <v>23.444007500000019</v>
      </c>
      <c r="K28" s="30">
        <f t="shared" si="3"/>
        <v>1.6745719642857158</v>
      </c>
      <c r="L28" s="15">
        <v>70</v>
      </c>
      <c r="M28" s="31">
        <f t="shared" si="6"/>
        <v>0.2</v>
      </c>
      <c r="N28" s="15">
        <v>59</v>
      </c>
      <c r="O28" s="32">
        <f t="shared" ref="O28:P28" si="36">D28/7</f>
        <v>2</v>
      </c>
      <c r="P28" s="32">
        <f t="shared" si="36"/>
        <v>0</v>
      </c>
      <c r="Q28" s="27">
        <f t="shared" si="8"/>
        <v>29</v>
      </c>
      <c r="R28" s="27"/>
      <c r="S28" s="41">
        <v>1.190839694656489</v>
      </c>
      <c r="T28" s="40" t="s">
        <v>34</v>
      </c>
      <c r="U28" s="22" t="s">
        <v>34</v>
      </c>
      <c r="V28" s="1" t="s">
        <v>1028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0.23077083333333337</v>
      </c>
      <c r="AD28" s="37">
        <f t="shared" si="12"/>
        <v>-4.4584925000000002</v>
      </c>
      <c r="AE28" s="42">
        <v>-7.18</v>
      </c>
      <c r="AF28" s="42">
        <v>-12.90775</v>
      </c>
      <c r="AG28" s="42">
        <v>0</v>
      </c>
    </row>
    <row r="29" spans="1:33" ht="15.75" customHeight="1" x14ac:dyDescent="0.2">
      <c r="A29" s="26" t="s">
        <v>82</v>
      </c>
      <c r="B29" s="26" t="s">
        <v>189</v>
      </c>
      <c r="C29" s="14">
        <f t="shared" si="4"/>
        <v>26.717272727272725</v>
      </c>
      <c r="D29" s="27">
        <v>11</v>
      </c>
      <c r="E29" s="27">
        <v>0</v>
      </c>
      <c r="F29" s="30">
        <v>293.89</v>
      </c>
      <c r="G29" s="30">
        <v>-0.45</v>
      </c>
      <c r="H29" s="29">
        <f t="shared" si="1"/>
        <v>1.5311851372962675E-3</v>
      </c>
      <c r="I29" s="29">
        <f t="shared" si="2"/>
        <v>8.4685252135152558E-2</v>
      </c>
      <c r="J29" s="30">
        <f t="shared" si="5"/>
        <v>24.888148749999985</v>
      </c>
      <c r="K29" s="30">
        <f t="shared" si="3"/>
        <v>2.2625589772727257</v>
      </c>
      <c r="L29" s="27">
        <v>67</v>
      </c>
      <c r="M29" s="31">
        <f t="shared" si="6"/>
        <v>0.16417910447761194</v>
      </c>
      <c r="N29" s="15">
        <v>46</v>
      </c>
      <c r="O29" s="32">
        <f t="shared" ref="O29:P29" si="37">D29/7</f>
        <v>1.5714285714285714</v>
      </c>
      <c r="P29" s="32">
        <f t="shared" si="37"/>
        <v>0</v>
      </c>
      <c r="Q29" s="27">
        <f t="shared" si="8"/>
        <v>29</v>
      </c>
      <c r="R29" s="27"/>
      <c r="S29" s="41">
        <v>1.4772727272727271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0.23077083333333337</v>
      </c>
      <c r="AD29" s="37">
        <f t="shared" si="12"/>
        <v>-3.5031012500000003</v>
      </c>
      <c r="AE29" s="37">
        <v>-7.18</v>
      </c>
      <c r="AF29" s="42">
        <v>-12.90775</v>
      </c>
      <c r="AG29" s="37">
        <v>0</v>
      </c>
    </row>
    <row r="30" spans="1:33" ht="15.75" customHeight="1" x14ac:dyDescent="0.2">
      <c r="A30" s="40" t="s">
        <v>84</v>
      </c>
      <c r="B30" s="26" t="s">
        <v>1029</v>
      </c>
      <c r="C30" s="14">
        <f t="shared" si="4"/>
        <v>21.991999999999997</v>
      </c>
      <c r="D30" s="15">
        <v>5</v>
      </c>
      <c r="E30" s="15">
        <v>0</v>
      </c>
      <c r="F30" s="16">
        <v>109.96</v>
      </c>
      <c r="G30" s="16">
        <v>-0.59</v>
      </c>
      <c r="H30" s="29">
        <f t="shared" si="1"/>
        <v>5.3655874863586762E-3</v>
      </c>
      <c r="I30" s="29">
        <f t="shared" si="2"/>
        <v>-5.5622912877410065E-2</v>
      </c>
      <c r="J30" s="30">
        <f t="shared" si="5"/>
        <v>-6.1162955000000103</v>
      </c>
      <c r="K30" s="30">
        <f t="shared" si="3"/>
        <v>-1.2232591000000022</v>
      </c>
      <c r="L30" s="15">
        <v>54</v>
      </c>
      <c r="M30" s="31">
        <f t="shared" si="6"/>
        <v>9.2592592592592587E-2</v>
      </c>
      <c r="N30" s="15">
        <v>37</v>
      </c>
      <c r="O30" s="32">
        <f t="shared" ref="O30:P30" si="38">D30/7</f>
        <v>0.7142857142857143</v>
      </c>
      <c r="P30" s="32">
        <f t="shared" si="38"/>
        <v>0</v>
      </c>
      <c r="Q30" s="27">
        <f t="shared" si="8"/>
        <v>51</v>
      </c>
      <c r="R30" s="27"/>
      <c r="S30" s="41">
        <v>1.7053291536050159</v>
      </c>
      <c r="T30" s="26">
        <v>375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0.59</v>
      </c>
      <c r="Z30" s="40">
        <v>1</v>
      </c>
      <c r="AA30" s="26" t="s">
        <v>37</v>
      </c>
      <c r="AB30" s="38">
        <f t="shared" si="11"/>
        <v>-0.69</v>
      </c>
      <c r="AC30" s="39">
        <v>0.23077083333333337</v>
      </c>
      <c r="AD30" s="37">
        <f t="shared" si="12"/>
        <v>-1.5923187500000002</v>
      </c>
      <c r="AE30" s="42">
        <v>-7.18</v>
      </c>
      <c r="AF30" s="42">
        <v>-12.29999535</v>
      </c>
      <c r="AG30" s="42">
        <v>0</v>
      </c>
    </row>
    <row r="31" spans="1:33" ht="15.75" customHeight="1" x14ac:dyDescent="0.2">
      <c r="A31" s="40" t="s">
        <v>87</v>
      </c>
      <c r="B31" s="40" t="s">
        <v>53</v>
      </c>
      <c r="C31" s="14">
        <f t="shared" si="4"/>
        <v>30.641428571428577</v>
      </c>
      <c r="D31" s="15">
        <v>7</v>
      </c>
      <c r="E31" s="15">
        <v>0</v>
      </c>
      <c r="F31" s="16">
        <v>214.49000000000004</v>
      </c>
      <c r="G31" s="43">
        <v>-1.42</v>
      </c>
      <c r="H31" s="29">
        <f t="shared" si="1"/>
        <v>6.6203552613175428E-3</v>
      </c>
      <c r="I31" s="29">
        <f t="shared" si="2"/>
        <v>0.19724596158329075</v>
      </c>
      <c r="J31" s="30">
        <f t="shared" si="5"/>
        <v>42.307286300000037</v>
      </c>
      <c r="K31" s="30">
        <f t="shared" si="3"/>
        <v>6.0438980428571485</v>
      </c>
      <c r="L31" s="15">
        <v>46</v>
      </c>
      <c r="M31" s="31">
        <f t="shared" si="6"/>
        <v>0.15217391304347827</v>
      </c>
      <c r="N31" s="15">
        <v>31</v>
      </c>
      <c r="O31" s="32">
        <f t="shared" ref="O31:P31" si="39">D31/7</f>
        <v>1</v>
      </c>
      <c r="P31" s="32">
        <f t="shared" si="39"/>
        <v>0</v>
      </c>
      <c r="Q31" s="27">
        <f t="shared" si="8"/>
        <v>31</v>
      </c>
      <c r="R31" s="27"/>
      <c r="S31" s="41">
        <v>1.90410958904109</v>
      </c>
      <c r="T31" s="40">
        <v>375</v>
      </c>
      <c r="U31" s="22" t="s">
        <v>34</v>
      </c>
      <c r="V31" s="1" t="s">
        <v>1028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0.23077083333333337</v>
      </c>
      <c r="AD31" s="37">
        <f t="shared" si="12"/>
        <v>-2.2292462500000001</v>
      </c>
      <c r="AE31" s="45">
        <v>-7.18</v>
      </c>
      <c r="AF31" s="45">
        <v>-12.29999535</v>
      </c>
      <c r="AG31" s="42">
        <v>0</v>
      </c>
    </row>
    <row r="32" spans="1:33" ht="15.75" customHeight="1" x14ac:dyDescent="0.2">
      <c r="A32" s="40" t="s">
        <v>90</v>
      </c>
      <c r="B32" s="40" t="s">
        <v>53</v>
      </c>
      <c r="C32" s="14">
        <f t="shared" si="4"/>
        <v>31.318000000000001</v>
      </c>
      <c r="D32" s="15">
        <v>5</v>
      </c>
      <c r="E32" s="15">
        <v>0</v>
      </c>
      <c r="F32" s="16">
        <v>156.59</v>
      </c>
      <c r="G32" s="16">
        <v>-0.5</v>
      </c>
      <c r="H32" s="29">
        <f t="shared" si="1"/>
        <v>3.1930519190242032E-3</v>
      </c>
      <c r="I32" s="29">
        <f t="shared" si="2"/>
        <v>0.21463186985120372</v>
      </c>
      <c r="J32" s="30">
        <f t="shared" si="5"/>
        <v>33.60920449999999</v>
      </c>
      <c r="K32" s="30">
        <f t="shared" si="3"/>
        <v>6.7218408999999983</v>
      </c>
      <c r="L32" s="15">
        <v>46</v>
      </c>
      <c r="M32" s="31">
        <f t="shared" si="6"/>
        <v>0.10869565217391304</v>
      </c>
      <c r="N32" s="15">
        <v>64</v>
      </c>
      <c r="O32" s="32">
        <f t="shared" ref="O32:P32" si="40">D32/7</f>
        <v>0.7142857142857143</v>
      </c>
      <c r="P32" s="32">
        <f t="shared" si="40"/>
        <v>0</v>
      </c>
      <c r="Q32" s="27">
        <f t="shared" si="8"/>
        <v>89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1.2591006423982869</v>
      </c>
      <c r="T32" s="40">
        <f ca="1">IFERROR(__xludf.DUMMYFUNCTION("IFERROR(VLOOKUP($B$2,IMPORTRANGE(""https://docs.google.com/spreadsheets/d/1KiWZV1ko8G7lnRucBRBd29jj3Be6ltMfljMDqzOkQmI/edit#gid=1381463014"",""Lookup!A:D""),4,FALSE),"""")"),375)</f>
        <v>375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375 At Factory 50-75 days from Earliest Arrival")</f>
        <v>No Transit, But 375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0.23077083333333337</v>
      </c>
      <c r="AD32" s="37">
        <f t="shared" si="12"/>
        <v>-1.5923187500000002</v>
      </c>
      <c r="AE32" s="42">
        <v>-7.18</v>
      </c>
      <c r="AF32" s="42">
        <v>-12.29999535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Info!B1:BJ5000""),3,FALSE),"""")"),"Black Glass Monitor Stand 2 Pack - 16 x 9.5 Inch Clear Desktop Risers for Computer Monitors, Laptop, TV, Printer &amp; More")</f>
        <v>Black Glass Monitor Stand 2 Pack - 16 x 9.5 Inch Clear Desktop Risers for Computer Monitors, Laptop, TV, Printer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Info!B1:BJ5000""),2,FALSE),"""")"),"B07NQX4C7P")</f>
        <v>B07NQX4C7P</v>
      </c>
      <c r="B2" s="3" t="s">
        <v>1030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5" customHeight="1" x14ac:dyDescent="0.2">
      <c r="A3" s="68" t="s">
        <v>31</v>
      </c>
      <c r="B3" s="69"/>
      <c r="C3" s="48">
        <f>((AE32+AF32)/0.85)*-1</f>
        <v>23.40822982352941</v>
      </c>
      <c r="D3" s="5">
        <f>SUM(D4:D99767)</f>
        <v>178</v>
      </c>
      <c r="E3" s="5"/>
      <c r="F3" s="6">
        <f t="shared" ref="F3:G3" si="0">SUM(F4:F99767)</f>
        <v>5638.4999999999982</v>
      </c>
      <c r="G3" s="6">
        <f t="shared" si="0"/>
        <v>-41.819999999999993</v>
      </c>
      <c r="H3" s="7">
        <f t="shared" ref="H3:H32" si="1">G3/F3*-1</f>
        <v>7.4168661878159098E-3</v>
      </c>
      <c r="I3" s="8">
        <f t="shared" ref="I3:I32" si="2">J3/F3</f>
        <v>0.19383154096595948</v>
      </c>
      <c r="J3" s="6">
        <f>SUM(J4:J99767)</f>
        <v>1092.9191437365621</v>
      </c>
      <c r="K3" s="6">
        <f t="shared" ref="K3:K32" si="3">J3/D3</f>
        <v>6.1399951895312475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QTY-230")</f>
        <v>US QTY-230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2</v>
      </c>
      <c r="X3" s="7">
        <f>W3/D3</f>
        <v>1.1235955056179775E-2</v>
      </c>
      <c r="Y3" s="6"/>
      <c r="Z3" s="5"/>
      <c r="AA3" s="5"/>
      <c r="AB3" s="5"/>
      <c r="AC3" s="5"/>
      <c r="AD3" s="6">
        <f>SUM(AD4:AD99767)</f>
        <v>-56.485289127076072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Info!B2:BZ3000""),37,FALSE)),"""")*-1"),-12.71699535)</f>
        <v>-12.716995349999999</v>
      </c>
      <c r="AG3" s="6">
        <f>SUM(AG4:AG99767)</f>
        <v>0</v>
      </c>
    </row>
    <row r="4" spans="1:33" x14ac:dyDescent="0.2">
      <c r="A4" s="1" t="s">
        <v>32</v>
      </c>
      <c r="B4" s="2" t="s">
        <v>966</v>
      </c>
      <c r="C4" s="14">
        <f t="shared" ref="C4:C32" si="4">IFERROR(F4/D4," - ")</f>
        <v>34.010909090909088</v>
      </c>
      <c r="D4" s="15">
        <v>11</v>
      </c>
      <c r="E4" s="15">
        <v>0</v>
      </c>
      <c r="F4" s="16">
        <v>374.12</v>
      </c>
      <c r="G4" s="16">
        <v>0</v>
      </c>
      <c r="H4" s="17">
        <f t="shared" si="1"/>
        <v>0</v>
      </c>
      <c r="I4" s="17">
        <f t="shared" si="2"/>
        <v>0.25644553663708614</v>
      </c>
      <c r="J4" s="16">
        <f t="shared" ref="J4:J32" si="5">F4*0.85+G4+AF4*D4+D4*AE4+AG4+AD4</f>
        <v>95.941404166666658</v>
      </c>
      <c r="K4" s="16">
        <f t="shared" si="3"/>
        <v>8.7219458333333328</v>
      </c>
      <c r="L4" s="15">
        <v>127</v>
      </c>
      <c r="M4" s="18">
        <f t="shared" ref="M4:M32" si="6">IFERROR(D4/L4,"-")</f>
        <v>8.6614173228346455E-2</v>
      </c>
      <c r="N4" s="15">
        <v>85</v>
      </c>
      <c r="O4" s="19">
        <f t="shared" ref="O4:P4" si="7">D4/7</f>
        <v>1.5714285714285714</v>
      </c>
      <c r="P4" s="19">
        <f t="shared" si="7"/>
        <v>0</v>
      </c>
      <c r="Q4" s="15">
        <f t="shared" ref="Q4:Q32" si="8">ROUNDDOWN(N4/(O4+P4),0)</f>
        <v>54</v>
      </c>
      <c r="R4" s="15"/>
      <c r="S4" s="20">
        <v>2.1631419939577001</v>
      </c>
      <c r="T4" s="2">
        <v>375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0.22993055555555555</v>
      </c>
      <c r="AD4" s="24">
        <f t="shared" ref="AD4:AD32" si="12">IFERROR(AB4*AC4*D4*2,0)</f>
        <v>-3.4903458333333335</v>
      </c>
      <c r="AE4" s="24">
        <v>-7.32</v>
      </c>
      <c r="AF4" s="24">
        <v>-12.550022727272728</v>
      </c>
      <c r="AG4" s="24">
        <v>0</v>
      </c>
    </row>
    <row r="5" spans="1:33" ht="15.75" customHeight="1" x14ac:dyDescent="0.2">
      <c r="A5" s="26" t="s">
        <v>35</v>
      </c>
      <c r="B5" s="26"/>
      <c r="C5" s="14">
        <f t="shared" si="4"/>
        <v>34.234999999999999</v>
      </c>
      <c r="D5" s="27">
        <v>14</v>
      </c>
      <c r="E5" s="27">
        <v>0</v>
      </c>
      <c r="F5" s="28">
        <v>479.29</v>
      </c>
      <c r="G5" s="28">
        <v>0</v>
      </c>
      <c r="H5" s="29">
        <f t="shared" si="1"/>
        <v>0</v>
      </c>
      <c r="I5" s="29">
        <f t="shared" si="2"/>
        <v>0.26032000672753253</v>
      </c>
      <c r="J5" s="30">
        <f t="shared" si="5"/>
        <v>124.76877602443908</v>
      </c>
      <c r="K5" s="30">
        <f t="shared" si="3"/>
        <v>8.9120554303170767</v>
      </c>
      <c r="L5" s="27">
        <v>112</v>
      </c>
      <c r="M5" s="31">
        <f t="shared" si="6"/>
        <v>0.125</v>
      </c>
      <c r="N5" s="27">
        <v>67</v>
      </c>
      <c r="O5" s="32">
        <f t="shared" ref="O5:P5" si="13">D5/7</f>
        <v>2</v>
      </c>
      <c r="P5" s="32">
        <f t="shared" si="13"/>
        <v>0</v>
      </c>
      <c r="Q5" s="27">
        <f t="shared" si="8"/>
        <v>33</v>
      </c>
      <c r="R5" s="27"/>
      <c r="S5" s="33">
        <v>1.70992366412213</v>
      </c>
      <c r="T5" s="26">
        <v>375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0.23019698725376592</v>
      </c>
      <c r="AD5" s="37">
        <f t="shared" si="12"/>
        <v>-4.4474057937427567</v>
      </c>
      <c r="AE5" s="37">
        <v>-7.32</v>
      </c>
      <c r="AF5" s="37">
        <v>-12.550022727272728</v>
      </c>
      <c r="AG5" s="37">
        <v>0</v>
      </c>
    </row>
    <row r="6" spans="1:33" ht="15.75" customHeight="1" x14ac:dyDescent="0.2">
      <c r="A6" s="26" t="s">
        <v>38</v>
      </c>
      <c r="B6" s="26" t="s">
        <v>984</v>
      </c>
      <c r="C6" s="14">
        <f t="shared" si="4"/>
        <v>34.039090909090916</v>
      </c>
      <c r="D6" s="27">
        <v>11</v>
      </c>
      <c r="E6" s="27">
        <v>0</v>
      </c>
      <c r="F6" s="28">
        <v>374.43000000000006</v>
      </c>
      <c r="G6" s="28">
        <v>0</v>
      </c>
      <c r="H6" s="29">
        <f t="shared" si="1"/>
        <v>0</v>
      </c>
      <c r="I6" s="29">
        <f t="shared" si="2"/>
        <v>0.25693695528314148</v>
      </c>
      <c r="J6" s="30">
        <f t="shared" si="5"/>
        <v>96.20490416666668</v>
      </c>
      <c r="K6" s="30">
        <f t="shared" si="3"/>
        <v>8.74590037878788</v>
      </c>
      <c r="L6" s="27">
        <v>95</v>
      </c>
      <c r="M6" s="31">
        <f t="shared" si="6"/>
        <v>0.11578947368421053</v>
      </c>
      <c r="N6" s="27">
        <v>56</v>
      </c>
      <c r="O6" s="32">
        <f t="shared" ref="O6:P6" si="14">D6/7</f>
        <v>1.5714285714285714</v>
      </c>
      <c r="P6" s="32">
        <f t="shared" si="14"/>
        <v>0</v>
      </c>
      <c r="Q6" s="27">
        <f t="shared" si="8"/>
        <v>35</v>
      </c>
      <c r="R6" s="27"/>
      <c r="S6" s="33">
        <v>2</v>
      </c>
      <c r="T6" s="26">
        <v>230</v>
      </c>
      <c r="U6" s="34" t="s">
        <v>34</v>
      </c>
      <c r="V6" s="49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0.22993055555555555</v>
      </c>
      <c r="AD6" s="37">
        <f t="shared" si="12"/>
        <v>-3.4903458333333335</v>
      </c>
      <c r="AE6" s="37">
        <v>-7.32</v>
      </c>
      <c r="AF6" s="37">
        <v>-12.550022727272728</v>
      </c>
      <c r="AG6" s="37">
        <v>0</v>
      </c>
    </row>
    <row r="7" spans="1:33" ht="15.75" customHeight="1" x14ac:dyDescent="0.2">
      <c r="A7" s="26" t="s">
        <v>41</v>
      </c>
      <c r="B7" s="26" t="s">
        <v>1031</v>
      </c>
      <c r="C7" s="14">
        <f t="shared" si="4"/>
        <v>31.840000000000007</v>
      </c>
      <c r="D7" s="27">
        <v>13</v>
      </c>
      <c r="E7" s="27">
        <v>0</v>
      </c>
      <c r="F7" s="28">
        <v>413.92000000000007</v>
      </c>
      <c r="G7" s="28">
        <v>0</v>
      </c>
      <c r="H7" s="29">
        <f t="shared" si="1"/>
        <v>0</v>
      </c>
      <c r="I7" s="29">
        <f t="shared" si="2"/>
        <v>0.21597591413506934</v>
      </c>
      <c r="J7" s="30">
        <f t="shared" si="5"/>
        <v>89.396750378787914</v>
      </c>
      <c r="K7" s="30">
        <f t="shared" si="3"/>
        <v>6.8766731060606086</v>
      </c>
      <c r="L7" s="27">
        <v>85</v>
      </c>
      <c r="M7" s="31">
        <f t="shared" si="6"/>
        <v>0.15294117647058825</v>
      </c>
      <c r="N7" s="27">
        <v>44</v>
      </c>
      <c r="O7" s="32">
        <f t="shared" ref="O7:P7" si="15">D7/7</f>
        <v>1.8571428571428572</v>
      </c>
      <c r="P7" s="32">
        <f t="shared" si="15"/>
        <v>0</v>
      </c>
      <c r="Q7" s="27">
        <f t="shared" si="8"/>
        <v>23</v>
      </c>
      <c r="R7" s="27"/>
      <c r="S7" s="33">
        <v>2.3321033210332098</v>
      </c>
      <c r="T7" s="26">
        <v>460</v>
      </c>
      <c r="U7" s="34">
        <v>230</v>
      </c>
      <c r="V7" s="49" t="s">
        <v>1032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0.22993055555555555</v>
      </c>
      <c r="AD7" s="37">
        <f t="shared" si="12"/>
        <v>-4.1249541666666669</v>
      </c>
      <c r="AE7" s="37">
        <v>-7.32</v>
      </c>
      <c r="AF7" s="37">
        <v>-12.550022727272728</v>
      </c>
      <c r="AG7" s="37">
        <v>0</v>
      </c>
    </row>
    <row r="8" spans="1:33" ht="15.75" customHeight="1" x14ac:dyDescent="0.2">
      <c r="A8" s="26" t="s">
        <v>43</v>
      </c>
      <c r="B8" s="26"/>
      <c r="C8" s="14">
        <f t="shared" si="4"/>
        <v>35.765999999999998</v>
      </c>
      <c r="D8" s="27">
        <v>15</v>
      </c>
      <c r="E8" s="27">
        <v>0</v>
      </c>
      <c r="F8" s="28">
        <v>536.49</v>
      </c>
      <c r="G8" s="28">
        <v>0</v>
      </c>
      <c r="H8" s="29">
        <f t="shared" si="1"/>
        <v>0</v>
      </c>
      <c r="I8" s="29">
        <f t="shared" si="2"/>
        <v>0.2855727739566441</v>
      </c>
      <c r="J8" s="30">
        <f t="shared" si="5"/>
        <v>153.20693750000001</v>
      </c>
      <c r="K8" s="30">
        <f t="shared" si="3"/>
        <v>10.213795833333334</v>
      </c>
      <c r="L8" s="27">
        <v>94</v>
      </c>
      <c r="M8" s="31">
        <f t="shared" si="6"/>
        <v>0.15957446808510639</v>
      </c>
      <c r="N8" s="27">
        <v>27</v>
      </c>
      <c r="O8" s="32">
        <f t="shared" ref="O8:P8" si="16">D8/7</f>
        <v>2.1428571428571428</v>
      </c>
      <c r="P8" s="32">
        <f t="shared" si="16"/>
        <v>0</v>
      </c>
      <c r="Q8" s="27">
        <f t="shared" si="8"/>
        <v>12</v>
      </c>
      <c r="R8" s="27"/>
      <c r="S8" s="33">
        <v>2.9321266968325701</v>
      </c>
      <c r="T8" s="26">
        <v>375</v>
      </c>
      <c r="U8" s="34">
        <v>110</v>
      </c>
      <c r="V8" s="35" t="s">
        <v>1033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0.22993055555555555</v>
      </c>
      <c r="AD8" s="37">
        <f t="shared" si="12"/>
        <v>-4.7595625000000004</v>
      </c>
      <c r="AE8" s="37">
        <v>-7.32</v>
      </c>
      <c r="AF8" s="37">
        <v>-12.55</v>
      </c>
      <c r="AG8" s="37">
        <v>0</v>
      </c>
    </row>
    <row r="9" spans="1:33" ht="15.75" customHeight="1" x14ac:dyDescent="0.2">
      <c r="A9" s="26" t="s">
        <v>45</v>
      </c>
      <c r="B9" s="26" t="s">
        <v>1034</v>
      </c>
      <c r="C9" s="14">
        <f t="shared" si="4"/>
        <v>37.865000000000002</v>
      </c>
      <c r="D9" s="27">
        <v>6</v>
      </c>
      <c r="E9" s="27">
        <v>0</v>
      </c>
      <c r="F9" s="28">
        <v>227.19000000000003</v>
      </c>
      <c r="G9" s="28">
        <v>0</v>
      </c>
      <c r="H9" s="29">
        <f t="shared" si="1"/>
        <v>0</v>
      </c>
      <c r="I9" s="29">
        <f t="shared" si="2"/>
        <v>0.31111281506468597</v>
      </c>
      <c r="J9" s="30">
        <f t="shared" si="5"/>
        <v>70.68172045454601</v>
      </c>
      <c r="K9" s="30">
        <f t="shared" si="3"/>
        <v>11.780286742424336</v>
      </c>
      <c r="L9" s="27">
        <v>58</v>
      </c>
      <c r="M9" s="31">
        <f t="shared" si="6"/>
        <v>0.10344827586206896</v>
      </c>
      <c r="N9" s="27">
        <v>20</v>
      </c>
      <c r="O9" s="32">
        <f t="shared" ref="O9:P9" si="17">D9/7</f>
        <v>0.8571428571428571</v>
      </c>
      <c r="P9" s="32">
        <f t="shared" si="17"/>
        <v>0</v>
      </c>
      <c r="Q9" s="27">
        <f t="shared" si="8"/>
        <v>23</v>
      </c>
      <c r="R9" s="27"/>
      <c r="S9" s="33">
        <v>2.2491582491582398</v>
      </c>
      <c r="T9" s="26">
        <v>375</v>
      </c>
      <c r="U9" s="34">
        <v>110</v>
      </c>
      <c r="V9" s="35" t="s">
        <v>1035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0.22993055555555555</v>
      </c>
      <c r="AD9" s="37">
        <f t="shared" si="12"/>
        <v>-1.9038249999999999</v>
      </c>
      <c r="AE9" s="37">
        <v>-7.32</v>
      </c>
      <c r="AF9" s="37">
        <v>-12.767659090909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38.702000000000005</v>
      </c>
      <c r="D10" s="27">
        <v>5</v>
      </c>
      <c r="E10" s="27">
        <v>0</v>
      </c>
      <c r="F10" s="28">
        <v>193.51000000000002</v>
      </c>
      <c r="G10" s="28">
        <v>0</v>
      </c>
      <c r="H10" s="29">
        <f t="shared" si="1"/>
        <v>0</v>
      </c>
      <c r="I10" s="29">
        <f t="shared" si="2"/>
        <v>0.32276721467687297</v>
      </c>
      <c r="J10" s="30">
        <f t="shared" si="5"/>
        <v>62.45868371212169</v>
      </c>
      <c r="K10" s="30">
        <f t="shared" si="3"/>
        <v>12.491736742424338</v>
      </c>
      <c r="L10" s="27">
        <v>61</v>
      </c>
      <c r="M10" s="31">
        <f t="shared" si="6"/>
        <v>8.1967213114754092E-2</v>
      </c>
      <c r="N10" s="27">
        <v>13</v>
      </c>
      <c r="O10" s="32">
        <f t="shared" ref="O10:P10" si="18">D10/7</f>
        <v>0.7142857142857143</v>
      </c>
      <c r="P10" s="32">
        <f t="shared" si="18"/>
        <v>0</v>
      </c>
      <c r="Q10" s="27">
        <f t="shared" si="8"/>
        <v>18</v>
      </c>
      <c r="R10" s="27"/>
      <c r="S10" s="33">
        <v>2.5714285714285698</v>
      </c>
      <c r="T10" s="26">
        <v>375</v>
      </c>
      <c r="U10" s="34">
        <v>110</v>
      </c>
      <c r="V10" s="35" t="s">
        <v>1036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0.22993055555555555</v>
      </c>
      <c r="AD10" s="37">
        <f t="shared" si="12"/>
        <v>-1.5865208333333334</v>
      </c>
      <c r="AE10" s="37">
        <v>-7.32</v>
      </c>
      <c r="AF10" s="37">
        <v>-12.767659090909</v>
      </c>
      <c r="AG10" s="37">
        <v>0</v>
      </c>
    </row>
    <row r="11" spans="1:33" ht="15.75" customHeight="1" x14ac:dyDescent="0.2">
      <c r="A11" s="26" t="s">
        <v>50</v>
      </c>
      <c r="B11" s="26" t="s">
        <v>993</v>
      </c>
      <c r="C11" s="14">
        <f t="shared" si="4"/>
        <v>37.99</v>
      </c>
      <c r="D11" s="27">
        <v>6</v>
      </c>
      <c r="E11" s="27">
        <v>0</v>
      </c>
      <c r="F11" s="28">
        <v>227.94000000000003</v>
      </c>
      <c r="G11" s="28">
        <v>0</v>
      </c>
      <c r="H11" s="29">
        <f t="shared" si="1"/>
        <v>0</v>
      </c>
      <c r="I11" s="29">
        <f t="shared" si="2"/>
        <v>0.3128859368892955</v>
      </c>
      <c r="J11" s="30">
        <f t="shared" si="5"/>
        <v>71.319220454546027</v>
      </c>
      <c r="K11" s="30">
        <f t="shared" si="3"/>
        <v>11.886536742424338</v>
      </c>
      <c r="L11" s="27">
        <v>58</v>
      </c>
      <c r="M11" s="31">
        <f t="shared" si="6"/>
        <v>0.10344827586206896</v>
      </c>
      <c r="N11" s="27">
        <v>7</v>
      </c>
      <c r="O11" s="32">
        <f t="shared" ref="O11:P11" si="19">D11/7</f>
        <v>0.8571428571428571</v>
      </c>
      <c r="P11" s="32">
        <f t="shared" si="19"/>
        <v>0</v>
      </c>
      <c r="Q11" s="27">
        <f t="shared" si="8"/>
        <v>8</v>
      </c>
      <c r="R11" s="27"/>
      <c r="S11" s="33">
        <v>3.1578947368421</v>
      </c>
      <c r="T11" s="26">
        <v>375</v>
      </c>
      <c r="U11" s="34">
        <v>110</v>
      </c>
      <c r="V11" s="35" t="s">
        <v>1037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0.22993055555555555</v>
      </c>
      <c r="AD11" s="37">
        <f t="shared" si="12"/>
        <v>-1.9038249999999999</v>
      </c>
      <c r="AE11" s="37">
        <v>-7.32</v>
      </c>
      <c r="AF11" s="37">
        <v>-12.767659090909</v>
      </c>
      <c r="AG11" s="37">
        <v>0</v>
      </c>
    </row>
    <row r="12" spans="1:33" ht="15.75" customHeight="1" x14ac:dyDescent="0.2">
      <c r="A12" s="26" t="s">
        <v>52</v>
      </c>
      <c r="B12" s="26" t="s">
        <v>461</v>
      </c>
      <c r="C12" s="14">
        <f t="shared" si="4"/>
        <v>40.945999999999998</v>
      </c>
      <c r="D12" s="27">
        <v>5</v>
      </c>
      <c r="E12" s="27">
        <v>0</v>
      </c>
      <c r="F12" s="28">
        <v>204.73</v>
      </c>
      <c r="G12" s="28">
        <v>0</v>
      </c>
      <c r="H12" s="29">
        <f t="shared" si="1"/>
        <v>0</v>
      </c>
      <c r="I12" s="29">
        <f t="shared" si="2"/>
        <v>0.35166162121878408</v>
      </c>
      <c r="J12" s="30">
        <f t="shared" si="5"/>
        <v>71.995683712121661</v>
      </c>
      <c r="K12" s="30">
        <f t="shared" si="3"/>
        <v>14.399136742424332</v>
      </c>
      <c r="L12" s="27">
        <v>39</v>
      </c>
      <c r="M12" s="31">
        <f t="shared" si="6"/>
        <v>0.12820512820512819</v>
      </c>
      <c r="N12" s="27">
        <v>0</v>
      </c>
      <c r="O12" s="32">
        <f t="shared" ref="O12:P12" si="20">D12/7</f>
        <v>0.7142857142857143</v>
      </c>
      <c r="P12" s="32">
        <f t="shared" si="20"/>
        <v>0</v>
      </c>
      <c r="Q12" s="27">
        <f t="shared" si="8"/>
        <v>0</v>
      </c>
      <c r="R12" s="27"/>
      <c r="S12" s="33" t="e">
        <v>#N/A</v>
      </c>
      <c r="T12" s="26">
        <v>375</v>
      </c>
      <c r="U12" s="34">
        <v>110</v>
      </c>
      <c r="V12" s="35" t="s">
        <v>1038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0.22993055555555555</v>
      </c>
      <c r="AD12" s="37">
        <f t="shared" si="12"/>
        <v>-1.5865208333333334</v>
      </c>
      <c r="AE12" s="37">
        <v>-7.32</v>
      </c>
      <c r="AF12" s="37">
        <v>-12.767659090909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375</v>
      </c>
      <c r="U13" s="34">
        <v>110</v>
      </c>
      <c r="V13" s="35" t="s">
        <v>1039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-12.882204545454499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375</v>
      </c>
      <c r="U14" s="34">
        <v>110</v>
      </c>
      <c r="V14" s="35" t="s">
        <v>1039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-12.882204545454499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375</v>
      </c>
      <c r="U15" s="34">
        <v>110</v>
      </c>
      <c r="V15" s="35" t="s">
        <v>1040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-12.882204545454499</v>
      </c>
      <c r="AG15" s="37">
        <v>0</v>
      </c>
    </row>
    <row r="16" spans="1:33" ht="15.75" customHeight="1" x14ac:dyDescent="0.2">
      <c r="A16" s="26" t="s">
        <v>60</v>
      </c>
      <c r="B16" s="26" t="s">
        <v>1041</v>
      </c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110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>
        <v>1.4032258064516101</v>
      </c>
      <c r="T16" s="26">
        <v>265</v>
      </c>
      <c r="U16" s="34" t="s">
        <v>34</v>
      </c>
      <c r="V16" s="35" t="s">
        <v>1042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0.22993055555555555</v>
      </c>
      <c r="AD16" s="37">
        <f t="shared" si="12"/>
        <v>0</v>
      </c>
      <c r="AE16" s="37">
        <v>-7.32</v>
      </c>
      <c r="AF16" s="37">
        <v>-12.882204545454499</v>
      </c>
      <c r="AG16" s="37">
        <v>0</v>
      </c>
    </row>
    <row r="17" spans="1:33" ht="15.75" customHeight="1" x14ac:dyDescent="0.2">
      <c r="A17" s="26" t="s">
        <v>61</v>
      </c>
      <c r="B17" s="26" t="s">
        <v>1043</v>
      </c>
      <c r="C17" s="14">
        <f t="shared" si="4"/>
        <v>36.858000000000004</v>
      </c>
      <c r="D17" s="27">
        <v>5</v>
      </c>
      <c r="E17" s="27">
        <v>0</v>
      </c>
      <c r="F17" s="30">
        <v>184.29000000000002</v>
      </c>
      <c r="G17" s="28">
        <v>0</v>
      </c>
      <c r="H17" s="29">
        <f t="shared" si="1"/>
        <v>0</v>
      </c>
      <c r="I17" s="29">
        <f t="shared" si="2"/>
        <v>0.28127532240852277</v>
      </c>
      <c r="J17" s="30">
        <f t="shared" si="5"/>
        <v>51.836229166666669</v>
      </c>
      <c r="K17" s="30">
        <f t="shared" si="3"/>
        <v>10.367245833333333</v>
      </c>
      <c r="L17" s="27">
        <v>45</v>
      </c>
      <c r="M17" s="31">
        <f t="shared" si="6"/>
        <v>0.1111111111111111</v>
      </c>
      <c r="N17" s="27">
        <v>106</v>
      </c>
      <c r="O17" s="32">
        <f t="shared" ref="O17:P17" si="25">D17/7</f>
        <v>0.7142857142857143</v>
      </c>
      <c r="P17" s="32">
        <f t="shared" si="25"/>
        <v>0</v>
      </c>
      <c r="Q17" s="27">
        <f t="shared" si="8"/>
        <v>148</v>
      </c>
      <c r="R17" s="27"/>
      <c r="S17" s="33">
        <v>1.4774774774774699</v>
      </c>
      <c r="T17" s="26">
        <v>265</v>
      </c>
      <c r="U17" s="34" t="s">
        <v>34</v>
      </c>
      <c r="V17" s="35" t="s">
        <v>1042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0.22993055555555555</v>
      </c>
      <c r="AD17" s="37">
        <f t="shared" si="12"/>
        <v>-1.5865208333333334</v>
      </c>
      <c r="AE17" s="37">
        <v>-7.32</v>
      </c>
      <c r="AF17" s="37">
        <v>-13.32475</v>
      </c>
      <c r="AG17" s="37">
        <v>0</v>
      </c>
    </row>
    <row r="18" spans="1:33" ht="15.75" customHeight="1" x14ac:dyDescent="0.2">
      <c r="A18" s="26" t="s">
        <v>62</v>
      </c>
      <c r="B18" s="26" t="s">
        <v>909</v>
      </c>
      <c r="C18" s="14">
        <f t="shared" si="4"/>
        <v>34.147500000000008</v>
      </c>
      <c r="D18" s="27">
        <v>4</v>
      </c>
      <c r="E18" s="27">
        <v>0</v>
      </c>
      <c r="F18" s="30">
        <v>136.59000000000003</v>
      </c>
      <c r="G18" s="28">
        <v>-24.059999999999995</v>
      </c>
      <c r="H18" s="29">
        <f t="shared" si="1"/>
        <v>0.17614759499231269</v>
      </c>
      <c r="I18" s="29">
        <f t="shared" si="2"/>
        <v>5.9984503501964805E-2</v>
      </c>
      <c r="J18" s="30">
        <f t="shared" si="5"/>
        <v>8.1932833333333743</v>
      </c>
      <c r="K18" s="30">
        <f t="shared" si="3"/>
        <v>2.0483208333333436</v>
      </c>
      <c r="L18" s="27">
        <v>53</v>
      </c>
      <c r="M18" s="31">
        <f t="shared" si="6"/>
        <v>7.5471698113207544E-2</v>
      </c>
      <c r="N18" s="27">
        <v>94</v>
      </c>
      <c r="O18" s="32">
        <f t="shared" ref="O18:P18" si="26">D18/7</f>
        <v>0.5714285714285714</v>
      </c>
      <c r="P18" s="32">
        <f t="shared" si="26"/>
        <v>0</v>
      </c>
      <c r="Q18" s="27">
        <f t="shared" si="8"/>
        <v>164</v>
      </c>
      <c r="R18" s="27"/>
      <c r="S18" s="33">
        <v>1.3821989528795799</v>
      </c>
      <c r="T18" s="26">
        <v>265</v>
      </c>
      <c r="U18" s="34" t="s">
        <v>34</v>
      </c>
      <c r="V18" s="35" t="s">
        <v>1042</v>
      </c>
      <c r="W18" s="26">
        <v>1</v>
      </c>
      <c r="X18" s="36">
        <f t="shared" si="9"/>
        <v>0.25</v>
      </c>
      <c r="Y18" s="37">
        <f t="shared" si="10"/>
        <v>24.059999999999995</v>
      </c>
      <c r="Z18" s="26">
        <v>0</v>
      </c>
      <c r="AA18" s="26" t="s">
        <v>37</v>
      </c>
      <c r="AB18" s="38">
        <f t="shared" si="11"/>
        <v>-0.69</v>
      </c>
      <c r="AC18" s="39">
        <v>0.22993055555555555</v>
      </c>
      <c r="AD18" s="37">
        <f t="shared" si="12"/>
        <v>-1.2692166666666667</v>
      </c>
      <c r="AE18" s="37">
        <v>-7.32</v>
      </c>
      <c r="AF18" s="37">
        <v>-13.32475</v>
      </c>
      <c r="AG18" s="37">
        <v>0</v>
      </c>
    </row>
    <row r="19" spans="1:33" ht="15.75" customHeight="1" x14ac:dyDescent="0.2">
      <c r="A19" s="26" t="s">
        <v>64</v>
      </c>
      <c r="B19" s="26" t="s">
        <v>188</v>
      </c>
      <c r="C19" s="14">
        <f t="shared" si="4"/>
        <v>30.206249999999997</v>
      </c>
      <c r="D19" s="27">
        <v>8</v>
      </c>
      <c r="E19" s="27">
        <v>0</v>
      </c>
      <c r="F19" s="30">
        <v>241.64999999999998</v>
      </c>
      <c r="G19" s="28">
        <v>-17.079999999999998</v>
      </c>
      <c r="H19" s="29">
        <f t="shared" si="1"/>
        <v>7.0680736602524316E-2</v>
      </c>
      <c r="I19" s="29">
        <f t="shared" si="2"/>
        <v>8.5355127939857889E-2</v>
      </c>
      <c r="J19" s="30">
        <f t="shared" si="5"/>
        <v>20.626066666666656</v>
      </c>
      <c r="K19" s="30">
        <f t="shared" si="3"/>
        <v>2.578258333333332</v>
      </c>
      <c r="L19" s="27">
        <v>68</v>
      </c>
      <c r="M19" s="31">
        <f t="shared" si="6"/>
        <v>0.11764705882352941</v>
      </c>
      <c r="N19" s="27">
        <v>83</v>
      </c>
      <c r="O19" s="32">
        <f t="shared" ref="O19:P19" si="27">D19/7</f>
        <v>1.1428571428571428</v>
      </c>
      <c r="P19" s="32">
        <f t="shared" si="27"/>
        <v>0</v>
      </c>
      <c r="Q19" s="27">
        <f t="shared" si="8"/>
        <v>72</v>
      </c>
      <c r="R19" s="27"/>
      <c r="S19" s="33">
        <v>1.68831168831168</v>
      </c>
      <c r="T19" s="26">
        <v>35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0.22993055555555555</v>
      </c>
      <c r="AD19" s="37">
        <f t="shared" si="12"/>
        <v>-2.5384333333333333</v>
      </c>
      <c r="AE19" s="37">
        <v>-7.32</v>
      </c>
      <c r="AF19" s="37">
        <v>-13.32475</v>
      </c>
      <c r="AG19" s="37">
        <v>0</v>
      </c>
    </row>
    <row r="20" spans="1:33" ht="15.75" customHeight="1" x14ac:dyDescent="0.2">
      <c r="A20" s="26" t="s">
        <v>65</v>
      </c>
      <c r="B20" s="26" t="s">
        <v>1044</v>
      </c>
      <c r="C20" s="14">
        <f t="shared" si="4"/>
        <v>27.990000000000002</v>
      </c>
      <c r="D20" s="27">
        <v>8</v>
      </c>
      <c r="E20" s="27">
        <v>0</v>
      </c>
      <c r="F20" s="30">
        <v>223.92000000000002</v>
      </c>
      <c r="G20" s="28">
        <v>0</v>
      </c>
      <c r="H20" s="29">
        <f t="shared" si="1"/>
        <v>0</v>
      </c>
      <c r="I20" s="29">
        <f t="shared" si="2"/>
        <v>0.10108773966892946</v>
      </c>
      <c r="J20" s="30">
        <f t="shared" si="5"/>
        <v>22.635566666666687</v>
      </c>
      <c r="K20" s="30">
        <f t="shared" si="3"/>
        <v>2.8294458333333359</v>
      </c>
      <c r="L20" s="27">
        <v>49</v>
      </c>
      <c r="M20" s="31">
        <f t="shared" si="6"/>
        <v>0.16326530612244897</v>
      </c>
      <c r="N20" s="27">
        <v>76</v>
      </c>
      <c r="O20" s="32">
        <f t="shared" ref="O20:P20" si="28">D20/7</f>
        <v>1.1428571428571428</v>
      </c>
      <c r="P20" s="32">
        <f t="shared" si="28"/>
        <v>0</v>
      </c>
      <c r="Q20" s="27">
        <f t="shared" si="8"/>
        <v>66</v>
      </c>
      <c r="R20" s="27"/>
      <c r="S20" s="33">
        <v>1.9236641221374</v>
      </c>
      <c r="T20" s="26">
        <v>70</v>
      </c>
      <c r="U20" s="34" t="s">
        <v>34</v>
      </c>
      <c r="V20" s="35" t="s">
        <v>1045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0.22993055555555555</v>
      </c>
      <c r="AD20" s="37">
        <f t="shared" si="12"/>
        <v>-2.5384333333333333</v>
      </c>
      <c r="AE20" s="37">
        <v>-7.32</v>
      </c>
      <c r="AF20" s="37">
        <v>-13.32475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28.84714285714286</v>
      </c>
      <c r="D21" s="27">
        <v>7</v>
      </c>
      <c r="E21" s="27">
        <v>0</v>
      </c>
      <c r="F21" s="30">
        <v>201.93</v>
      </c>
      <c r="G21" s="28">
        <v>0</v>
      </c>
      <c r="H21" s="29">
        <f t="shared" si="1"/>
        <v>0</v>
      </c>
      <c r="I21" s="29">
        <f t="shared" si="2"/>
        <v>0.12334036960002638</v>
      </c>
      <c r="J21" s="30">
        <f t="shared" si="5"/>
        <v>24.906120833333329</v>
      </c>
      <c r="K21" s="30">
        <f t="shared" si="3"/>
        <v>3.5580172619047614</v>
      </c>
      <c r="L21" s="27">
        <v>17</v>
      </c>
      <c r="M21" s="31">
        <f t="shared" si="6"/>
        <v>0.41176470588235292</v>
      </c>
      <c r="N21" s="27">
        <v>75</v>
      </c>
      <c r="O21" s="32">
        <f t="shared" ref="O21:P21" si="29">D21/7</f>
        <v>1</v>
      </c>
      <c r="P21" s="32">
        <f t="shared" si="29"/>
        <v>0</v>
      </c>
      <c r="Q21" s="27">
        <f t="shared" si="8"/>
        <v>75</v>
      </c>
      <c r="R21" s="27"/>
      <c r="S21" s="33">
        <v>1.0185185185185099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0.22993055555555555</v>
      </c>
      <c r="AD21" s="37">
        <f t="shared" si="12"/>
        <v>-2.2211291666666666</v>
      </c>
      <c r="AE21" s="37">
        <v>-7.32</v>
      </c>
      <c r="AF21" s="37">
        <v>-13.32475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28.99</v>
      </c>
      <c r="D22" s="27">
        <v>4</v>
      </c>
      <c r="E22" s="27">
        <v>0</v>
      </c>
      <c r="F22" s="28">
        <v>115.96</v>
      </c>
      <c r="G22" s="28">
        <v>0</v>
      </c>
      <c r="H22" s="29">
        <f t="shared" si="1"/>
        <v>0</v>
      </c>
      <c r="I22" s="29">
        <f t="shared" si="2"/>
        <v>0.12692120846268817</v>
      </c>
      <c r="J22" s="30">
        <f t="shared" si="5"/>
        <v>14.717783333333321</v>
      </c>
      <c r="K22" s="30">
        <f t="shared" si="3"/>
        <v>3.6794458333333302</v>
      </c>
      <c r="L22" s="27">
        <v>37</v>
      </c>
      <c r="M22" s="31">
        <f t="shared" si="6"/>
        <v>0.10810810810810811</v>
      </c>
      <c r="N22" s="27">
        <v>69</v>
      </c>
      <c r="O22" s="32">
        <f t="shared" ref="O22:P22" si="30">D22/7</f>
        <v>0.5714285714285714</v>
      </c>
      <c r="P22" s="32">
        <f t="shared" si="30"/>
        <v>0</v>
      </c>
      <c r="Q22" s="27">
        <f t="shared" si="8"/>
        <v>120</v>
      </c>
      <c r="R22" s="27"/>
      <c r="S22" s="33">
        <v>1.0505050505050499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0.22993055555555555</v>
      </c>
      <c r="AD22" s="37">
        <f t="shared" si="12"/>
        <v>-1.2692166666666667</v>
      </c>
      <c r="AE22" s="37">
        <v>-7.32</v>
      </c>
      <c r="AF22" s="37">
        <v>-13.32475</v>
      </c>
      <c r="AG22" s="37">
        <v>0</v>
      </c>
    </row>
    <row r="23" spans="1:33" ht="15.75" customHeight="1" x14ac:dyDescent="0.2">
      <c r="A23" s="26" t="s">
        <v>68</v>
      </c>
      <c r="B23" s="26" t="s">
        <v>1046</v>
      </c>
      <c r="C23" s="14">
        <f t="shared" si="4"/>
        <v>28.99</v>
      </c>
      <c r="D23" s="27">
        <v>4</v>
      </c>
      <c r="E23" s="27">
        <v>1</v>
      </c>
      <c r="F23" s="30">
        <v>115.96</v>
      </c>
      <c r="G23" s="28">
        <v>0</v>
      </c>
      <c r="H23" s="29">
        <f t="shared" si="1"/>
        <v>0</v>
      </c>
      <c r="I23" s="29">
        <f t="shared" si="2"/>
        <v>0.12692120846268817</v>
      </c>
      <c r="J23" s="30">
        <f t="shared" si="5"/>
        <v>14.717783333333321</v>
      </c>
      <c r="K23" s="30">
        <f t="shared" si="3"/>
        <v>3.6794458333333302</v>
      </c>
      <c r="L23" s="27">
        <v>42</v>
      </c>
      <c r="M23" s="31">
        <f t="shared" si="6"/>
        <v>9.5238095238095233E-2</v>
      </c>
      <c r="N23" s="27">
        <v>64</v>
      </c>
      <c r="O23" s="32">
        <f t="shared" ref="O23:P23" si="31">D23/7</f>
        <v>0.5714285714285714</v>
      </c>
      <c r="P23" s="32">
        <f t="shared" si="31"/>
        <v>0.14285714285714285</v>
      </c>
      <c r="Q23" s="27">
        <f t="shared" si="8"/>
        <v>89</v>
      </c>
      <c r="R23" s="27"/>
      <c r="S23" s="33">
        <v>1.16959064327485</v>
      </c>
      <c r="T23" s="26">
        <v>35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0.22993055555555555</v>
      </c>
      <c r="AD23" s="37">
        <f t="shared" si="12"/>
        <v>-1.2692166666666667</v>
      </c>
      <c r="AE23" s="37">
        <v>-7.32</v>
      </c>
      <c r="AF23" s="37">
        <v>-13.32475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26.811250000000001</v>
      </c>
      <c r="D24" s="27">
        <v>8</v>
      </c>
      <c r="E24" s="27">
        <v>0</v>
      </c>
      <c r="F24" s="30">
        <v>214.49</v>
      </c>
      <c r="G24" s="30">
        <v>0</v>
      </c>
      <c r="H24" s="29">
        <f t="shared" si="1"/>
        <v>0</v>
      </c>
      <c r="I24" s="29">
        <f t="shared" si="2"/>
        <v>6.8161996674281577E-2</v>
      </c>
      <c r="J24" s="30">
        <f t="shared" si="5"/>
        <v>14.620066666666656</v>
      </c>
      <c r="K24" s="30">
        <f t="shared" si="3"/>
        <v>1.827508333333332</v>
      </c>
      <c r="L24" s="27">
        <v>45</v>
      </c>
      <c r="M24" s="31">
        <f t="shared" si="6"/>
        <v>0.17777777777777778</v>
      </c>
      <c r="N24" s="27">
        <v>57</v>
      </c>
      <c r="O24" s="32">
        <f t="shared" ref="O24:P24" si="32">D24/7</f>
        <v>1.1428571428571428</v>
      </c>
      <c r="P24" s="32">
        <f t="shared" si="32"/>
        <v>0</v>
      </c>
      <c r="Q24" s="27">
        <f t="shared" si="8"/>
        <v>49</v>
      </c>
      <c r="R24" s="27"/>
      <c r="S24" s="33">
        <v>1.32467532467532</v>
      </c>
      <c r="T24" s="26">
        <v>35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0.22993055555555555</v>
      </c>
      <c r="AD24" s="37">
        <f t="shared" si="12"/>
        <v>-2.5384333333333333</v>
      </c>
      <c r="AE24" s="37">
        <v>-7.32</v>
      </c>
      <c r="AF24" s="37">
        <v>-13.32475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25.99</v>
      </c>
      <c r="D25" s="15">
        <v>6</v>
      </c>
      <c r="E25" s="15">
        <v>1</v>
      </c>
      <c r="F25" s="16">
        <v>155.94</v>
      </c>
      <c r="G25" s="16">
        <v>0</v>
      </c>
      <c r="H25" s="29">
        <f t="shared" si="1"/>
        <v>0</v>
      </c>
      <c r="I25" s="29">
        <f t="shared" si="2"/>
        <v>4.3639701167115581E-2</v>
      </c>
      <c r="J25" s="30">
        <f t="shared" si="5"/>
        <v>6.8051750000000037</v>
      </c>
      <c r="K25" s="30">
        <f t="shared" si="3"/>
        <v>1.134195833333334</v>
      </c>
      <c r="L25" s="15">
        <v>51</v>
      </c>
      <c r="M25" s="31">
        <f t="shared" si="6"/>
        <v>0.11764705882352941</v>
      </c>
      <c r="N25" s="15">
        <v>55</v>
      </c>
      <c r="O25" s="32">
        <f t="shared" ref="O25:P25" si="33">D25/7</f>
        <v>0.8571428571428571</v>
      </c>
      <c r="P25" s="32">
        <f t="shared" si="33"/>
        <v>0.14285714285714285</v>
      </c>
      <c r="Q25" s="27">
        <f t="shared" si="8"/>
        <v>55</v>
      </c>
      <c r="R25" s="27"/>
      <c r="S25" s="41">
        <v>0.92827004219409281</v>
      </c>
      <c r="T25" s="26">
        <v>35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0.22993055555555555</v>
      </c>
      <c r="AD25" s="37">
        <f t="shared" si="12"/>
        <v>-1.9038249999999999</v>
      </c>
      <c r="AE25" s="42">
        <v>-7.32</v>
      </c>
      <c r="AF25" s="42">
        <v>-13.32</v>
      </c>
      <c r="AG25" s="42">
        <v>0</v>
      </c>
    </row>
    <row r="26" spans="1:33" ht="15.75" customHeight="1" x14ac:dyDescent="0.2">
      <c r="A26" s="40" t="s">
        <v>75</v>
      </c>
      <c r="B26" s="26" t="s">
        <v>53</v>
      </c>
      <c r="C26" s="14">
        <f t="shared" si="4"/>
        <v>26.062857142857144</v>
      </c>
      <c r="D26" s="15">
        <v>7</v>
      </c>
      <c r="E26" s="15">
        <v>0</v>
      </c>
      <c r="F26" s="16">
        <v>182.44</v>
      </c>
      <c r="G26" s="16">
        <v>0</v>
      </c>
      <c r="H26" s="29">
        <f t="shared" si="1"/>
        <v>0</v>
      </c>
      <c r="I26" s="29">
        <f t="shared" si="2"/>
        <v>5.1083210005115731E-2</v>
      </c>
      <c r="J26" s="30">
        <f t="shared" si="5"/>
        <v>9.3196208333333139</v>
      </c>
      <c r="K26" s="30">
        <f t="shared" si="3"/>
        <v>1.3313744047619021</v>
      </c>
      <c r="L26" s="15">
        <v>38</v>
      </c>
      <c r="M26" s="31">
        <f t="shared" si="6"/>
        <v>0.18421052631578946</v>
      </c>
      <c r="N26" s="15">
        <v>48</v>
      </c>
      <c r="O26" s="32">
        <f t="shared" ref="O26:P26" si="34">D26/7</f>
        <v>1</v>
      </c>
      <c r="P26" s="32">
        <f t="shared" si="34"/>
        <v>0</v>
      </c>
      <c r="Q26" s="27">
        <f t="shared" si="8"/>
        <v>48</v>
      </c>
      <c r="R26" s="27"/>
      <c r="S26" s="41">
        <v>1.094170403587444</v>
      </c>
      <c r="T26" s="26">
        <v>35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0.22993055555555555</v>
      </c>
      <c r="AD26" s="37">
        <f t="shared" si="12"/>
        <v>-2.2211291666666666</v>
      </c>
      <c r="AE26" s="42">
        <v>-7.18</v>
      </c>
      <c r="AF26" s="42">
        <v>-13.32475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25.99</v>
      </c>
      <c r="D27" s="15">
        <v>6</v>
      </c>
      <c r="E27" s="15">
        <v>0</v>
      </c>
      <c r="F27" s="16">
        <v>155.94</v>
      </c>
      <c r="G27" s="16">
        <v>0</v>
      </c>
      <c r="H27" s="29">
        <f t="shared" si="1"/>
        <v>0</v>
      </c>
      <c r="I27" s="29">
        <f t="shared" si="2"/>
        <v>4.8843625753495018E-2</v>
      </c>
      <c r="J27" s="30">
        <f t="shared" si="5"/>
        <v>7.6166750000000132</v>
      </c>
      <c r="K27" s="30">
        <f t="shared" si="3"/>
        <v>1.2694458333333356</v>
      </c>
      <c r="L27" s="15">
        <v>35</v>
      </c>
      <c r="M27" s="31">
        <f t="shared" si="6"/>
        <v>0.17142857142857143</v>
      </c>
      <c r="N27" s="15">
        <v>41</v>
      </c>
      <c r="O27" s="32">
        <f t="shared" ref="O27:P27" si="35">D27/7</f>
        <v>0.8571428571428571</v>
      </c>
      <c r="P27" s="32">
        <f t="shared" si="35"/>
        <v>0</v>
      </c>
      <c r="Q27" s="27">
        <f t="shared" si="8"/>
        <v>47</v>
      </c>
      <c r="R27" s="27"/>
      <c r="S27" s="41">
        <v>1.3807106598984771</v>
      </c>
      <c r="T27" s="26">
        <v>35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0.22993055555555555</v>
      </c>
      <c r="AD27" s="37">
        <f t="shared" si="12"/>
        <v>-1.9038249999999999</v>
      </c>
      <c r="AE27" s="42">
        <v>-7.18</v>
      </c>
      <c r="AF27" s="42">
        <v>-13.32475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26.110000000000003</v>
      </c>
      <c r="D28" s="15">
        <v>5</v>
      </c>
      <c r="E28" s="15">
        <v>0</v>
      </c>
      <c r="F28" s="16">
        <v>130.55000000000001</v>
      </c>
      <c r="G28" s="16">
        <v>-0.17</v>
      </c>
      <c r="H28" s="29">
        <f t="shared" si="1"/>
        <v>1.302183071620069E-3</v>
      </c>
      <c r="I28" s="29">
        <f t="shared" si="2"/>
        <v>5.1223509511043021E-2</v>
      </c>
      <c r="J28" s="30">
        <f t="shared" si="5"/>
        <v>6.6872291666666666</v>
      </c>
      <c r="K28" s="30">
        <f t="shared" si="3"/>
        <v>1.3374458333333332</v>
      </c>
      <c r="L28" s="15">
        <v>28</v>
      </c>
      <c r="M28" s="31">
        <f t="shared" si="6"/>
        <v>0.17857142857142858</v>
      </c>
      <c r="N28" s="15">
        <v>36</v>
      </c>
      <c r="O28" s="32">
        <f t="shared" ref="O28:P28" si="36">D28/7</f>
        <v>0.7142857142857143</v>
      </c>
      <c r="P28" s="32">
        <f t="shared" si="36"/>
        <v>0</v>
      </c>
      <c r="Q28" s="27">
        <f t="shared" si="8"/>
        <v>50</v>
      </c>
      <c r="R28" s="27"/>
      <c r="S28" s="41">
        <v>1.578378378378378</v>
      </c>
      <c r="T28" s="40" t="s">
        <v>34</v>
      </c>
      <c r="U28" s="22" t="s">
        <v>34</v>
      </c>
      <c r="V28" s="1" t="s">
        <v>1047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0.22993055555555555</v>
      </c>
      <c r="AD28" s="37">
        <f t="shared" si="12"/>
        <v>-1.5865208333333334</v>
      </c>
      <c r="AE28" s="42">
        <v>-7.18</v>
      </c>
      <c r="AF28" s="42">
        <v>-13.32475</v>
      </c>
      <c r="AG28" s="42">
        <v>0</v>
      </c>
    </row>
    <row r="29" spans="1:33" ht="15.75" customHeight="1" x14ac:dyDescent="0.2">
      <c r="A29" s="26" t="s">
        <v>82</v>
      </c>
      <c r="B29" s="26" t="s">
        <v>189</v>
      </c>
      <c r="C29" s="14">
        <f t="shared" si="4"/>
        <v>26.131999999999998</v>
      </c>
      <c r="D29" s="27">
        <v>10</v>
      </c>
      <c r="E29" s="27">
        <v>0</v>
      </c>
      <c r="F29" s="30">
        <v>261.32</v>
      </c>
      <c r="G29" s="30">
        <v>0</v>
      </c>
      <c r="H29" s="29">
        <f t="shared" si="1"/>
        <v>0</v>
      </c>
      <c r="I29" s="29">
        <f t="shared" si="2"/>
        <v>5.3197070003571559E-2</v>
      </c>
      <c r="J29" s="30">
        <f t="shared" si="5"/>
        <v>13.90145833333332</v>
      </c>
      <c r="K29" s="30">
        <f t="shared" si="3"/>
        <v>1.3901458333333321</v>
      </c>
      <c r="L29" s="27">
        <v>48</v>
      </c>
      <c r="M29" s="31">
        <f t="shared" si="6"/>
        <v>0.20833333333333334</v>
      </c>
      <c r="N29" s="15">
        <v>26</v>
      </c>
      <c r="O29" s="32">
        <f t="shared" ref="O29:P29" si="37">D29/7</f>
        <v>1.4285714285714286</v>
      </c>
      <c r="P29" s="32">
        <f t="shared" si="37"/>
        <v>0</v>
      </c>
      <c r="Q29" s="27">
        <f t="shared" si="8"/>
        <v>18</v>
      </c>
      <c r="R29" s="27"/>
      <c r="S29" s="41">
        <v>1.1490909090909089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0.22993055555555555</v>
      </c>
      <c r="AD29" s="37">
        <f t="shared" si="12"/>
        <v>-3.1730416666666668</v>
      </c>
      <c r="AE29" s="37">
        <v>-7.18</v>
      </c>
      <c r="AF29" s="42">
        <v>-13.32475</v>
      </c>
      <c r="AG29" s="37">
        <v>0</v>
      </c>
    </row>
    <row r="30" spans="1:33" ht="15.75" customHeight="1" x14ac:dyDescent="0.2">
      <c r="A30" s="40" t="s">
        <v>84</v>
      </c>
      <c r="B30" s="26" t="s">
        <v>1048</v>
      </c>
      <c r="C30" s="14">
        <f t="shared" si="4"/>
        <v>27.589999999999996</v>
      </c>
      <c r="D30" s="15">
        <v>5</v>
      </c>
      <c r="E30" s="15">
        <v>0</v>
      </c>
      <c r="F30" s="16">
        <v>137.94999999999999</v>
      </c>
      <c r="G30" s="16">
        <v>-0.43</v>
      </c>
      <c r="H30" s="29">
        <f t="shared" si="1"/>
        <v>3.1170714026821315E-3</v>
      </c>
      <c r="I30" s="29">
        <f t="shared" si="2"/>
        <v>0.11421531291530743</v>
      </c>
      <c r="J30" s="30">
        <f t="shared" si="5"/>
        <v>15.756002416666659</v>
      </c>
      <c r="K30" s="30">
        <f t="shared" si="3"/>
        <v>3.1512004833333318</v>
      </c>
      <c r="L30" s="15">
        <v>27</v>
      </c>
      <c r="M30" s="31">
        <f t="shared" si="6"/>
        <v>0.18518518518518517</v>
      </c>
      <c r="N30" s="15">
        <v>20</v>
      </c>
      <c r="O30" s="32">
        <f t="shared" ref="O30:P30" si="38">D30/7</f>
        <v>0.7142857142857143</v>
      </c>
      <c r="P30" s="32">
        <f t="shared" si="38"/>
        <v>0</v>
      </c>
      <c r="Q30" s="27">
        <f t="shared" si="8"/>
        <v>28</v>
      </c>
      <c r="R30" s="27"/>
      <c r="S30" s="41">
        <v>1.2615384615384611</v>
      </c>
      <c r="T30" s="26">
        <v>35</v>
      </c>
      <c r="U30" s="34" t="s">
        <v>34</v>
      </c>
      <c r="V30" s="35" t="s">
        <v>34</v>
      </c>
      <c r="W30" s="40">
        <v>1</v>
      </c>
      <c r="X30" s="36">
        <f t="shared" si="9"/>
        <v>0.2</v>
      </c>
      <c r="Y30" s="37">
        <f t="shared" si="10"/>
        <v>0.43</v>
      </c>
      <c r="Z30" s="40">
        <v>0</v>
      </c>
      <c r="AA30" s="26" t="s">
        <v>37</v>
      </c>
      <c r="AB30" s="38">
        <f t="shared" si="11"/>
        <v>-0.69</v>
      </c>
      <c r="AC30" s="39">
        <v>0.22993055555555555</v>
      </c>
      <c r="AD30" s="37">
        <f t="shared" si="12"/>
        <v>-1.5865208333333334</v>
      </c>
      <c r="AE30" s="42">
        <v>-7.18</v>
      </c>
      <c r="AF30" s="42">
        <v>-12.716995349999999</v>
      </c>
      <c r="AG30" s="42">
        <v>0</v>
      </c>
    </row>
    <row r="31" spans="1:33" ht="15.75" customHeight="1" x14ac:dyDescent="0.2">
      <c r="A31" s="40" t="s">
        <v>87</v>
      </c>
      <c r="B31" s="26" t="s">
        <v>53</v>
      </c>
      <c r="C31" s="14">
        <f t="shared" si="4"/>
        <v>28.99</v>
      </c>
      <c r="D31" s="15">
        <v>4</v>
      </c>
      <c r="E31" s="15">
        <v>0</v>
      </c>
      <c r="F31" s="16">
        <v>115.96</v>
      </c>
      <c r="G31" s="43">
        <v>0</v>
      </c>
      <c r="H31" s="29">
        <f t="shared" si="1"/>
        <v>0</v>
      </c>
      <c r="I31" s="29">
        <f t="shared" si="2"/>
        <v>0.1527147458893871</v>
      </c>
      <c r="J31" s="30">
        <f t="shared" si="5"/>
        <v>17.708801933333326</v>
      </c>
      <c r="K31" s="30">
        <f t="shared" si="3"/>
        <v>4.4272004833333316</v>
      </c>
      <c r="L31" s="15">
        <v>33</v>
      </c>
      <c r="M31" s="31">
        <f t="shared" si="6"/>
        <v>0.12121212121212122</v>
      </c>
      <c r="N31" s="15">
        <v>17</v>
      </c>
      <c r="O31" s="32">
        <f t="shared" ref="O31:P31" si="39">D31/7</f>
        <v>0.5714285714285714</v>
      </c>
      <c r="P31" s="32">
        <f t="shared" si="39"/>
        <v>0</v>
      </c>
      <c r="Q31" s="27">
        <f t="shared" si="8"/>
        <v>29</v>
      </c>
      <c r="R31" s="27"/>
      <c r="S31" s="41">
        <v>1.43333333333333</v>
      </c>
      <c r="T31" s="40">
        <v>35</v>
      </c>
      <c r="U31" s="22" t="s">
        <v>34</v>
      </c>
      <c r="V31" s="1" t="s">
        <v>1047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0.22993055555555555</v>
      </c>
      <c r="AD31" s="37">
        <f t="shared" si="12"/>
        <v>-1.2692166666666667</v>
      </c>
      <c r="AE31" s="45">
        <v>-7.18</v>
      </c>
      <c r="AF31" s="45">
        <v>-12.716995349999999</v>
      </c>
      <c r="AG31" s="42">
        <v>0</v>
      </c>
    </row>
    <row r="32" spans="1:33" ht="15.75" customHeight="1" x14ac:dyDescent="0.2">
      <c r="A32" s="40" t="s">
        <v>90</v>
      </c>
      <c r="B32" s="26" t="s">
        <v>53</v>
      </c>
      <c r="C32" s="14">
        <f t="shared" si="4"/>
        <v>31.99</v>
      </c>
      <c r="D32" s="15">
        <v>1</v>
      </c>
      <c r="E32" s="15">
        <v>0</v>
      </c>
      <c r="F32" s="16">
        <v>31.99</v>
      </c>
      <c r="G32" s="16">
        <v>-0.08</v>
      </c>
      <c r="H32" s="29">
        <f t="shared" si="1"/>
        <v>2.5007814942169431E-3</v>
      </c>
      <c r="I32" s="29">
        <f t="shared" si="2"/>
        <v>0.21560489163280194</v>
      </c>
      <c r="J32" s="30">
        <f t="shared" si="5"/>
        <v>6.897200483333334</v>
      </c>
      <c r="K32" s="30">
        <f t="shared" si="3"/>
        <v>6.897200483333334</v>
      </c>
      <c r="L32" s="15">
        <v>20</v>
      </c>
      <c r="M32" s="31">
        <f t="shared" si="6"/>
        <v>0.05</v>
      </c>
      <c r="N32" s="15">
        <v>15</v>
      </c>
      <c r="O32" s="32">
        <f t="shared" ref="O32:P32" si="40">D32/7</f>
        <v>0.14285714285714285</v>
      </c>
      <c r="P32" s="32">
        <f t="shared" si="40"/>
        <v>0</v>
      </c>
      <c r="Q32" s="27">
        <f t="shared" si="8"/>
        <v>105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1.544554455445545</v>
      </c>
      <c r="T32" s="40">
        <f ca="1">IFERROR(__xludf.DUMMYFUNCTION("IFERROR(VLOOKUP($B$2,IMPORTRANGE(""https://docs.google.com/spreadsheets/d/1KiWZV1ko8G7lnRucBRBd29jj3Be6ltMfljMDqzOkQmI/edit#gid=1381463014"",""Lookup!A:D""),4,FALSE),"""")"),35)</f>
        <v>35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35 At Factory 50-75 days from Earliest Arrival")</f>
        <v>No Transit, But 35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0.22993055555555555</v>
      </c>
      <c r="AD32" s="37">
        <f t="shared" si="12"/>
        <v>-0.31730416666666666</v>
      </c>
      <c r="AE32" s="42">
        <v>-7.18</v>
      </c>
      <c r="AF32" s="42">
        <v>-12.716995349999999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7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Info!B1:BJ5000""),3,FALSE),"""")"),"PC Stand with Wheels - CPU Holder Cart for Desktop Computer Tower")</f>
        <v>PC Stand with Wheels - CPU Holder Cart for Desktop Computer Tower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Info!B1:BJ5000""),2,FALSE),"""")"),"B084KHT23B")</f>
        <v>B084KHT23B</v>
      </c>
      <c r="B2" s="3" t="s">
        <v>1049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12.858658455882354</v>
      </c>
      <c r="D3" s="5">
        <f>SUM(D4:D99767)</f>
        <v>274</v>
      </c>
      <c r="E3" s="5"/>
      <c r="F3" s="6">
        <f t="shared" ref="F3:G3" si="0">SUM(F4:F99767)</f>
        <v>4723.2700000000004</v>
      </c>
      <c r="G3" s="6">
        <f t="shared" si="0"/>
        <v>-57.959999999999987</v>
      </c>
      <c r="H3" s="7">
        <f t="shared" ref="H3:H32" si="1">G3/F3*-1</f>
        <v>1.227115959917599E-2</v>
      </c>
      <c r="I3" s="8">
        <f t="shared" ref="I3:I32" si="2">J3/F3</f>
        <v>0.18542977686767761</v>
      </c>
      <c r="J3" s="6">
        <f>SUM(J4:J99767)</f>
        <v>875.83490218579573</v>
      </c>
      <c r="K3" s="6">
        <f t="shared" ref="K3:K32" si="3">J3/D3</f>
        <v>3.1964777452036341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2.5 - Oct
2.5 - Nov
2.5 - Dec
2.5 - Jan
2.5 - Feb")</f>
        <v>2.5 - March
2.5 - April
2.5 - May
2.5 - June
2.5 - July
2.5 - Aug
2.5 - Sept
2.5 - Oct
2.5 - Nov
2.5 -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21</v>
      </c>
      <c r="X3" s="7">
        <f>W3/D3</f>
        <v>7.6642335766423361E-2</v>
      </c>
      <c r="Y3" s="6"/>
      <c r="Z3" s="5"/>
      <c r="AA3" s="5"/>
      <c r="AB3" s="5"/>
      <c r="AC3" s="5"/>
      <c r="AD3" s="6">
        <f>SUM(AD4:AD99767)</f>
        <v>-79.02377389374999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Info!B2:BZ3000""),37,FALSE)),"""")*-1"),-4.9498596875)</f>
        <v>-4.9498596875</v>
      </c>
      <c r="AG3" s="6">
        <f>SUM(AG4:AG99767)</f>
        <v>0</v>
      </c>
    </row>
    <row r="4" spans="1:33" ht="16" x14ac:dyDescent="0.2">
      <c r="A4" s="1" t="s">
        <v>32</v>
      </c>
      <c r="B4" s="2" t="s">
        <v>1050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516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-4.9001654545454549</v>
      </c>
      <c r="AG4" s="24">
        <v>0</v>
      </c>
    </row>
    <row r="5" spans="1:33" ht="15.75" customHeight="1" x14ac:dyDescent="0.2">
      <c r="A5" s="26" t="s">
        <v>35</v>
      </c>
      <c r="B5" s="26" t="s">
        <v>1051</v>
      </c>
      <c r="C5" s="14">
        <f t="shared" si="4"/>
        <v>16.989999999999998</v>
      </c>
      <c r="D5" s="27">
        <v>1</v>
      </c>
      <c r="E5" s="27">
        <v>0</v>
      </c>
      <c r="F5" s="28">
        <v>16.989999999999998</v>
      </c>
      <c r="G5" s="28">
        <v>0</v>
      </c>
      <c r="H5" s="29">
        <f t="shared" si="1"/>
        <v>0</v>
      </c>
      <c r="I5" s="29">
        <f t="shared" si="2"/>
        <v>0.18078484670126801</v>
      </c>
      <c r="J5" s="30">
        <f t="shared" si="5"/>
        <v>3.0715345454545431</v>
      </c>
      <c r="K5" s="30">
        <f t="shared" si="3"/>
        <v>3.0715345454545431</v>
      </c>
      <c r="L5" s="27">
        <v>4</v>
      </c>
      <c r="M5" s="31">
        <f t="shared" si="6"/>
        <v>0.25</v>
      </c>
      <c r="N5" s="27">
        <v>0</v>
      </c>
      <c r="O5" s="32">
        <f t="shared" ref="O5:P5" si="13">D5/7</f>
        <v>0.14285714285714285</v>
      </c>
      <c r="P5" s="32">
        <f t="shared" si="13"/>
        <v>0</v>
      </c>
      <c r="Q5" s="27">
        <f t="shared" si="8"/>
        <v>0</v>
      </c>
      <c r="R5" s="27"/>
      <c r="S5" s="33" t="e">
        <v>#N/A</v>
      </c>
      <c r="T5" s="26">
        <v>516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0.21</v>
      </c>
      <c r="AD5" s="37">
        <f t="shared" si="12"/>
        <v>-0.28979999999999995</v>
      </c>
      <c r="AE5" s="37">
        <v>-6.18</v>
      </c>
      <c r="AF5" s="37">
        <v>-4.9001654545454549</v>
      </c>
      <c r="AG5" s="37">
        <v>0</v>
      </c>
    </row>
    <row r="6" spans="1:33" ht="15.75" customHeight="1" x14ac:dyDescent="0.2">
      <c r="A6" s="26" t="s">
        <v>38</v>
      </c>
      <c r="B6" s="26" t="s">
        <v>461</v>
      </c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300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-4.9001654545454549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600</v>
      </c>
      <c r="U7" s="34">
        <v>300</v>
      </c>
      <c r="V7" s="49" t="s">
        <v>1052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-4.9001654545454549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516</v>
      </c>
      <c r="U8" s="34">
        <v>204</v>
      </c>
      <c r="V8" s="35" t="s">
        <v>1053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-4.9000000000000004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516</v>
      </c>
      <c r="U9" s="34">
        <v>204</v>
      </c>
      <c r="V9" s="35" t="s">
        <v>1054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-4.9649381818181801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516</v>
      </c>
      <c r="U10" s="34">
        <v>204</v>
      </c>
      <c r="V10" s="35" t="s">
        <v>1055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-4.9649381818181801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516</v>
      </c>
      <c r="U11" s="34">
        <v>204</v>
      </c>
      <c r="V11" s="35" t="s">
        <v>1056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-4.9649381818181801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516</v>
      </c>
      <c r="U12" s="34">
        <v>204</v>
      </c>
      <c r="V12" s="35" t="s">
        <v>1057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-4.9649381818181801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516</v>
      </c>
      <c r="U13" s="34">
        <v>204</v>
      </c>
      <c r="V13" s="35" t="s">
        <v>1058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-4.9990290909090902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516</v>
      </c>
      <c r="U14" s="34">
        <v>204</v>
      </c>
      <c r="V14" s="35" t="s">
        <v>1058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-4.9990290909090902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516</v>
      </c>
      <c r="U15" s="34">
        <v>204</v>
      </c>
      <c r="V15" s="35" t="s">
        <v>1059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-4.9990290909090902</v>
      </c>
      <c r="AG15" s="37">
        <v>0</v>
      </c>
    </row>
    <row r="16" spans="1:33" ht="15.75" customHeight="1" x14ac:dyDescent="0.2">
      <c r="A16" s="26" t="s">
        <v>60</v>
      </c>
      <c r="B16" s="26" t="s">
        <v>1060</v>
      </c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204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>
        <v>1.8957345971563899E-2</v>
      </c>
      <c r="T16" s="26">
        <v>312</v>
      </c>
      <c r="U16" s="34" t="s">
        <v>34</v>
      </c>
      <c r="V16" s="35" t="s">
        <v>1061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0.21</v>
      </c>
      <c r="AD16" s="37">
        <f t="shared" si="12"/>
        <v>0</v>
      </c>
      <c r="AE16" s="37">
        <v>-6.18</v>
      </c>
      <c r="AF16" s="37">
        <v>-4.9990290909090902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16.989999999999998</v>
      </c>
      <c r="D17" s="27">
        <v>8</v>
      </c>
      <c r="E17" s="27">
        <v>3</v>
      </c>
      <c r="F17" s="30">
        <v>135.91999999999999</v>
      </c>
      <c r="G17" s="28">
        <v>-0.46</v>
      </c>
      <c r="H17" s="29">
        <f t="shared" si="1"/>
        <v>3.3843437316068278E-3</v>
      </c>
      <c r="I17" s="29">
        <f t="shared" si="2"/>
        <v>0.17157375139342215</v>
      </c>
      <c r="J17" s="30">
        <f t="shared" si="5"/>
        <v>23.320304289393938</v>
      </c>
      <c r="K17" s="30">
        <f t="shared" si="3"/>
        <v>2.9150380361742423</v>
      </c>
      <c r="L17" s="27">
        <v>22</v>
      </c>
      <c r="M17" s="31">
        <f t="shared" si="6"/>
        <v>0.36363636363636365</v>
      </c>
      <c r="N17" s="27">
        <v>198</v>
      </c>
      <c r="O17" s="32">
        <f t="shared" ref="O17:P17" si="25">D17/7</f>
        <v>1.1428571428571428</v>
      </c>
      <c r="P17" s="32">
        <f t="shared" si="25"/>
        <v>0.42857142857142855</v>
      </c>
      <c r="Q17" s="27">
        <f t="shared" si="8"/>
        <v>126</v>
      </c>
      <c r="R17" s="27"/>
      <c r="S17" s="33">
        <v>5.7416267942583699E-2</v>
      </c>
      <c r="T17" s="26">
        <v>312</v>
      </c>
      <c r="U17" s="34" t="s">
        <v>34</v>
      </c>
      <c r="V17" s="35" t="s">
        <v>1061</v>
      </c>
      <c r="W17" s="26">
        <v>1</v>
      </c>
      <c r="X17" s="36">
        <f t="shared" si="9"/>
        <v>0.125</v>
      </c>
      <c r="Y17" s="37">
        <f t="shared" si="10"/>
        <v>0.46</v>
      </c>
      <c r="Z17" s="26">
        <v>0</v>
      </c>
      <c r="AA17" s="26" t="s">
        <v>37</v>
      </c>
      <c r="AB17" s="38">
        <f t="shared" si="11"/>
        <v>-0.69</v>
      </c>
      <c r="AC17" s="39">
        <v>0.21009628472222219</v>
      </c>
      <c r="AD17" s="37">
        <f t="shared" si="12"/>
        <v>-2.3194629833333327</v>
      </c>
      <c r="AE17" s="37">
        <v>-6.18</v>
      </c>
      <c r="AF17" s="37">
        <v>-4.9990290909090902</v>
      </c>
      <c r="AG17" s="37">
        <v>0</v>
      </c>
    </row>
    <row r="18" spans="1:33" ht="15.75" customHeight="1" x14ac:dyDescent="0.2">
      <c r="A18" s="26" t="s">
        <v>62</v>
      </c>
      <c r="B18" s="26" t="s">
        <v>1062</v>
      </c>
      <c r="C18" s="14">
        <f t="shared" si="4"/>
        <v>17.172407407407409</v>
      </c>
      <c r="D18" s="27">
        <v>54</v>
      </c>
      <c r="E18" s="27">
        <v>4</v>
      </c>
      <c r="F18" s="30">
        <v>927.31000000000006</v>
      </c>
      <c r="G18" s="28">
        <v>-0.23</v>
      </c>
      <c r="H18" s="29">
        <f t="shared" si="1"/>
        <v>2.4802924588325373E-4</v>
      </c>
      <c r="I18" s="29">
        <f t="shared" si="2"/>
        <v>0.18188044338291309</v>
      </c>
      <c r="J18" s="30">
        <f t="shared" si="5"/>
        <v>168.65955395340916</v>
      </c>
      <c r="K18" s="30">
        <f t="shared" si="3"/>
        <v>3.1233250732112805</v>
      </c>
      <c r="L18" s="27">
        <v>72</v>
      </c>
      <c r="M18" s="31">
        <f t="shared" si="6"/>
        <v>0.75</v>
      </c>
      <c r="N18" s="27">
        <v>121</v>
      </c>
      <c r="O18" s="32">
        <f t="shared" ref="O18:P18" si="26">D18/7</f>
        <v>7.7142857142857144</v>
      </c>
      <c r="P18" s="32">
        <f t="shared" si="26"/>
        <v>0.5714285714285714</v>
      </c>
      <c r="Q18" s="27">
        <f t="shared" si="8"/>
        <v>14</v>
      </c>
      <c r="R18" s="27"/>
      <c r="S18" s="33">
        <v>1.5364238410596001</v>
      </c>
      <c r="T18" s="26">
        <v>312</v>
      </c>
      <c r="U18" s="34" t="s">
        <v>34</v>
      </c>
      <c r="V18" s="35" t="s">
        <v>1061</v>
      </c>
      <c r="W18" s="26">
        <v>2</v>
      </c>
      <c r="X18" s="36">
        <f t="shared" si="9"/>
        <v>3.7037037037037035E-2</v>
      </c>
      <c r="Y18" s="37">
        <f t="shared" si="10"/>
        <v>0.115</v>
      </c>
      <c r="Z18" s="26">
        <v>0</v>
      </c>
      <c r="AA18" s="26" t="s">
        <v>37</v>
      </c>
      <c r="AB18" s="38">
        <f t="shared" si="11"/>
        <v>-0.69</v>
      </c>
      <c r="AC18" s="39">
        <v>0.21009628472222219</v>
      </c>
      <c r="AD18" s="37">
        <f t="shared" si="12"/>
        <v>-15.656375137499996</v>
      </c>
      <c r="AE18" s="37">
        <v>-6.18</v>
      </c>
      <c r="AF18" s="37">
        <v>-4.9990290909090902</v>
      </c>
      <c r="AG18" s="37">
        <v>0</v>
      </c>
    </row>
    <row r="19" spans="1:33" ht="15.75" customHeight="1" x14ac:dyDescent="0.2">
      <c r="A19" s="26" t="s">
        <v>64</v>
      </c>
      <c r="B19" s="26" t="s">
        <v>1063</v>
      </c>
      <c r="C19" s="14">
        <f t="shared" si="4"/>
        <v>19.599999999999998</v>
      </c>
      <c r="D19" s="27">
        <v>7</v>
      </c>
      <c r="E19" s="27">
        <v>4</v>
      </c>
      <c r="F19" s="30">
        <v>137.19999999999999</v>
      </c>
      <c r="G19" s="28">
        <v>0</v>
      </c>
      <c r="H19" s="29">
        <f t="shared" si="1"/>
        <v>0</v>
      </c>
      <c r="I19" s="29">
        <f t="shared" si="2"/>
        <v>0.26484887939664492</v>
      </c>
      <c r="J19" s="30">
        <f t="shared" si="5"/>
        <v>36.337266253219681</v>
      </c>
      <c r="K19" s="30">
        <f t="shared" si="3"/>
        <v>5.1910380361742403</v>
      </c>
      <c r="L19" s="27">
        <v>53</v>
      </c>
      <c r="M19" s="31">
        <f t="shared" si="6"/>
        <v>0.13207547169811321</v>
      </c>
      <c r="N19" s="27">
        <v>191</v>
      </c>
      <c r="O19" s="32">
        <f t="shared" ref="O19:P19" si="27">D19/7</f>
        <v>1</v>
      </c>
      <c r="P19" s="32">
        <f t="shared" si="27"/>
        <v>0.5714285714285714</v>
      </c>
      <c r="Q19" s="27">
        <f t="shared" si="8"/>
        <v>121</v>
      </c>
      <c r="R19" s="27"/>
      <c r="S19" s="33">
        <v>2.75471698113207</v>
      </c>
      <c r="T19" s="26">
        <v>216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0.21009628472222219</v>
      </c>
      <c r="AD19" s="37">
        <f t="shared" si="12"/>
        <v>-2.0295301104166663</v>
      </c>
      <c r="AE19" s="37">
        <v>-6.18</v>
      </c>
      <c r="AF19" s="37">
        <v>-4.9990290909090911</v>
      </c>
      <c r="AG19" s="37">
        <v>0</v>
      </c>
    </row>
    <row r="20" spans="1:33" ht="15.75" customHeight="1" x14ac:dyDescent="0.2">
      <c r="A20" s="26" t="s">
        <v>65</v>
      </c>
      <c r="B20" s="26" t="s">
        <v>1064</v>
      </c>
      <c r="C20" s="14">
        <f t="shared" si="4"/>
        <v>18.548749999999998</v>
      </c>
      <c r="D20" s="27">
        <v>8</v>
      </c>
      <c r="E20" s="27">
        <v>0</v>
      </c>
      <c r="F20" s="30">
        <v>148.38999999999999</v>
      </c>
      <c r="G20" s="28">
        <v>0</v>
      </c>
      <c r="H20" s="29">
        <f t="shared" si="1"/>
        <v>0</v>
      </c>
      <c r="I20" s="29">
        <f t="shared" si="2"/>
        <v>0.25228239569868099</v>
      </c>
      <c r="J20" s="30">
        <f t="shared" si="5"/>
        <v>37.436184697727271</v>
      </c>
      <c r="K20" s="30">
        <f t="shared" si="3"/>
        <v>4.6795230872159088</v>
      </c>
      <c r="L20" s="27">
        <v>35</v>
      </c>
      <c r="M20" s="31">
        <f t="shared" si="6"/>
        <v>0.22857142857142856</v>
      </c>
      <c r="N20" s="27">
        <v>185</v>
      </c>
      <c r="O20" s="32">
        <f t="shared" ref="O20:P20" si="28">D20/7</f>
        <v>1.1428571428571428</v>
      </c>
      <c r="P20" s="32">
        <f t="shared" si="28"/>
        <v>0</v>
      </c>
      <c r="Q20" s="27">
        <f t="shared" si="8"/>
        <v>161</v>
      </c>
      <c r="R20" s="27"/>
      <c r="S20" s="33">
        <v>1.71428571428571</v>
      </c>
      <c r="T20" s="26">
        <v>432</v>
      </c>
      <c r="U20" s="34" t="s">
        <v>34</v>
      </c>
      <c r="V20" s="35" t="s">
        <v>1065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0.20861255208333329</v>
      </c>
      <c r="AD20" s="37">
        <f t="shared" si="12"/>
        <v>-2.3030825749999995</v>
      </c>
      <c r="AE20" s="37">
        <v>-5.8</v>
      </c>
      <c r="AF20" s="37">
        <v>-4.9990290909090911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17.6496</v>
      </c>
      <c r="D21" s="27">
        <v>25</v>
      </c>
      <c r="E21" s="27">
        <v>2</v>
      </c>
      <c r="F21" s="30">
        <v>441.24</v>
      </c>
      <c r="G21" s="28">
        <v>0</v>
      </c>
      <c r="H21" s="29">
        <f t="shared" si="1"/>
        <v>0</v>
      </c>
      <c r="I21" s="29">
        <f t="shared" si="2"/>
        <v>0.22183197280481753</v>
      </c>
      <c r="J21" s="30">
        <f t="shared" si="5"/>
        <v>97.881139680397695</v>
      </c>
      <c r="K21" s="30">
        <f t="shared" si="3"/>
        <v>3.915245587215908</v>
      </c>
      <c r="L21" s="27">
        <v>27</v>
      </c>
      <c r="M21" s="31">
        <f t="shared" si="6"/>
        <v>0.92592592592592593</v>
      </c>
      <c r="N21" s="27">
        <v>156</v>
      </c>
      <c r="O21" s="32">
        <f t="shared" ref="O21:P21" si="29">D21/7</f>
        <v>3.5714285714285716</v>
      </c>
      <c r="P21" s="32">
        <f t="shared" si="29"/>
        <v>0.2857142857142857</v>
      </c>
      <c r="Q21" s="27">
        <f t="shared" si="8"/>
        <v>40</v>
      </c>
      <c r="R21" s="27"/>
      <c r="S21" s="33">
        <v>1.1859838274932599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0.20861255208333329</v>
      </c>
      <c r="AD21" s="37">
        <f t="shared" si="12"/>
        <v>-7.1971330468749981</v>
      </c>
      <c r="AE21" s="37">
        <v>-5.8</v>
      </c>
      <c r="AF21" s="37">
        <v>-4.9990290909090911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17.044761904761906</v>
      </c>
      <c r="D22" s="27">
        <v>21</v>
      </c>
      <c r="E22" s="27">
        <v>2</v>
      </c>
      <c r="F22" s="28">
        <v>357.94</v>
      </c>
      <c r="G22" s="28">
        <v>-0.08</v>
      </c>
      <c r="H22" s="29">
        <f t="shared" si="1"/>
        <v>2.235011454433704E-4</v>
      </c>
      <c r="I22" s="29">
        <f t="shared" si="2"/>
        <v>0.19931775529846921</v>
      </c>
      <c r="J22" s="30">
        <f t="shared" si="5"/>
        <v>71.343797331534063</v>
      </c>
      <c r="K22" s="30">
        <f t="shared" si="3"/>
        <v>3.3973236824540032</v>
      </c>
      <c r="L22" s="27">
        <v>40</v>
      </c>
      <c r="M22" s="31">
        <f t="shared" si="6"/>
        <v>0.52500000000000002</v>
      </c>
      <c r="N22" s="27">
        <v>126</v>
      </c>
      <c r="O22" s="32">
        <f t="shared" ref="O22:P22" si="30">D22/7</f>
        <v>3</v>
      </c>
      <c r="P22" s="32">
        <f t="shared" si="30"/>
        <v>0.2857142857142857</v>
      </c>
      <c r="Q22" s="27">
        <f t="shared" si="8"/>
        <v>38</v>
      </c>
      <c r="R22" s="27"/>
      <c r="S22" s="33">
        <v>1.80068728522336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0.20861255208333329</v>
      </c>
      <c r="AD22" s="37">
        <f t="shared" si="12"/>
        <v>-6.0455917593749984</v>
      </c>
      <c r="AE22" s="37">
        <v>-5.8</v>
      </c>
      <c r="AF22" s="37">
        <v>-4.9990290909090911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17.025652173913045</v>
      </c>
      <c r="D23" s="27">
        <v>23</v>
      </c>
      <c r="E23" s="27">
        <v>4</v>
      </c>
      <c r="F23" s="30">
        <v>391.59000000000003</v>
      </c>
      <c r="G23" s="28">
        <v>-0.08</v>
      </c>
      <c r="H23" s="29">
        <f t="shared" si="1"/>
        <v>2.0429530886897009E-4</v>
      </c>
      <c r="I23" s="29">
        <f t="shared" si="2"/>
        <v>0.198606880936607</v>
      </c>
      <c r="J23" s="30">
        <f t="shared" si="5"/>
        <v>77.772468505965946</v>
      </c>
      <c r="K23" s="30">
        <f t="shared" si="3"/>
        <v>3.3814116741724325</v>
      </c>
      <c r="L23" s="27">
        <v>63</v>
      </c>
      <c r="M23" s="31">
        <f t="shared" si="6"/>
        <v>0.36507936507936506</v>
      </c>
      <c r="N23" s="27">
        <v>100</v>
      </c>
      <c r="O23" s="32">
        <f t="shared" ref="O23:P23" si="31">D23/7</f>
        <v>3.2857142857142856</v>
      </c>
      <c r="P23" s="32">
        <f t="shared" si="31"/>
        <v>0.5714285714285714</v>
      </c>
      <c r="Q23" s="27">
        <f t="shared" si="8"/>
        <v>25</v>
      </c>
      <c r="R23" s="27"/>
      <c r="S23" s="33">
        <v>2.72645739910313</v>
      </c>
      <c r="T23" s="26">
        <v>432</v>
      </c>
      <c r="U23" s="34">
        <v>216</v>
      </c>
      <c r="V23" s="35" t="s">
        <v>1066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0.20861255208333329</v>
      </c>
      <c r="AD23" s="37">
        <f t="shared" si="12"/>
        <v>-6.6213624031249987</v>
      </c>
      <c r="AE23" s="37">
        <v>-5.8</v>
      </c>
      <c r="AF23" s="37">
        <v>-4.9990290909090911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17.1525</v>
      </c>
      <c r="D24" s="27">
        <v>8</v>
      </c>
      <c r="E24" s="27">
        <v>5</v>
      </c>
      <c r="F24" s="30">
        <v>137.22</v>
      </c>
      <c r="G24" s="30">
        <v>0</v>
      </c>
      <c r="H24" s="29">
        <f t="shared" si="1"/>
        <v>0</v>
      </c>
      <c r="I24" s="29">
        <f t="shared" si="2"/>
        <v>0.20362691078361231</v>
      </c>
      <c r="J24" s="30">
        <f t="shared" si="5"/>
        <v>27.941684697727283</v>
      </c>
      <c r="K24" s="30">
        <f t="shared" si="3"/>
        <v>3.4927105872159103</v>
      </c>
      <c r="L24" s="27">
        <v>30</v>
      </c>
      <c r="M24" s="31">
        <f t="shared" si="6"/>
        <v>0.26666666666666666</v>
      </c>
      <c r="N24" s="27">
        <v>84</v>
      </c>
      <c r="O24" s="32">
        <f t="shared" ref="O24:P24" si="32">D24/7</f>
        <v>1.1428571428571428</v>
      </c>
      <c r="P24" s="32">
        <f t="shared" si="32"/>
        <v>0.7142857142857143</v>
      </c>
      <c r="Q24" s="27">
        <f t="shared" si="8"/>
        <v>45</v>
      </c>
      <c r="R24" s="27"/>
      <c r="S24" s="33">
        <v>2.3243243243243201</v>
      </c>
      <c r="T24" s="26">
        <v>432</v>
      </c>
      <c r="U24" s="34">
        <v>216</v>
      </c>
      <c r="V24" s="35" t="s">
        <v>1067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0.20861255208333329</v>
      </c>
      <c r="AD24" s="37">
        <f t="shared" si="12"/>
        <v>-2.3030825749999995</v>
      </c>
      <c r="AE24" s="37">
        <v>-5.8</v>
      </c>
      <c r="AF24" s="37">
        <v>-4.9990290909090911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17.015555555555554</v>
      </c>
      <c r="D25" s="15">
        <v>18</v>
      </c>
      <c r="E25" s="15">
        <v>2</v>
      </c>
      <c r="F25" s="16">
        <v>306.27999999999997</v>
      </c>
      <c r="G25" s="16">
        <v>0</v>
      </c>
      <c r="H25" s="29">
        <f t="shared" si="1"/>
        <v>0</v>
      </c>
      <c r="I25" s="29">
        <f t="shared" si="2"/>
        <v>0.19836771648899693</v>
      </c>
      <c r="J25" s="30">
        <f t="shared" si="5"/>
        <v>60.756064206249974</v>
      </c>
      <c r="K25" s="30">
        <f t="shared" si="3"/>
        <v>3.3753369003472207</v>
      </c>
      <c r="L25" s="15">
        <v>54</v>
      </c>
      <c r="M25" s="31">
        <f t="shared" si="6"/>
        <v>0.33333333333333331</v>
      </c>
      <c r="N25" s="15">
        <v>72</v>
      </c>
      <c r="O25" s="32">
        <f t="shared" ref="O25:P25" si="33">D25/7</f>
        <v>2.5714285714285716</v>
      </c>
      <c r="P25" s="32">
        <f t="shared" si="33"/>
        <v>0.2857142857142857</v>
      </c>
      <c r="Q25" s="27">
        <f t="shared" si="8"/>
        <v>25</v>
      </c>
      <c r="R25" s="27"/>
      <c r="S25" s="41">
        <v>1.676025917926566</v>
      </c>
      <c r="T25" s="26">
        <v>432</v>
      </c>
      <c r="U25" s="34">
        <v>216</v>
      </c>
      <c r="V25" s="35" t="s">
        <v>1068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0.20861255208333329</v>
      </c>
      <c r="AD25" s="37">
        <f t="shared" si="12"/>
        <v>-5.1819357937499984</v>
      </c>
      <c r="AE25" s="42">
        <v>-5.8</v>
      </c>
      <c r="AF25" s="42">
        <v>-5</v>
      </c>
      <c r="AG25" s="42">
        <v>0</v>
      </c>
    </row>
    <row r="26" spans="1:33" ht="15.75" customHeight="1" x14ac:dyDescent="0.2">
      <c r="A26" s="40" t="s">
        <v>75</v>
      </c>
      <c r="B26" s="26" t="s">
        <v>53</v>
      </c>
      <c r="C26" s="14">
        <f t="shared" si="4"/>
        <v>17.027894736842104</v>
      </c>
      <c r="D26" s="15">
        <v>19</v>
      </c>
      <c r="E26" s="15">
        <v>3</v>
      </c>
      <c r="F26" s="16">
        <v>323.52999999999997</v>
      </c>
      <c r="G26" s="16">
        <v>-0.08</v>
      </c>
      <c r="H26" s="29">
        <f t="shared" si="1"/>
        <v>2.4727227768676788E-4</v>
      </c>
      <c r="I26" s="29">
        <f t="shared" si="2"/>
        <v>0.18807877525145208</v>
      </c>
      <c r="J26" s="30">
        <f t="shared" si="5"/>
        <v>60.84912615710229</v>
      </c>
      <c r="K26" s="30">
        <f t="shared" si="3"/>
        <v>3.2025855872159101</v>
      </c>
      <c r="L26" s="15">
        <v>50</v>
      </c>
      <c r="M26" s="31">
        <f t="shared" si="6"/>
        <v>0.38</v>
      </c>
      <c r="N26" s="15">
        <v>47</v>
      </c>
      <c r="O26" s="32">
        <f t="shared" ref="O26:P26" si="34">D26/7</f>
        <v>2.7142857142857144</v>
      </c>
      <c r="P26" s="32">
        <f t="shared" si="34"/>
        <v>0.42857142857142855</v>
      </c>
      <c r="Q26" s="27">
        <f t="shared" si="8"/>
        <v>14</v>
      </c>
      <c r="R26" s="27"/>
      <c r="S26" s="41">
        <v>2.155388471177945</v>
      </c>
      <c r="T26" s="26">
        <v>432</v>
      </c>
      <c r="U26" s="34">
        <v>216</v>
      </c>
      <c r="V26" s="35" t="s">
        <v>1069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0.20861255208333329</v>
      </c>
      <c r="AD26" s="37">
        <f t="shared" si="12"/>
        <v>-5.469821115624999</v>
      </c>
      <c r="AE26" s="42">
        <v>-5.98</v>
      </c>
      <c r="AF26" s="42">
        <v>-4.9990290909090902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16.993571428571428</v>
      </c>
      <c r="D27" s="15">
        <v>14</v>
      </c>
      <c r="E27" s="15">
        <v>2</v>
      </c>
      <c r="F27" s="16">
        <v>237.91</v>
      </c>
      <c r="G27" s="16">
        <v>-0.2</v>
      </c>
      <c r="H27" s="29">
        <f t="shared" si="1"/>
        <v>8.4065402883443325E-4</v>
      </c>
      <c r="I27" s="29">
        <f t="shared" si="2"/>
        <v>0.18614895641638751</v>
      </c>
      <c r="J27" s="30">
        <f t="shared" si="5"/>
        <v>44.286698221022753</v>
      </c>
      <c r="K27" s="30">
        <f t="shared" si="3"/>
        <v>3.163335587215911</v>
      </c>
      <c r="L27" s="15">
        <v>39</v>
      </c>
      <c r="M27" s="31">
        <f t="shared" si="6"/>
        <v>0.35897435897435898</v>
      </c>
      <c r="N27" s="15">
        <v>15</v>
      </c>
      <c r="O27" s="32">
        <f t="shared" ref="O27:P27" si="35">D27/7</f>
        <v>2</v>
      </c>
      <c r="P27" s="32">
        <f t="shared" si="35"/>
        <v>0.2857142857142857</v>
      </c>
      <c r="Q27" s="27">
        <f t="shared" si="8"/>
        <v>6</v>
      </c>
      <c r="R27" s="27"/>
      <c r="S27" s="41">
        <v>3.7911646586345382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0.20861255208333329</v>
      </c>
      <c r="AD27" s="37">
        <f t="shared" si="12"/>
        <v>-4.0303945062499995</v>
      </c>
      <c r="AE27" s="42">
        <v>-5.98</v>
      </c>
      <c r="AF27" s="42">
        <v>-4.9990290909090902</v>
      </c>
      <c r="AG27" s="42">
        <v>0</v>
      </c>
    </row>
    <row r="28" spans="1:33" ht="15.75" customHeight="1" x14ac:dyDescent="0.2">
      <c r="A28" s="40" t="s">
        <v>79</v>
      </c>
      <c r="B28" s="40" t="s">
        <v>1070</v>
      </c>
      <c r="C28" s="14">
        <f t="shared" si="4"/>
        <v>17.025000000000002</v>
      </c>
      <c r="D28" s="15">
        <v>6</v>
      </c>
      <c r="E28" s="15">
        <v>1</v>
      </c>
      <c r="F28" s="16">
        <v>102.15</v>
      </c>
      <c r="G28" s="16">
        <v>-0.14000000000000001</v>
      </c>
      <c r="H28" s="29">
        <f t="shared" si="1"/>
        <v>1.3705335291238376E-3</v>
      </c>
      <c r="I28" s="29">
        <f t="shared" si="2"/>
        <v>0.1868430105070529</v>
      </c>
      <c r="J28" s="30">
        <f t="shared" si="5"/>
        <v>19.086013523295456</v>
      </c>
      <c r="K28" s="30">
        <f t="shared" si="3"/>
        <v>3.1810022538825762</v>
      </c>
      <c r="L28" s="15">
        <v>39</v>
      </c>
      <c r="M28" s="31">
        <f t="shared" si="6"/>
        <v>0.15384615384615385</v>
      </c>
      <c r="N28" s="15">
        <v>220</v>
      </c>
      <c r="O28" s="32">
        <f t="shared" ref="O28:P28" si="36">D28/7</f>
        <v>0.8571428571428571</v>
      </c>
      <c r="P28" s="32">
        <f t="shared" si="36"/>
        <v>0.14285714285714285</v>
      </c>
      <c r="Q28" s="27">
        <f t="shared" si="8"/>
        <v>220</v>
      </c>
      <c r="R28" s="27"/>
      <c r="S28" s="41">
        <v>1.8869395711500969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0.20861255208333329</v>
      </c>
      <c r="AD28" s="37">
        <f t="shared" si="12"/>
        <v>-1.7273119312499996</v>
      </c>
      <c r="AE28" s="42">
        <v>-5.98</v>
      </c>
      <c r="AF28" s="42">
        <v>-4.9990290909090902</v>
      </c>
      <c r="AG28" s="42">
        <v>0</v>
      </c>
    </row>
    <row r="29" spans="1:33" ht="15.75" customHeight="1" x14ac:dyDescent="0.2">
      <c r="A29" s="26" t="s">
        <v>82</v>
      </c>
      <c r="B29" s="26" t="s">
        <v>188</v>
      </c>
      <c r="C29" s="14">
        <f t="shared" si="4"/>
        <v>17.090714285714288</v>
      </c>
      <c r="D29" s="27">
        <v>28</v>
      </c>
      <c r="E29" s="27">
        <v>4</v>
      </c>
      <c r="F29" s="30">
        <v>478.54</v>
      </c>
      <c r="G29" s="30">
        <v>-36.459999999999987</v>
      </c>
      <c r="H29" s="29">
        <f t="shared" si="1"/>
        <v>7.619007815438622E-2</v>
      </c>
      <c r="I29" s="29">
        <f t="shared" si="2"/>
        <v>0.11456805375108771</v>
      </c>
      <c r="J29" s="30">
        <f t="shared" si="5"/>
        <v>54.825396442045516</v>
      </c>
      <c r="K29" s="30">
        <f t="shared" si="3"/>
        <v>1.9580498729301969</v>
      </c>
      <c r="L29" s="27">
        <v>74</v>
      </c>
      <c r="M29" s="31">
        <f t="shared" si="6"/>
        <v>0.3783783783783784</v>
      </c>
      <c r="N29" s="15">
        <v>186</v>
      </c>
      <c r="O29" s="32">
        <f t="shared" ref="O29:P29" si="37">D29/7</f>
        <v>4</v>
      </c>
      <c r="P29" s="32">
        <f t="shared" si="37"/>
        <v>0.5714285714285714</v>
      </c>
      <c r="Q29" s="27">
        <f t="shared" si="8"/>
        <v>40</v>
      </c>
      <c r="R29" s="27"/>
      <c r="S29" s="41">
        <v>1.5819548872180449</v>
      </c>
      <c r="T29" s="40" t="s">
        <v>34</v>
      </c>
      <c r="U29" s="22" t="s">
        <v>34</v>
      </c>
      <c r="V29" s="1" t="s">
        <v>34</v>
      </c>
      <c r="W29" s="40">
        <v>16</v>
      </c>
      <c r="X29" s="36">
        <f t="shared" si="9"/>
        <v>0.5714285714285714</v>
      </c>
      <c r="Y29" s="37">
        <f t="shared" si="10"/>
        <v>2.2787499999999992</v>
      </c>
      <c r="Z29" s="40">
        <v>0</v>
      </c>
      <c r="AA29" s="26" t="s">
        <v>37</v>
      </c>
      <c r="AB29" s="38">
        <f t="shared" si="11"/>
        <v>-0.69</v>
      </c>
      <c r="AC29" s="39">
        <v>0.20861255208333329</v>
      </c>
      <c r="AD29" s="37">
        <f t="shared" si="12"/>
        <v>-8.060789012499999</v>
      </c>
      <c r="AE29" s="37">
        <v>-5.98</v>
      </c>
      <c r="AF29" s="42">
        <v>-4.9990290909090902</v>
      </c>
      <c r="AG29" s="37">
        <v>0</v>
      </c>
    </row>
    <row r="30" spans="1:33" ht="15.75" customHeight="1" x14ac:dyDescent="0.2">
      <c r="A30" s="40" t="s">
        <v>84</v>
      </c>
      <c r="B30" s="26" t="s">
        <v>1071</v>
      </c>
      <c r="C30" s="14">
        <f t="shared" si="4"/>
        <v>17.299090909090907</v>
      </c>
      <c r="D30" s="15">
        <v>11</v>
      </c>
      <c r="E30" s="15">
        <v>8</v>
      </c>
      <c r="F30" s="16">
        <v>190.28999999999996</v>
      </c>
      <c r="G30" s="16">
        <v>-19.940000000000001</v>
      </c>
      <c r="H30" s="29">
        <f t="shared" si="1"/>
        <v>0.10478742971254404</v>
      </c>
      <c r="I30" s="29">
        <f t="shared" si="2"/>
        <v>9.6753927672893883E-2</v>
      </c>
      <c r="J30" s="30">
        <f t="shared" si="5"/>
        <v>18.411304896874974</v>
      </c>
      <c r="K30" s="30">
        <f t="shared" si="3"/>
        <v>1.6737549906249976</v>
      </c>
      <c r="L30" s="15">
        <v>40</v>
      </c>
      <c r="M30" s="31">
        <f t="shared" si="6"/>
        <v>0.27500000000000002</v>
      </c>
      <c r="N30" s="15">
        <v>159</v>
      </c>
      <c r="O30" s="32">
        <f t="shared" ref="O30:P30" si="38">D30/7</f>
        <v>1.5714285714285714</v>
      </c>
      <c r="P30" s="32">
        <f t="shared" si="38"/>
        <v>1.1428571428571428</v>
      </c>
      <c r="Q30" s="27">
        <f t="shared" si="8"/>
        <v>58</v>
      </c>
      <c r="R30" s="27"/>
      <c r="S30" s="41">
        <v>1.82875605815832</v>
      </c>
      <c r="T30" s="26">
        <v>0</v>
      </c>
      <c r="U30" s="34" t="s">
        <v>34</v>
      </c>
      <c r="V30" s="35" t="s">
        <v>34</v>
      </c>
      <c r="W30" s="40">
        <v>1</v>
      </c>
      <c r="X30" s="36">
        <f t="shared" si="9"/>
        <v>9.0909090909090912E-2</v>
      </c>
      <c r="Y30" s="37">
        <f t="shared" si="10"/>
        <v>19.940000000000001</v>
      </c>
      <c r="Z30" s="40">
        <v>0</v>
      </c>
      <c r="AA30" s="26" t="s">
        <v>37</v>
      </c>
      <c r="AB30" s="38">
        <f t="shared" si="11"/>
        <v>-0.69</v>
      </c>
      <c r="AC30" s="39">
        <v>0.20861255208333329</v>
      </c>
      <c r="AD30" s="37">
        <f t="shared" si="12"/>
        <v>-3.1667385406249995</v>
      </c>
      <c r="AE30" s="42">
        <v>-5.98</v>
      </c>
      <c r="AF30" s="42">
        <v>-4.9498596875</v>
      </c>
      <c r="AG30" s="42">
        <v>0</v>
      </c>
    </row>
    <row r="31" spans="1:33" ht="15.75" customHeight="1" x14ac:dyDescent="0.2">
      <c r="A31" s="40" t="s">
        <v>87</v>
      </c>
      <c r="B31" s="40" t="s">
        <v>53</v>
      </c>
      <c r="C31" s="14">
        <f t="shared" si="4"/>
        <v>16.990000000000002</v>
      </c>
      <c r="D31" s="15">
        <v>11</v>
      </c>
      <c r="E31" s="15">
        <v>3</v>
      </c>
      <c r="F31" s="16">
        <v>186.89000000000001</v>
      </c>
      <c r="G31" s="43">
        <v>-0.16</v>
      </c>
      <c r="H31" s="29">
        <f t="shared" si="1"/>
        <v>8.5611857242228048E-4</v>
      </c>
      <c r="I31" s="29">
        <f t="shared" si="2"/>
        <v>0.18888814220597694</v>
      </c>
      <c r="J31" s="30">
        <f t="shared" si="5"/>
        <v>35.301304896875031</v>
      </c>
      <c r="K31" s="30">
        <f t="shared" si="3"/>
        <v>3.2092095360795483</v>
      </c>
      <c r="L31" s="15">
        <v>41</v>
      </c>
      <c r="M31" s="31">
        <f t="shared" si="6"/>
        <v>0.26829268292682928</v>
      </c>
      <c r="N31" s="15">
        <v>133</v>
      </c>
      <c r="O31" s="32">
        <f t="shared" ref="O31:P31" si="39">D31/7</f>
        <v>1.5714285714285714</v>
      </c>
      <c r="P31" s="32">
        <f t="shared" si="39"/>
        <v>0.42857142857142855</v>
      </c>
      <c r="Q31" s="27">
        <f t="shared" si="8"/>
        <v>66</v>
      </c>
      <c r="R31" s="27"/>
      <c r="S31" s="41">
        <v>2.1008403361344499</v>
      </c>
      <c r="T31" s="40" t="s">
        <v>34</v>
      </c>
      <c r="U31" s="22" t="s">
        <v>34</v>
      </c>
      <c r="V31" s="1" t="s">
        <v>571</v>
      </c>
      <c r="W31" s="40">
        <v>1</v>
      </c>
      <c r="X31" s="36">
        <f t="shared" si="9"/>
        <v>9.0909090909090912E-2</v>
      </c>
      <c r="Y31" s="37">
        <f t="shared" si="10"/>
        <v>0.16</v>
      </c>
      <c r="Z31" s="40">
        <v>0</v>
      </c>
      <c r="AA31" s="40" t="s">
        <v>37</v>
      </c>
      <c r="AB31" s="38">
        <f t="shared" si="11"/>
        <v>-0.69</v>
      </c>
      <c r="AC31" s="44">
        <v>0.20861255208333329</v>
      </c>
      <c r="AD31" s="37">
        <f t="shared" si="12"/>
        <v>-3.1667385406249995</v>
      </c>
      <c r="AE31" s="45">
        <v>-5.98</v>
      </c>
      <c r="AF31" s="45">
        <v>-4.9498596874999992</v>
      </c>
      <c r="AG31" s="42">
        <v>0</v>
      </c>
    </row>
    <row r="32" spans="1:33" ht="15.75" customHeight="1" x14ac:dyDescent="0.2">
      <c r="A32" s="40" t="s">
        <v>90</v>
      </c>
      <c r="B32" s="40" t="s">
        <v>53</v>
      </c>
      <c r="C32" s="14">
        <f t="shared" si="4"/>
        <v>16.989999999999998</v>
      </c>
      <c r="D32" s="15">
        <v>12</v>
      </c>
      <c r="E32" s="15">
        <v>2</v>
      </c>
      <c r="F32" s="16">
        <v>203.88</v>
      </c>
      <c r="G32" s="16">
        <v>-0.13</v>
      </c>
      <c r="H32" s="29">
        <f t="shared" si="1"/>
        <v>6.3762997841867769E-4</v>
      </c>
      <c r="I32" s="29">
        <f t="shared" si="2"/>
        <v>0.18910663079998041</v>
      </c>
      <c r="J32" s="30">
        <f t="shared" si="5"/>
        <v>38.555059887500008</v>
      </c>
      <c r="K32" s="30">
        <f t="shared" si="3"/>
        <v>3.2129216572916675</v>
      </c>
      <c r="L32" s="15">
        <v>30</v>
      </c>
      <c r="M32" s="31">
        <f t="shared" si="6"/>
        <v>0.4</v>
      </c>
      <c r="N32" s="15">
        <v>114</v>
      </c>
      <c r="O32" s="32">
        <f t="shared" ref="O32:P32" si="40">D32/7</f>
        <v>1.7142857142857142</v>
      </c>
      <c r="P32" s="32">
        <f t="shared" si="40"/>
        <v>0.2857142857142857</v>
      </c>
      <c r="Q32" s="27">
        <f t="shared" si="8"/>
        <v>57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1.4714064914992271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0.20861255208333329</v>
      </c>
      <c r="AD32" s="37">
        <f t="shared" si="12"/>
        <v>-3.4546238624999992</v>
      </c>
      <c r="AE32" s="42">
        <v>-5.98</v>
      </c>
      <c r="AF32" s="42">
        <v>-4.9498596875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Info!B1:BJ5000""),3,FALSE),"""")"),"Under Desk CPU Holder with 360 Degree Swivel - PC Wall Mount for Desktop Computer Tower")</f>
        <v>Under Desk CPU Holder with 360 Degree Swivel - PC Wall Mount for Desktop Computer Tower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Info!B1:BJ5000""),2,FALSE),"""")"),"B084KQVDSP")</f>
        <v>B084KQVDSP</v>
      </c>
      <c r="B2" s="3" t="s">
        <v>1072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18.203191458445776</v>
      </c>
      <c r="D3" s="5">
        <f>SUM(D4:D99767)</f>
        <v>413</v>
      </c>
      <c r="E3" s="5"/>
      <c r="F3" s="6">
        <f t="shared" ref="F3:G3" si="0">SUM(F4:F99767)</f>
        <v>11622.399999999998</v>
      </c>
      <c r="G3" s="6">
        <f t="shared" si="0"/>
        <v>-0.93</v>
      </c>
      <c r="H3" s="7">
        <f t="shared" ref="H3:H32" si="1">G3/F3*-1</f>
        <v>8.001789647577094E-5</v>
      </c>
      <c r="I3" s="8">
        <f t="shared" ref="I3:I32" si="2">J3/F3</f>
        <v>0.28059519619262369</v>
      </c>
      <c r="J3" s="6">
        <f>SUM(J4:J99767)</f>
        <v>3261.1896082291487</v>
      </c>
      <c r="K3" s="6">
        <f t="shared" ref="K3:K32" si="3">J3/D3</f>
        <v>7.8963428770681565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4 - July
4 - Aug
4 - Sept
4 - Oct
5 - Nov
5 - Dec
4 - Jan
4 - Feb")</f>
        <v>4 - March
4 - April
4 - May
4 - June
4 - July
4 - Aug
4 - Sept
4 - Oct
5 - Nov
5 -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-260.85796492681351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Info!B2:BZ3000""),37,FALSE)),"""")*-1"),-8.29271273967891)</f>
        <v>-8.29271273967891</v>
      </c>
      <c r="AG3" s="6">
        <f>SUM(AG4:AG99767)</f>
        <v>0</v>
      </c>
    </row>
    <row r="4" spans="1:33" x14ac:dyDescent="0.2">
      <c r="A4" s="1" t="s">
        <v>32</v>
      </c>
      <c r="B4" s="26" t="s">
        <v>1073</v>
      </c>
      <c r="C4" s="14">
        <f t="shared" ref="C4:C32" si="4">IFERROR(F4/D4," - ")</f>
        <v>28.522972972972976</v>
      </c>
      <c r="D4" s="15">
        <v>37</v>
      </c>
      <c r="E4" s="15">
        <v>0</v>
      </c>
      <c r="F4" s="16">
        <v>1055.3500000000001</v>
      </c>
      <c r="G4" s="16">
        <v>0</v>
      </c>
      <c r="H4" s="17">
        <f t="shared" si="1"/>
        <v>0</v>
      </c>
      <c r="I4" s="17">
        <f t="shared" si="2"/>
        <v>0.29281843957325671</v>
      </c>
      <c r="J4" s="16">
        <f t="shared" ref="J4:J32" si="5">F4*0.85+G4+AF4*D4+D4*AE4+AG4+AD4</f>
        <v>309.02594020363648</v>
      </c>
      <c r="K4" s="16">
        <f t="shared" si="3"/>
        <v>8.3520524379361216</v>
      </c>
      <c r="L4" s="15">
        <v>152</v>
      </c>
      <c r="M4" s="18">
        <f t="shared" ref="M4:M32" si="6">IFERROR(D4/L4,"-")</f>
        <v>0.24342105263157895</v>
      </c>
      <c r="N4" s="15">
        <v>168</v>
      </c>
      <c r="O4" s="19">
        <f t="shared" ref="O4:P4" si="7">D4/7</f>
        <v>5.2857142857142856</v>
      </c>
      <c r="P4" s="19">
        <f t="shared" si="7"/>
        <v>0</v>
      </c>
      <c r="Q4" s="15">
        <f t="shared" ref="Q4:Q32" si="8">ROUNDDOWN(N4/(O4+P4),0)</f>
        <v>31</v>
      </c>
      <c r="R4" s="15"/>
      <c r="S4" s="20">
        <v>2.48101265822784</v>
      </c>
      <c r="T4" s="2">
        <v>450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0.45766933333333337</v>
      </c>
      <c r="AD4" s="24">
        <f t="shared" ref="AD4:AD32" si="12">IFERROR(AB4*AC4*D4*2,0)</f>
        <v>-23.368596159999999</v>
      </c>
      <c r="AE4" s="24">
        <v>-7.32</v>
      </c>
      <c r="AF4" s="24">
        <v>-7.9408909090909088</v>
      </c>
      <c r="AG4" s="24">
        <v>0</v>
      </c>
    </row>
    <row r="5" spans="1:33" ht="15.75" customHeight="1" x14ac:dyDescent="0.2">
      <c r="A5" s="26" t="s">
        <v>35</v>
      </c>
      <c r="B5" s="26" t="s">
        <v>46</v>
      </c>
      <c r="C5" s="14">
        <f t="shared" si="4"/>
        <v>29.548421052631578</v>
      </c>
      <c r="D5" s="27">
        <v>19</v>
      </c>
      <c r="E5" s="27">
        <v>0</v>
      </c>
      <c r="F5" s="28">
        <v>561.41999999999996</v>
      </c>
      <c r="G5" s="28">
        <v>0</v>
      </c>
      <c r="H5" s="29">
        <f t="shared" si="1"/>
        <v>0</v>
      </c>
      <c r="I5" s="29">
        <f t="shared" si="2"/>
        <v>0.31213009461803853</v>
      </c>
      <c r="J5" s="30">
        <f t="shared" si="5"/>
        <v>175.23607772045918</v>
      </c>
      <c r="K5" s="30">
        <f t="shared" si="3"/>
        <v>9.2229514589715365</v>
      </c>
      <c r="L5" s="27">
        <v>151</v>
      </c>
      <c r="M5" s="31">
        <f t="shared" si="6"/>
        <v>0.12582781456953643</v>
      </c>
      <c r="N5" s="27">
        <v>140</v>
      </c>
      <c r="O5" s="32">
        <f t="shared" ref="O5:P5" si="13">D5/7</f>
        <v>2.7142857142857144</v>
      </c>
      <c r="P5" s="32">
        <f t="shared" si="13"/>
        <v>0</v>
      </c>
      <c r="Q5" s="27">
        <f t="shared" si="8"/>
        <v>51</v>
      </c>
      <c r="R5" s="27"/>
      <c r="S5" s="33">
        <v>2.5631067961165002</v>
      </c>
      <c r="T5" s="2">
        <v>450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0.45819965701042875</v>
      </c>
      <c r="AD5" s="37">
        <f t="shared" si="12"/>
        <v>-12.01399500681344</v>
      </c>
      <c r="AE5" s="37">
        <v>-7.32</v>
      </c>
      <c r="AF5" s="37">
        <v>-7.9408909090909088</v>
      </c>
      <c r="AG5" s="37">
        <v>0</v>
      </c>
    </row>
    <row r="6" spans="1:33" ht="15.75" customHeight="1" x14ac:dyDescent="0.2">
      <c r="A6" s="26" t="s">
        <v>38</v>
      </c>
      <c r="B6" s="26" t="s">
        <v>1074</v>
      </c>
      <c r="C6" s="14">
        <f t="shared" si="4"/>
        <v>27.525263157894738</v>
      </c>
      <c r="D6" s="27">
        <v>19</v>
      </c>
      <c r="E6" s="27">
        <v>0</v>
      </c>
      <c r="F6" s="28">
        <v>522.98</v>
      </c>
      <c r="G6" s="28">
        <v>0</v>
      </c>
      <c r="H6" s="29">
        <f t="shared" si="1"/>
        <v>0</v>
      </c>
      <c r="I6" s="29">
        <f t="shared" si="2"/>
        <v>0.27262224713616728</v>
      </c>
      <c r="J6" s="30">
        <f t="shared" si="5"/>
        <v>142.57598280727277</v>
      </c>
      <c r="K6" s="30">
        <f t="shared" si="3"/>
        <v>7.5039990951196192</v>
      </c>
      <c r="L6" s="27">
        <v>146</v>
      </c>
      <c r="M6" s="31">
        <f t="shared" si="6"/>
        <v>0.13013698630136986</v>
      </c>
      <c r="N6" s="27">
        <v>115</v>
      </c>
      <c r="O6" s="32">
        <f t="shared" ref="O6:P6" si="14">D6/7</f>
        <v>2.7142857142857144</v>
      </c>
      <c r="P6" s="32">
        <f t="shared" si="14"/>
        <v>0</v>
      </c>
      <c r="Q6" s="27">
        <f t="shared" si="8"/>
        <v>42</v>
      </c>
      <c r="R6" s="27"/>
      <c r="S6" s="33">
        <v>1.8368421052631501</v>
      </c>
      <c r="T6" s="2">
        <v>138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0.45766933333333337</v>
      </c>
      <c r="AD6" s="37">
        <f t="shared" si="12"/>
        <v>-12.000089919999999</v>
      </c>
      <c r="AE6" s="37">
        <v>-7.32</v>
      </c>
      <c r="AF6" s="37">
        <v>-7.9408909090909088</v>
      </c>
      <c r="AG6" s="37">
        <v>0</v>
      </c>
    </row>
    <row r="7" spans="1:33" ht="15.75" customHeight="1" x14ac:dyDescent="0.2">
      <c r="A7" s="26" t="s">
        <v>41</v>
      </c>
      <c r="B7" s="26" t="s">
        <v>46</v>
      </c>
      <c r="C7" s="14">
        <f t="shared" si="4"/>
        <v>29.92428571428572</v>
      </c>
      <c r="D7" s="27">
        <v>14</v>
      </c>
      <c r="E7" s="27">
        <v>0</v>
      </c>
      <c r="F7" s="28">
        <v>418.94000000000005</v>
      </c>
      <c r="G7" s="28">
        <v>0</v>
      </c>
      <c r="H7" s="29">
        <f t="shared" si="1"/>
        <v>0</v>
      </c>
      <c r="I7" s="29">
        <f t="shared" si="2"/>
        <v>0.31891047823728297</v>
      </c>
      <c r="J7" s="30">
        <f t="shared" si="5"/>
        <v>133.60435575272734</v>
      </c>
      <c r="K7" s="30">
        <f t="shared" si="3"/>
        <v>9.5431682680519536</v>
      </c>
      <c r="L7" s="27">
        <v>133</v>
      </c>
      <c r="M7" s="31">
        <f t="shared" si="6"/>
        <v>0.10526315789473684</v>
      </c>
      <c r="N7" s="27">
        <v>90</v>
      </c>
      <c r="O7" s="32">
        <f t="shared" ref="O7:P7" si="15">D7/7</f>
        <v>2</v>
      </c>
      <c r="P7" s="32">
        <f t="shared" si="15"/>
        <v>0</v>
      </c>
      <c r="Q7" s="27">
        <f t="shared" si="8"/>
        <v>45</v>
      </c>
      <c r="R7" s="27"/>
      <c r="S7" s="33">
        <v>2.1430745814307399</v>
      </c>
      <c r="T7" s="26">
        <v>258</v>
      </c>
      <c r="U7" s="34">
        <v>120</v>
      </c>
      <c r="V7" s="49" t="s">
        <v>1075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0.45766933333333337</v>
      </c>
      <c r="AD7" s="37">
        <f t="shared" si="12"/>
        <v>-8.8421715199999991</v>
      </c>
      <c r="AE7" s="37">
        <v>-7.32</v>
      </c>
      <c r="AF7" s="37">
        <v>-7.9408909090909088</v>
      </c>
      <c r="AG7" s="37">
        <v>0</v>
      </c>
    </row>
    <row r="8" spans="1:33" ht="15.75" customHeight="1" x14ac:dyDescent="0.2">
      <c r="A8" s="26" t="s">
        <v>43</v>
      </c>
      <c r="B8" s="26" t="s">
        <v>1076</v>
      </c>
      <c r="C8" s="14">
        <f t="shared" si="4"/>
        <v>28.626818181818184</v>
      </c>
      <c r="D8" s="27">
        <v>22</v>
      </c>
      <c r="E8" s="27">
        <v>1</v>
      </c>
      <c r="F8" s="28">
        <v>629.79000000000008</v>
      </c>
      <c r="G8" s="28">
        <v>0</v>
      </c>
      <c r="H8" s="29">
        <f t="shared" si="1"/>
        <v>0</v>
      </c>
      <c r="I8" s="29">
        <f t="shared" si="2"/>
        <v>0.29487076492164049</v>
      </c>
      <c r="J8" s="30">
        <f t="shared" si="5"/>
        <v>185.70665903999998</v>
      </c>
      <c r="K8" s="30">
        <f t="shared" si="3"/>
        <v>8.4412117745454527</v>
      </c>
      <c r="L8" s="27">
        <v>120</v>
      </c>
      <c r="M8" s="31">
        <f t="shared" si="6"/>
        <v>0.18333333333333332</v>
      </c>
      <c r="N8" s="27">
        <v>62</v>
      </c>
      <c r="O8" s="32">
        <f t="shared" ref="O8:P8" si="16">D8/7</f>
        <v>3.1428571428571428</v>
      </c>
      <c r="P8" s="32">
        <f t="shared" si="16"/>
        <v>0.14285714285714285</v>
      </c>
      <c r="Q8" s="27">
        <f t="shared" si="8"/>
        <v>18</v>
      </c>
      <c r="R8" s="27"/>
      <c r="S8" s="33">
        <v>2.8007590132827298</v>
      </c>
      <c r="T8" s="26">
        <v>450</v>
      </c>
      <c r="U8" s="34">
        <v>138</v>
      </c>
      <c r="V8" s="35" t="s">
        <v>1077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0.45766933333333337</v>
      </c>
      <c r="AD8" s="37">
        <f t="shared" si="12"/>
        <v>-13.89484096</v>
      </c>
      <c r="AE8" s="37">
        <v>-7.32</v>
      </c>
      <c r="AF8" s="37">
        <v>-7.94</v>
      </c>
      <c r="AG8" s="37">
        <v>0</v>
      </c>
    </row>
    <row r="9" spans="1:33" ht="15.75" customHeight="1" x14ac:dyDescent="0.2">
      <c r="A9" s="26" t="s">
        <v>45</v>
      </c>
      <c r="B9" s="26" t="s">
        <v>1078</v>
      </c>
      <c r="C9" s="14">
        <f t="shared" si="4"/>
        <v>30.984705882352941</v>
      </c>
      <c r="D9" s="27">
        <v>34</v>
      </c>
      <c r="E9" s="27">
        <v>3</v>
      </c>
      <c r="F9" s="28">
        <v>1053.48</v>
      </c>
      <c r="G9" s="28">
        <v>0</v>
      </c>
      <c r="H9" s="29">
        <f t="shared" si="1"/>
        <v>0</v>
      </c>
      <c r="I9" s="29">
        <f t="shared" si="2"/>
        <v>0.3329055307327749</v>
      </c>
      <c r="J9" s="30">
        <f t="shared" si="5"/>
        <v>350.70931851636368</v>
      </c>
      <c r="K9" s="30">
        <f t="shared" si="3"/>
        <v>10.314979956363638</v>
      </c>
      <c r="L9" s="27">
        <v>120</v>
      </c>
      <c r="M9" s="31">
        <f t="shared" si="6"/>
        <v>0.28333333333333333</v>
      </c>
      <c r="N9" s="27">
        <v>23</v>
      </c>
      <c r="O9" s="32">
        <f t="shared" ref="O9:P9" si="17">D9/7</f>
        <v>4.8571428571428568</v>
      </c>
      <c r="P9" s="32">
        <f t="shared" si="17"/>
        <v>0.42857142857142855</v>
      </c>
      <c r="Q9" s="27">
        <f t="shared" si="8"/>
        <v>4</v>
      </c>
      <c r="R9" s="27"/>
      <c r="S9" s="33">
        <v>2.8282097649186202</v>
      </c>
      <c r="T9" s="26">
        <v>450</v>
      </c>
      <c r="U9" s="34">
        <v>138</v>
      </c>
      <c r="V9" s="35" t="s">
        <v>1079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0.45766933333333337</v>
      </c>
      <c r="AD9" s="37">
        <f t="shared" si="12"/>
        <v>-21.47384512</v>
      </c>
      <c r="AE9" s="37">
        <v>-7.32</v>
      </c>
      <c r="AF9" s="37">
        <v>-8.0704363636363592</v>
      </c>
      <c r="AG9" s="37">
        <v>0</v>
      </c>
    </row>
    <row r="10" spans="1:33" ht="15.75" customHeight="1" x14ac:dyDescent="0.2">
      <c r="A10" s="26" t="s">
        <v>48</v>
      </c>
      <c r="B10" s="26" t="s">
        <v>76</v>
      </c>
      <c r="C10" s="14">
        <f t="shared" si="4"/>
        <v>31.785</v>
      </c>
      <c r="D10" s="27">
        <v>14</v>
      </c>
      <c r="E10" s="27">
        <v>0</v>
      </c>
      <c r="F10" s="28">
        <v>444.99</v>
      </c>
      <c r="G10" s="28">
        <v>0</v>
      </c>
      <c r="H10" s="29">
        <f t="shared" si="1"/>
        <v>0</v>
      </c>
      <c r="I10" s="29">
        <f t="shared" si="2"/>
        <v>0.34592512053999169</v>
      </c>
      <c r="J10" s="30">
        <f t="shared" si="5"/>
        <v>153.93321938909091</v>
      </c>
      <c r="K10" s="30">
        <f t="shared" si="3"/>
        <v>10.995229956363636</v>
      </c>
      <c r="L10" s="27">
        <v>110</v>
      </c>
      <c r="M10" s="31">
        <f t="shared" si="6"/>
        <v>0.12727272727272726</v>
      </c>
      <c r="N10" s="27">
        <v>8</v>
      </c>
      <c r="O10" s="32">
        <f t="shared" ref="O10:P10" si="18">D10/7</f>
        <v>2</v>
      </c>
      <c r="P10" s="32">
        <f t="shared" si="18"/>
        <v>0</v>
      </c>
      <c r="Q10" s="27">
        <f t="shared" si="8"/>
        <v>4</v>
      </c>
      <c r="R10" s="27"/>
      <c r="S10" s="33">
        <v>3.63793103448275</v>
      </c>
      <c r="T10" s="26">
        <v>450</v>
      </c>
      <c r="U10" s="34">
        <v>138</v>
      </c>
      <c r="V10" s="35" t="s">
        <v>1080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0.45766933333333337</v>
      </c>
      <c r="AD10" s="37">
        <f t="shared" si="12"/>
        <v>-8.8421715199999991</v>
      </c>
      <c r="AE10" s="37">
        <v>-7.32</v>
      </c>
      <c r="AF10" s="37">
        <v>-8.0704363636363592</v>
      </c>
      <c r="AG10" s="37">
        <v>0</v>
      </c>
    </row>
    <row r="11" spans="1:33" ht="15.75" customHeight="1" x14ac:dyDescent="0.2">
      <c r="A11" s="26" t="s">
        <v>50</v>
      </c>
      <c r="B11" s="26" t="s">
        <v>461</v>
      </c>
      <c r="C11" s="14">
        <f t="shared" si="4"/>
        <v>32.99</v>
      </c>
      <c r="D11" s="27">
        <v>1</v>
      </c>
      <c r="E11" s="27">
        <v>0</v>
      </c>
      <c r="F11" s="28">
        <v>32.99</v>
      </c>
      <c r="G11" s="28">
        <v>0</v>
      </c>
      <c r="H11" s="29">
        <f t="shared" si="1"/>
        <v>0</v>
      </c>
      <c r="I11" s="29">
        <f t="shared" si="2"/>
        <v>0.36433707051723663</v>
      </c>
      <c r="J11" s="30">
        <f t="shared" si="5"/>
        <v>12.019479956363638</v>
      </c>
      <c r="K11" s="30">
        <f t="shared" si="3"/>
        <v>12.019479956363638</v>
      </c>
      <c r="L11" s="27">
        <v>39</v>
      </c>
      <c r="M11" s="31">
        <f t="shared" si="6"/>
        <v>2.564102564102564E-2</v>
      </c>
      <c r="N11" s="27">
        <v>0</v>
      </c>
      <c r="O11" s="32">
        <f t="shared" ref="O11:P11" si="19">D11/7</f>
        <v>0.14285714285714285</v>
      </c>
      <c r="P11" s="32">
        <f t="shared" si="19"/>
        <v>0</v>
      </c>
      <c r="Q11" s="27">
        <f t="shared" si="8"/>
        <v>0</v>
      </c>
      <c r="R11" s="27"/>
      <c r="S11" s="33" t="e">
        <v>#N/A</v>
      </c>
      <c r="T11" s="26">
        <v>450</v>
      </c>
      <c r="U11" s="34">
        <v>138</v>
      </c>
      <c r="V11" s="35" t="s">
        <v>1080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0.45766933333333337</v>
      </c>
      <c r="AD11" s="37">
        <f t="shared" si="12"/>
        <v>-0.63158367999999998</v>
      </c>
      <c r="AE11" s="37">
        <v>-7.32</v>
      </c>
      <c r="AF11" s="37">
        <v>-8.0704363636363592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450</v>
      </c>
      <c r="U12" s="34">
        <v>138</v>
      </c>
      <c r="V12" s="35" t="s">
        <v>1081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-8.0704363636363592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654</v>
      </c>
      <c r="U13" s="34">
        <v>138</v>
      </c>
      <c r="V13" s="35" t="s">
        <v>1082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-8.1386181818181793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1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>
        <v>2.3983739837398299</v>
      </c>
      <c r="T14" s="26">
        <v>654</v>
      </c>
      <c r="U14" s="34">
        <v>138</v>
      </c>
      <c r="V14" s="35" t="s">
        <v>1082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-8.1386181818181793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32.99</v>
      </c>
      <c r="D15" s="27">
        <v>1</v>
      </c>
      <c r="E15" s="27">
        <v>0</v>
      </c>
      <c r="F15" s="30">
        <v>32.99</v>
      </c>
      <c r="G15" s="28">
        <v>0</v>
      </c>
      <c r="H15" s="29">
        <f t="shared" si="1"/>
        <v>0</v>
      </c>
      <c r="I15" s="29">
        <f t="shared" si="2"/>
        <v>0.36227032852930635</v>
      </c>
      <c r="J15" s="30">
        <f t="shared" si="5"/>
        <v>11.951298138181818</v>
      </c>
      <c r="K15" s="30">
        <f t="shared" si="3"/>
        <v>11.951298138181818</v>
      </c>
      <c r="L15" s="27">
        <v>7</v>
      </c>
      <c r="M15" s="31">
        <f t="shared" si="6"/>
        <v>0.14285714285714285</v>
      </c>
      <c r="N15" s="27">
        <v>0</v>
      </c>
      <c r="O15" s="32">
        <f t="shared" ref="O15:P15" si="23">D15/7</f>
        <v>0.14285714285714285</v>
      </c>
      <c r="P15" s="32">
        <f t="shared" si="23"/>
        <v>0</v>
      </c>
      <c r="Q15" s="27">
        <f t="shared" si="8"/>
        <v>0</v>
      </c>
      <c r="R15" s="27"/>
      <c r="S15" s="33" t="e">
        <v>#N/A</v>
      </c>
      <c r="T15" s="26">
        <v>654</v>
      </c>
      <c r="U15" s="34">
        <v>138</v>
      </c>
      <c r="V15" s="35" t="s">
        <v>1083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0.45766933333333337</v>
      </c>
      <c r="AD15" s="37">
        <f t="shared" si="12"/>
        <v>-0.63158367999999998</v>
      </c>
      <c r="AE15" s="37">
        <v>-7.32</v>
      </c>
      <c r="AF15" s="37">
        <v>-8.1386181818181793</v>
      </c>
      <c r="AG15" s="37">
        <v>0</v>
      </c>
    </row>
    <row r="16" spans="1:33" ht="15.75" customHeight="1" x14ac:dyDescent="0.2">
      <c r="A16" s="26" t="s">
        <v>60</v>
      </c>
      <c r="B16" s="26" t="s">
        <v>1084</v>
      </c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-0.08</v>
      </c>
      <c r="H16" s="29" t="e">
        <f t="shared" si="1"/>
        <v>#DIV/0!</v>
      </c>
      <c r="I16" s="29" t="e">
        <f t="shared" si="2"/>
        <v>#DIV/0!</v>
      </c>
      <c r="J16" s="30">
        <f t="shared" si="5"/>
        <v>-0.08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138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>
        <v>1.5945945945945901</v>
      </c>
      <c r="T16" s="26">
        <v>516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0.45766933333333337</v>
      </c>
      <c r="AD16" s="37">
        <f t="shared" si="12"/>
        <v>0</v>
      </c>
      <c r="AE16" s="37">
        <v>-7.32</v>
      </c>
      <c r="AF16" s="37">
        <v>-8.1386181818181793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29.714285714285715</v>
      </c>
      <c r="D17" s="27">
        <v>7</v>
      </c>
      <c r="E17" s="27">
        <v>0</v>
      </c>
      <c r="F17" s="30">
        <v>208</v>
      </c>
      <c r="G17" s="28">
        <v>-0.08</v>
      </c>
      <c r="H17" s="29">
        <f t="shared" si="1"/>
        <v>3.8461538461538462E-4</v>
      </c>
      <c r="I17" s="29">
        <f t="shared" si="2"/>
        <v>0.30811820657342653</v>
      </c>
      <c r="J17" s="30">
        <f t="shared" si="5"/>
        <v>64.088586967272718</v>
      </c>
      <c r="K17" s="30">
        <f t="shared" si="3"/>
        <v>9.1555124238961021</v>
      </c>
      <c r="L17" s="27">
        <v>43</v>
      </c>
      <c r="M17" s="31">
        <f t="shared" si="6"/>
        <v>0.16279069767441862</v>
      </c>
      <c r="N17" s="27">
        <v>132</v>
      </c>
      <c r="O17" s="32">
        <f t="shared" ref="O17:P17" si="25">D17/7</f>
        <v>1</v>
      </c>
      <c r="P17" s="32">
        <f t="shared" si="25"/>
        <v>0</v>
      </c>
      <c r="Q17" s="27">
        <f t="shared" si="8"/>
        <v>132</v>
      </c>
      <c r="R17" s="27"/>
      <c r="S17" s="33">
        <v>1.4962593516209399</v>
      </c>
      <c r="T17" s="26">
        <v>516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0.45766933333333337</v>
      </c>
      <c r="AD17" s="37">
        <f t="shared" si="12"/>
        <v>-4.4210857599999995</v>
      </c>
      <c r="AE17" s="37">
        <v>-7.32</v>
      </c>
      <c r="AF17" s="37">
        <v>-8.1386181818181793</v>
      </c>
      <c r="AG17" s="37">
        <v>0</v>
      </c>
    </row>
    <row r="18" spans="1:33" ht="15.75" customHeight="1" x14ac:dyDescent="0.2">
      <c r="A18" s="26" t="s">
        <v>62</v>
      </c>
      <c r="B18" s="26" t="s">
        <v>1085</v>
      </c>
      <c r="C18" s="14">
        <f t="shared" si="4"/>
        <v>27.020799999999998</v>
      </c>
      <c r="D18" s="27">
        <v>50</v>
      </c>
      <c r="E18" s="27">
        <v>0</v>
      </c>
      <c r="F18" s="30">
        <v>1351.04</v>
      </c>
      <c r="G18" s="28">
        <v>0</v>
      </c>
      <c r="H18" s="29">
        <f t="shared" si="1"/>
        <v>0</v>
      </c>
      <c r="I18" s="29">
        <f t="shared" si="2"/>
        <v>0.25452533374962333</v>
      </c>
      <c r="J18" s="30">
        <f t="shared" si="5"/>
        <v>343.87390690909109</v>
      </c>
      <c r="K18" s="30">
        <f t="shared" si="3"/>
        <v>6.8774781381818215</v>
      </c>
      <c r="L18" s="27">
        <v>139</v>
      </c>
      <c r="M18" s="31">
        <f t="shared" si="6"/>
        <v>0.35971223021582732</v>
      </c>
      <c r="N18" s="27">
        <v>74</v>
      </c>
      <c r="O18" s="32">
        <f t="shared" ref="O18:P18" si="26">D18/7</f>
        <v>7.1428571428571432</v>
      </c>
      <c r="P18" s="32">
        <f t="shared" si="26"/>
        <v>0</v>
      </c>
      <c r="Q18" s="27">
        <f t="shared" si="8"/>
        <v>10</v>
      </c>
      <c r="R18" s="27"/>
      <c r="S18" s="33">
        <v>2.2877697841726601</v>
      </c>
      <c r="T18" s="26">
        <v>516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0.45766933333333337</v>
      </c>
      <c r="AD18" s="37">
        <f t="shared" si="12"/>
        <v>-31.579183999999998</v>
      </c>
      <c r="AE18" s="37">
        <v>-7.32</v>
      </c>
      <c r="AF18" s="37">
        <v>-8.1386181818181793</v>
      </c>
      <c r="AG18" s="37">
        <v>0</v>
      </c>
    </row>
    <row r="19" spans="1:33" ht="15.75" customHeight="1" x14ac:dyDescent="0.2">
      <c r="A19" s="26" t="s">
        <v>64</v>
      </c>
      <c r="B19" s="26" t="s">
        <v>1086</v>
      </c>
      <c r="C19" s="14">
        <f t="shared" si="4"/>
        <v>28.705000000000005</v>
      </c>
      <c r="D19" s="27">
        <v>16</v>
      </c>
      <c r="E19" s="27">
        <v>0</v>
      </c>
      <c r="F19" s="30">
        <v>459.28000000000009</v>
      </c>
      <c r="G19" s="28">
        <v>0</v>
      </c>
      <c r="H19" s="29">
        <f t="shared" si="1"/>
        <v>0</v>
      </c>
      <c r="I19" s="29">
        <f t="shared" si="2"/>
        <v>0.28946344323922041</v>
      </c>
      <c r="J19" s="30">
        <f t="shared" si="5"/>
        <v>132.94477021090918</v>
      </c>
      <c r="K19" s="30">
        <f t="shared" si="3"/>
        <v>8.309048138181824</v>
      </c>
      <c r="L19" s="27">
        <v>87</v>
      </c>
      <c r="M19" s="31">
        <f t="shared" si="6"/>
        <v>0.18390804597701149</v>
      </c>
      <c r="N19" s="27">
        <v>54</v>
      </c>
      <c r="O19" s="32">
        <f t="shared" ref="O19:P19" si="27">D19/7</f>
        <v>2.2857142857142856</v>
      </c>
      <c r="P19" s="32">
        <f t="shared" si="27"/>
        <v>0</v>
      </c>
      <c r="Q19" s="27">
        <f t="shared" si="8"/>
        <v>23</v>
      </c>
      <c r="R19" s="27"/>
      <c r="S19" s="33">
        <v>2.9395348837209299</v>
      </c>
      <c r="T19" s="26">
        <v>516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0.45766933333333337</v>
      </c>
      <c r="AD19" s="37">
        <f t="shared" si="12"/>
        <v>-10.10533888</v>
      </c>
      <c r="AE19" s="37">
        <v>-7.32</v>
      </c>
      <c r="AF19" s="37">
        <v>-8.1386181818181811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30.942999999999994</v>
      </c>
      <c r="D20" s="27">
        <v>10</v>
      </c>
      <c r="E20" s="27">
        <v>1</v>
      </c>
      <c r="F20" s="30">
        <v>309.42999999999995</v>
      </c>
      <c r="G20" s="28">
        <v>-0.11</v>
      </c>
      <c r="H20" s="29">
        <f t="shared" si="1"/>
        <v>3.5549235691432639E-4</v>
      </c>
      <c r="I20" s="29">
        <f t="shared" si="2"/>
        <v>0.32964961827171957</v>
      </c>
      <c r="J20" s="30">
        <f t="shared" si="5"/>
        <v>102.00348138181816</v>
      </c>
      <c r="K20" s="30">
        <f t="shared" si="3"/>
        <v>10.200348138181816</v>
      </c>
      <c r="L20" s="27">
        <v>81</v>
      </c>
      <c r="M20" s="31">
        <f t="shared" si="6"/>
        <v>0.12345679012345678</v>
      </c>
      <c r="N20" s="27">
        <v>46</v>
      </c>
      <c r="O20" s="32">
        <f t="shared" ref="O20:P20" si="28">D20/7</f>
        <v>1.4285714285714286</v>
      </c>
      <c r="P20" s="32">
        <f t="shared" si="28"/>
        <v>0.14285714285714285</v>
      </c>
      <c r="Q20" s="27">
        <f t="shared" si="8"/>
        <v>29</v>
      </c>
      <c r="R20" s="27"/>
      <c r="S20" s="33">
        <v>3.7575757575757498</v>
      </c>
      <c r="T20" s="26">
        <v>804</v>
      </c>
      <c r="U20" s="34" t="s">
        <v>34</v>
      </c>
      <c r="V20" s="35" t="s">
        <v>1087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0.45766933333333337</v>
      </c>
      <c r="AD20" s="37">
        <f t="shared" si="12"/>
        <v>-6.3158367999999996</v>
      </c>
      <c r="AE20" s="37">
        <v>-7.32</v>
      </c>
      <c r="AF20" s="37">
        <v>-8.1386181818181811</v>
      </c>
      <c r="AG20" s="37">
        <v>0</v>
      </c>
    </row>
    <row r="21" spans="1:33" ht="15.75" customHeight="1" x14ac:dyDescent="0.2">
      <c r="A21" s="26" t="s">
        <v>66</v>
      </c>
      <c r="B21" s="26" t="s">
        <v>78</v>
      </c>
      <c r="C21" s="14">
        <f t="shared" si="4"/>
        <v>31.03</v>
      </c>
      <c r="D21" s="27">
        <v>12</v>
      </c>
      <c r="E21" s="27">
        <v>0</v>
      </c>
      <c r="F21" s="30">
        <v>372.36</v>
      </c>
      <c r="G21" s="28">
        <v>0</v>
      </c>
      <c r="H21" s="29">
        <f t="shared" si="1"/>
        <v>0</v>
      </c>
      <c r="I21" s="29">
        <f t="shared" si="2"/>
        <v>0.33146304022500228</v>
      </c>
      <c r="J21" s="30">
        <f t="shared" si="5"/>
        <v>123.42357765818186</v>
      </c>
      <c r="K21" s="30">
        <f t="shared" si="3"/>
        <v>10.285298138181821</v>
      </c>
      <c r="L21" s="27">
        <v>35</v>
      </c>
      <c r="M21" s="31">
        <f t="shared" si="6"/>
        <v>0.34285714285714286</v>
      </c>
      <c r="N21" s="27">
        <v>34</v>
      </c>
      <c r="O21" s="32">
        <f t="shared" ref="O21:P21" si="29">D21/7</f>
        <v>1.7142857142857142</v>
      </c>
      <c r="P21" s="32">
        <f t="shared" si="29"/>
        <v>0</v>
      </c>
      <c r="Q21" s="27">
        <f t="shared" si="8"/>
        <v>19</v>
      </c>
      <c r="R21" s="27"/>
      <c r="S21" s="33">
        <v>2.18587360594795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0.45766933333333337</v>
      </c>
      <c r="AD21" s="37">
        <f t="shared" si="12"/>
        <v>-7.5790041600000002</v>
      </c>
      <c r="AE21" s="37">
        <v>-7.32</v>
      </c>
      <c r="AF21" s="37">
        <v>-8.1386181818181811</v>
      </c>
      <c r="AG21" s="37">
        <v>0</v>
      </c>
    </row>
    <row r="22" spans="1:33" ht="15.75" customHeight="1" x14ac:dyDescent="0.2">
      <c r="A22" s="26" t="s">
        <v>67</v>
      </c>
      <c r="B22" s="26" t="s">
        <v>1088</v>
      </c>
      <c r="C22" s="14">
        <f t="shared" si="4"/>
        <v>32.99</v>
      </c>
      <c r="D22" s="27">
        <v>2</v>
      </c>
      <c r="E22" s="27">
        <v>1</v>
      </c>
      <c r="F22" s="28">
        <v>65.98</v>
      </c>
      <c r="G22" s="28">
        <v>-0.08</v>
      </c>
      <c r="H22" s="29">
        <f t="shared" si="1"/>
        <v>1.2124886329190664E-3</v>
      </c>
      <c r="I22" s="29">
        <f t="shared" si="2"/>
        <v>0.36105783989638734</v>
      </c>
      <c r="J22" s="30">
        <f t="shared" si="5"/>
        <v>23.822596276363637</v>
      </c>
      <c r="K22" s="30">
        <f t="shared" si="3"/>
        <v>11.911298138181818</v>
      </c>
      <c r="L22" s="27">
        <v>52</v>
      </c>
      <c r="M22" s="31">
        <f t="shared" si="6"/>
        <v>3.8461538461538464E-2</v>
      </c>
      <c r="N22" s="27">
        <v>32</v>
      </c>
      <c r="O22" s="32">
        <f t="shared" ref="O22:P22" si="30">D22/7</f>
        <v>0.2857142857142857</v>
      </c>
      <c r="P22" s="32">
        <f t="shared" si="30"/>
        <v>0.14285714285714285</v>
      </c>
      <c r="Q22" s="27">
        <f t="shared" si="8"/>
        <v>74</v>
      </c>
      <c r="R22" s="27"/>
      <c r="S22" s="33">
        <v>2.76595744680851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0.45766933333333337</v>
      </c>
      <c r="AD22" s="37">
        <f t="shared" si="12"/>
        <v>-1.26316736</v>
      </c>
      <c r="AE22" s="37">
        <v>-7.32</v>
      </c>
      <c r="AF22" s="37">
        <v>-8.1386181818181811</v>
      </c>
      <c r="AG22" s="37">
        <v>0</v>
      </c>
    </row>
    <row r="23" spans="1:33" ht="15.75" customHeight="1" x14ac:dyDescent="0.2">
      <c r="A23" s="26" t="s">
        <v>68</v>
      </c>
      <c r="B23" s="26" t="s">
        <v>1089</v>
      </c>
      <c r="C23" s="14">
        <f t="shared" si="4"/>
        <v>31.27</v>
      </c>
      <c r="D23" s="27">
        <v>1</v>
      </c>
      <c r="E23" s="27">
        <v>9</v>
      </c>
      <c r="F23" s="30">
        <v>31.27</v>
      </c>
      <c r="G23" s="28">
        <v>0</v>
      </c>
      <c r="H23" s="29">
        <f t="shared" si="1"/>
        <v>0</v>
      </c>
      <c r="I23" s="29">
        <f t="shared" si="2"/>
        <v>0.33544285699334242</v>
      </c>
      <c r="J23" s="30">
        <f t="shared" si="5"/>
        <v>10.489298138181818</v>
      </c>
      <c r="K23" s="30">
        <f t="shared" si="3"/>
        <v>10.489298138181818</v>
      </c>
      <c r="L23" s="27">
        <v>70</v>
      </c>
      <c r="M23" s="31">
        <f t="shared" si="6"/>
        <v>1.4285714285714285E-2</v>
      </c>
      <c r="N23" s="27">
        <v>21</v>
      </c>
      <c r="O23" s="32">
        <f t="shared" ref="O23:P23" si="31">D23/7</f>
        <v>0.14285714285714285</v>
      </c>
      <c r="P23" s="32">
        <f t="shared" si="31"/>
        <v>1.2857142857142858</v>
      </c>
      <c r="Q23" s="27">
        <f t="shared" si="8"/>
        <v>14</v>
      </c>
      <c r="R23" s="27"/>
      <c r="S23" s="33">
        <v>3.3333333333333299</v>
      </c>
      <c r="T23" s="26">
        <v>804</v>
      </c>
      <c r="U23" s="34">
        <v>288</v>
      </c>
      <c r="V23" s="35" t="s">
        <v>1090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0.45766933333333337</v>
      </c>
      <c r="AD23" s="37">
        <f t="shared" si="12"/>
        <v>-0.63158367999999998</v>
      </c>
      <c r="AE23" s="37">
        <v>-7.32</v>
      </c>
      <c r="AF23" s="37">
        <v>-8.1386181818181811</v>
      </c>
      <c r="AG23" s="37">
        <v>0</v>
      </c>
    </row>
    <row r="24" spans="1:33" ht="15.75" customHeight="1" x14ac:dyDescent="0.2">
      <c r="A24" s="26" t="s">
        <v>71</v>
      </c>
      <c r="B24" s="26" t="s">
        <v>1044</v>
      </c>
      <c r="C24" s="14">
        <f t="shared" si="4"/>
        <v>28.518571428571427</v>
      </c>
      <c r="D24" s="27">
        <v>7</v>
      </c>
      <c r="E24" s="27">
        <v>1</v>
      </c>
      <c r="F24" s="30">
        <v>199.63</v>
      </c>
      <c r="G24" s="30">
        <v>-0.08</v>
      </c>
      <c r="H24" s="29">
        <f t="shared" si="1"/>
        <v>4.0074137153734411E-4</v>
      </c>
      <c r="I24" s="29">
        <f t="shared" si="2"/>
        <v>0.28539842191690984</v>
      </c>
      <c r="J24" s="30">
        <f t="shared" si="5"/>
        <v>56.974086967272704</v>
      </c>
      <c r="K24" s="30">
        <f t="shared" si="3"/>
        <v>8.139155281038958</v>
      </c>
      <c r="L24" s="27">
        <v>56</v>
      </c>
      <c r="M24" s="31">
        <f t="shared" si="6"/>
        <v>0.125</v>
      </c>
      <c r="N24" s="27">
        <v>11</v>
      </c>
      <c r="O24" s="32">
        <f t="shared" ref="O24:P24" si="32">D24/7</f>
        <v>1</v>
      </c>
      <c r="P24" s="32">
        <f t="shared" si="32"/>
        <v>0.14285714285714285</v>
      </c>
      <c r="Q24" s="27">
        <f t="shared" si="8"/>
        <v>9</v>
      </c>
      <c r="R24" s="27"/>
      <c r="S24" s="33">
        <v>4.4800000000000004</v>
      </c>
      <c r="T24" s="26">
        <v>804</v>
      </c>
      <c r="U24" s="34">
        <v>288</v>
      </c>
      <c r="V24" s="35" t="s">
        <v>1091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0.45766933333333337</v>
      </c>
      <c r="AD24" s="37">
        <f t="shared" si="12"/>
        <v>-4.4210857599999995</v>
      </c>
      <c r="AE24" s="37">
        <v>-7.32</v>
      </c>
      <c r="AF24" s="37">
        <v>-8.1386181818181811</v>
      </c>
      <c r="AG24" s="37">
        <v>0</v>
      </c>
    </row>
    <row r="25" spans="1:33" ht="15.75" customHeight="1" x14ac:dyDescent="0.2">
      <c r="A25" s="40" t="s">
        <v>73</v>
      </c>
      <c r="B25" s="40" t="s">
        <v>1092</v>
      </c>
      <c r="C25" s="14">
        <f t="shared" si="4"/>
        <v>28.76</v>
      </c>
      <c r="D25" s="15">
        <v>2</v>
      </c>
      <c r="E25" s="15">
        <v>0</v>
      </c>
      <c r="F25" s="16">
        <v>57.52</v>
      </c>
      <c r="G25" s="16">
        <v>-0.08</v>
      </c>
      <c r="H25" s="29">
        <f t="shared" si="1"/>
        <v>1.3908205841446453E-3</v>
      </c>
      <c r="I25" s="29">
        <f t="shared" si="2"/>
        <v>0.28909653407510433</v>
      </c>
      <c r="J25" s="30">
        <f t="shared" si="5"/>
        <v>16.628832640000002</v>
      </c>
      <c r="K25" s="30">
        <f t="shared" si="3"/>
        <v>8.3144163200000012</v>
      </c>
      <c r="L25" s="15">
        <v>56</v>
      </c>
      <c r="M25" s="31">
        <f t="shared" si="6"/>
        <v>3.5714285714285712E-2</v>
      </c>
      <c r="N25" s="15">
        <v>14</v>
      </c>
      <c r="O25" s="32">
        <f t="shared" ref="O25:P25" si="33">D25/7</f>
        <v>0.2857142857142857</v>
      </c>
      <c r="P25" s="32">
        <f t="shared" si="33"/>
        <v>0</v>
      </c>
      <c r="Q25" s="27">
        <f t="shared" si="8"/>
        <v>49</v>
      </c>
      <c r="R25" s="27"/>
      <c r="S25" s="41">
        <v>2.2018348623853208</v>
      </c>
      <c r="T25" s="26">
        <v>804</v>
      </c>
      <c r="U25" s="34">
        <v>288</v>
      </c>
      <c r="V25" s="35" t="s">
        <v>1093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0.45766933333333337</v>
      </c>
      <c r="AD25" s="37">
        <f t="shared" si="12"/>
        <v>-1.26316736</v>
      </c>
      <c r="AE25" s="42">
        <v>-7.32</v>
      </c>
      <c r="AF25" s="42">
        <v>-8.14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28.082000000000001</v>
      </c>
      <c r="D26" s="15">
        <v>5</v>
      </c>
      <c r="E26" s="15">
        <v>3</v>
      </c>
      <c r="F26" s="16">
        <v>140.41</v>
      </c>
      <c r="G26" s="16">
        <v>0</v>
      </c>
      <c r="H26" s="29">
        <f t="shared" si="1"/>
        <v>0</v>
      </c>
      <c r="I26" s="29">
        <f t="shared" si="2"/>
        <v>0.28201332306038807</v>
      </c>
      <c r="J26" s="30">
        <f t="shared" si="5"/>
        <v>39.59749069090909</v>
      </c>
      <c r="K26" s="30">
        <f t="shared" si="3"/>
        <v>7.9194981381818179</v>
      </c>
      <c r="L26" s="15">
        <v>37</v>
      </c>
      <c r="M26" s="31">
        <f t="shared" si="6"/>
        <v>0.13513513513513514</v>
      </c>
      <c r="N26" s="15">
        <v>2</v>
      </c>
      <c r="O26" s="32">
        <f t="shared" ref="O26:P26" si="34">D26/7</f>
        <v>0.7142857142857143</v>
      </c>
      <c r="P26" s="32">
        <f t="shared" si="34"/>
        <v>0.42857142857142855</v>
      </c>
      <c r="Q26" s="27">
        <f t="shared" si="8"/>
        <v>1</v>
      </c>
      <c r="R26" s="27"/>
      <c r="S26" s="41">
        <v>2.6051282051282052</v>
      </c>
      <c r="T26" s="26">
        <v>804</v>
      </c>
      <c r="U26" s="34">
        <v>288</v>
      </c>
      <c r="V26" s="35" t="s">
        <v>1094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0.45766933333333337</v>
      </c>
      <c r="AD26" s="37">
        <f t="shared" si="12"/>
        <v>-3.1579183999999998</v>
      </c>
      <c r="AE26" s="42">
        <v>-7.18</v>
      </c>
      <c r="AF26" s="42">
        <v>-8.1386181818181793</v>
      </c>
      <c r="AG26" s="42">
        <v>0</v>
      </c>
    </row>
    <row r="27" spans="1:33" ht="15.75" customHeight="1" x14ac:dyDescent="0.2">
      <c r="A27" s="40" t="s">
        <v>77</v>
      </c>
      <c r="B27" s="40" t="s">
        <v>1095</v>
      </c>
      <c r="C27" s="14">
        <f t="shared" si="4"/>
        <v>27.99</v>
      </c>
      <c r="D27" s="15">
        <v>4</v>
      </c>
      <c r="E27" s="15">
        <v>0</v>
      </c>
      <c r="F27" s="16">
        <v>111.96</v>
      </c>
      <c r="G27" s="16">
        <v>-0.05</v>
      </c>
      <c r="H27" s="29">
        <f t="shared" si="1"/>
        <v>4.4658806716684537E-4</v>
      </c>
      <c r="I27" s="29">
        <f t="shared" si="2"/>
        <v>0.27969982630160134</v>
      </c>
      <c r="J27" s="30">
        <f t="shared" si="5"/>
        <v>31.315192552727282</v>
      </c>
      <c r="K27" s="30">
        <f t="shared" si="3"/>
        <v>7.8287981381818206</v>
      </c>
      <c r="L27" s="15">
        <v>23</v>
      </c>
      <c r="M27" s="31">
        <f t="shared" si="6"/>
        <v>0.17391304347826086</v>
      </c>
      <c r="N27" s="15">
        <v>0</v>
      </c>
      <c r="O27" s="32">
        <f t="shared" ref="O27:P27" si="35">D27/7</f>
        <v>0.5714285714285714</v>
      </c>
      <c r="P27" s="32">
        <f t="shared" si="35"/>
        <v>0</v>
      </c>
      <c r="Q27" s="27">
        <f t="shared" si="8"/>
        <v>0</v>
      </c>
      <c r="R27" s="27"/>
      <c r="S27" s="41">
        <v>4.0629921259842519</v>
      </c>
      <c r="T27" s="26">
        <v>432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0.45766933333333337</v>
      </c>
      <c r="AD27" s="37">
        <f t="shared" si="12"/>
        <v>-2.5263347199999999</v>
      </c>
      <c r="AE27" s="42">
        <v>-7.18</v>
      </c>
      <c r="AF27" s="42">
        <v>-8.1386181818181793</v>
      </c>
      <c r="AG27" s="42">
        <v>0</v>
      </c>
    </row>
    <row r="28" spans="1:33" ht="15.75" customHeight="1" x14ac:dyDescent="0.2">
      <c r="A28" s="40" t="s">
        <v>79</v>
      </c>
      <c r="B28" s="40" t="s">
        <v>1096</v>
      </c>
      <c r="C28" s="14">
        <f t="shared" si="4"/>
        <v>28.318333333333332</v>
      </c>
      <c r="D28" s="15">
        <v>12</v>
      </c>
      <c r="E28" s="15">
        <v>0</v>
      </c>
      <c r="F28" s="16">
        <v>339.82</v>
      </c>
      <c r="G28" s="16">
        <v>-0.08</v>
      </c>
      <c r="H28" s="29">
        <f t="shared" si="1"/>
        <v>2.3541875110352539E-4</v>
      </c>
      <c r="I28" s="29">
        <f t="shared" si="2"/>
        <v>0.2865180909251423</v>
      </c>
      <c r="J28" s="30">
        <f t="shared" si="5"/>
        <v>97.364577658181858</v>
      </c>
      <c r="K28" s="30">
        <f t="shared" si="3"/>
        <v>8.1137148048484882</v>
      </c>
      <c r="L28" s="15">
        <v>37</v>
      </c>
      <c r="M28" s="31">
        <f t="shared" si="6"/>
        <v>0.32432432432432434</v>
      </c>
      <c r="N28" s="15">
        <v>282</v>
      </c>
      <c r="O28" s="32">
        <f t="shared" ref="O28:P28" si="36">D28/7</f>
        <v>1.7142857142857142</v>
      </c>
      <c r="P28" s="32">
        <f t="shared" si="36"/>
        <v>0</v>
      </c>
      <c r="Q28" s="27">
        <f t="shared" si="8"/>
        <v>164</v>
      </c>
      <c r="R28" s="27"/>
      <c r="S28" s="41">
        <v>1.32994923857868</v>
      </c>
      <c r="T28" s="40" t="s">
        <v>34</v>
      </c>
      <c r="U28" s="22" t="s">
        <v>34</v>
      </c>
      <c r="V28" s="1" t="s">
        <v>1097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0.45766933333333337</v>
      </c>
      <c r="AD28" s="37">
        <f t="shared" si="12"/>
        <v>-7.5790041600000002</v>
      </c>
      <c r="AE28" s="42">
        <v>-7.18</v>
      </c>
      <c r="AF28" s="42">
        <v>-8.1386181818181793</v>
      </c>
      <c r="AG28" s="42">
        <v>0</v>
      </c>
    </row>
    <row r="29" spans="1:33" ht="15.75" customHeight="1" x14ac:dyDescent="0.2">
      <c r="A29" s="26" t="s">
        <v>82</v>
      </c>
      <c r="B29" s="26" t="s">
        <v>263</v>
      </c>
      <c r="C29" s="14">
        <f t="shared" si="4"/>
        <v>27.129166666666666</v>
      </c>
      <c r="D29" s="27">
        <v>12</v>
      </c>
      <c r="E29" s="27">
        <v>1</v>
      </c>
      <c r="F29" s="30">
        <v>325.55</v>
      </c>
      <c r="G29" s="30">
        <v>0</v>
      </c>
      <c r="H29" s="29">
        <f t="shared" si="1"/>
        <v>0</v>
      </c>
      <c r="I29" s="29">
        <f t="shared" si="2"/>
        <v>0.2620644375923265</v>
      </c>
      <c r="J29" s="30">
        <f t="shared" si="5"/>
        <v>85.315077658181892</v>
      </c>
      <c r="K29" s="30">
        <f t="shared" si="3"/>
        <v>7.1095898048484907</v>
      </c>
      <c r="L29" s="27">
        <v>48</v>
      </c>
      <c r="M29" s="31">
        <f t="shared" si="6"/>
        <v>0.25</v>
      </c>
      <c r="N29" s="15">
        <v>271</v>
      </c>
      <c r="O29" s="32">
        <f t="shared" ref="O29:P29" si="37">D29/7</f>
        <v>1.7142857142857142</v>
      </c>
      <c r="P29" s="32">
        <f t="shared" si="37"/>
        <v>0.14285714285714285</v>
      </c>
      <c r="Q29" s="27">
        <f t="shared" si="8"/>
        <v>145</v>
      </c>
      <c r="R29" s="27"/>
      <c r="S29" s="41">
        <v>1.225806451612903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0.45766933333333337</v>
      </c>
      <c r="AD29" s="37">
        <f t="shared" si="12"/>
        <v>-7.5790041600000002</v>
      </c>
      <c r="AE29" s="37">
        <v>-7.18</v>
      </c>
      <c r="AF29" s="42">
        <v>-8.1386181818181793</v>
      </c>
      <c r="AG29" s="37">
        <v>0</v>
      </c>
    </row>
    <row r="30" spans="1:33" ht="15.75" customHeight="1" x14ac:dyDescent="0.2">
      <c r="A30" s="40" t="s">
        <v>84</v>
      </c>
      <c r="B30" s="40" t="s">
        <v>1098</v>
      </c>
      <c r="C30" s="14">
        <f t="shared" si="4"/>
        <v>26.141304347826086</v>
      </c>
      <c r="D30" s="15">
        <v>23</v>
      </c>
      <c r="E30" s="15">
        <v>2</v>
      </c>
      <c r="F30" s="16">
        <v>601.25</v>
      </c>
      <c r="G30" s="16">
        <v>-0.16</v>
      </c>
      <c r="H30" s="29">
        <f t="shared" si="1"/>
        <v>2.6611226611226611E-4</v>
      </c>
      <c r="I30" s="29">
        <f t="shared" si="2"/>
        <v>0.23368595816612903</v>
      </c>
      <c r="J30" s="30">
        <f t="shared" si="5"/>
        <v>140.50368234738508</v>
      </c>
      <c r="K30" s="30">
        <f t="shared" si="3"/>
        <v>6.108855754234134</v>
      </c>
      <c r="L30" s="15">
        <v>54</v>
      </c>
      <c r="M30" s="31">
        <f t="shared" si="6"/>
        <v>0.42592592592592593</v>
      </c>
      <c r="N30" s="15">
        <v>221</v>
      </c>
      <c r="O30" s="32">
        <f t="shared" ref="O30:P30" si="38">D30/7</f>
        <v>3.2857142857142856</v>
      </c>
      <c r="P30" s="32">
        <f t="shared" si="38"/>
        <v>0.2857142857142857</v>
      </c>
      <c r="Q30" s="27">
        <f t="shared" si="8"/>
        <v>61</v>
      </c>
      <c r="R30" s="27"/>
      <c r="S30" s="41">
        <v>1.518763796909492</v>
      </c>
      <c r="T30" s="26">
        <v>432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0.45766933333333337</v>
      </c>
      <c r="AD30" s="37">
        <f t="shared" si="12"/>
        <v>-14.52642464</v>
      </c>
      <c r="AE30" s="42">
        <v>-7.18</v>
      </c>
      <c r="AF30" s="42">
        <v>-8.29271273967891</v>
      </c>
      <c r="AG30" s="42">
        <v>0</v>
      </c>
    </row>
    <row r="31" spans="1:33" ht="15.75" customHeight="1" x14ac:dyDescent="0.2">
      <c r="A31" s="40" t="s">
        <v>87</v>
      </c>
      <c r="B31" s="40" t="s">
        <v>929</v>
      </c>
      <c r="C31" s="14">
        <f t="shared" si="4"/>
        <v>25.162571428571429</v>
      </c>
      <c r="D31" s="15">
        <v>70</v>
      </c>
      <c r="E31" s="15">
        <v>2</v>
      </c>
      <c r="F31" s="16">
        <v>1761.38</v>
      </c>
      <c r="G31" s="43">
        <v>-0.05</v>
      </c>
      <c r="H31" s="29">
        <f t="shared" si="1"/>
        <v>2.8386833051357458E-5</v>
      </c>
      <c r="I31" s="29">
        <f t="shared" si="2"/>
        <v>0.20996164974194997</v>
      </c>
      <c r="J31" s="30">
        <f t="shared" si="5"/>
        <v>369.82225062247585</v>
      </c>
      <c r="K31" s="30">
        <f t="shared" si="3"/>
        <v>5.2831750088925125</v>
      </c>
      <c r="L31" s="15">
        <v>67</v>
      </c>
      <c r="M31" s="31">
        <f t="shared" si="6"/>
        <v>1.044776119402985</v>
      </c>
      <c r="N31" s="15">
        <v>180</v>
      </c>
      <c r="O31" s="32">
        <f t="shared" ref="O31:P31" si="39">D31/7</f>
        <v>10</v>
      </c>
      <c r="P31" s="32">
        <f t="shared" si="39"/>
        <v>0.2857142857142857</v>
      </c>
      <c r="Q31" s="27">
        <f t="shared" si="8"/>
        <v>17</v>
      </c>
      <c r="R31" s="27"/>
      <c r="S31" s="41">
        <v>1.48837209302325</v>
      </c>
      <c r="T31" s="40">
        <v>228</v>
      </c>
      <c r="U31" s="22" t="s">
        <v>34</v>
      </c>
      <c r="V31" s="1" t="s">
        <v>1097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0.45766933333333337</v>
      </c>
      <c r="AD31" s="37">
        <f t="shared" si="12"/>
        <v>-44.210857599999997</v>
      </c>
      <c r="AE31" s="45">
        <v>-7.18</v>
      </c>
      <c r="AF31" s="45">
        <v>-8.2927127396789171</v>
      </c>
      <c r="AG31" s="42">
        <v>0</v>
      </c>
    </row>
    <row r="32" spans="1:33" ht="15.75" customHeight="1" x14ac:dyDescent="0.2">
      <c r="A32" s="40" t="s">
        <v>90</v>
      </c>
      <c r="B32" s="50" t="s">
        <v>1099</v>
      </c>
      <c r="C32" s="14">
        <f t="shared" si="4"/>
        <v>28.136315789473681</v>
      </c>
      <c r="D32" s="15">
        <v>19</v>
      </c>
      <c r="E32" s="15">
        <v>4</v>
      </c>
      <c r="F32" s="16">
        <v>534.58999999999992</v>
      </c>
      <c r="G32" s="16">
        <v>-0.08</v>
      </c>
      <c r="H32" s="29">
        <f t="shared" si="1"/>
        <v>1.4964739332946748E-4</v>
      </c>
      <c r="I32" s="29">
        <f t="shared" si="2"/>
        <v>0.27748343221178978</v>
      </c>
      <c r="J32" s="30">
        <f t="shared" si="5"/>
        <v>148.33986802610067</v>
      </c>
      <c r="K32" s="30">
        <f t="shared" si="3"/>
        <v>7.8073614750579301</v>
      </c>
      <c r="L32" s="15">
        <v>64</v>
      </c>
      <c r="M32" s="31">
        <f t="shared" si="6"/>
        <v>0.296875</v>
      </c>
      <c r="N32" s="15">
        <v>134</v>
      </c>
      <c r="O32" s="32">
        <f t="shared" ref="O32:P32" si="40">D32/7</f>
        <v>2.7142857142857144</v>
      </c>
      <c r="P32" s="32">
        <f t="shared" si="40"/>
        <v>0.5714285714285714</v>
      </c>
      <c r="Q32" s="27">
        <f t="shared" si="8"/>
        <v>40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1.4464944649446489</v>
      </c>
      <c r="T32" s="40">
        <f ca="1">IFERROR(__xludf.DUMMYFUNCTION("IFERROR(VLOOKUP($B$2,IMPORTRANGE(""https://docs.google.com/spreadsheets/d/1KiWZV1ko8G7lnRucBRBd29jj3Be6ltMfljMDqzOkQmI/edit#gid=1381463014"",""Lookup!A:D""),4,FALSE),"""")"),228)</f>
        <v>228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228 At Factory 50-75 days from Earliest Arrival")</f>
        <v>No Transit, But 228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0.45766933333333337</v>
      </c>
      <c r="AD32" s="37">
        <f t="shared" si="12"/>
        <v>-12.000089919999999</v>
      </c>
      <c r="AE32" s="42">
        <v>-7.18</v>
      </c>
      <c r="AF32" s="42">
        <v>-8.29271273967891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0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Info!B1:BJ5000""),3,FALSE),"""")"),"Under Desk CPU Holders - PC Wall Mounts for Desktop Computer Towers")</f>
        <v>Under Desk CPU Holders - PC Wall Mounts for Desktop Computer Towers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Info!B1:BJ5000""),2,FALSE),"""")"),"B084KW761C")</f>
        <v>B084KW761C</v>
      </c>
      <c r="B2" s="3" t="s">
        <v>1100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27.471708823529294</v>
      </c>
      <c r="D3" s="5">
        <f>SUM(D4:D99767)</f>
        <v>166</v>
      </c>
      <c r="E3" s="5"/>
      <c r="F3" s="6">
        <f t="shared" ref="F3:G3" si="0">SUM(F4:F99767)</f>
        <v>6952.7099999999991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0.28340749993991476</v>
      </c>
      <c r="J3" s="6">
        <f>SUM(J4:J99767)</f>
        <v>1970.4501589072447</v>
      </c>
      <c r="K3" s="6">
        <f t="shared" ref="K3:K32" si="3">J3/D3</f>
        <v>11.870181680164125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Sheet!a1:g5000""),2,FALSE),"""")"),"3.0 - March
3.0 - April
3.0 - May
3.0 - June
3.0 - July
3.0 - Aug
3.0 - Sept
3.0 - Oct
3.0 - Nov
3.0 - Dec
3.0 - Jan
3.0 - Feb")</f>
        <v>3.0 - March
3.0 - April
3.0 - May
3.0 - June
3.0 - July
3.0 - Aug
3.0 - Sept
3.0 - Oct
3.0 - Nov
3.0 - Dec
3.0 - Jan
3.0 -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-60.15343609276168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Info!B2:BZ3000""),37,FALSE)),"""")*-1"),-12.4109524999999)</f>
        <v>-12.410952499999899</v>
      </c>
      <c r="AG3" s="6">
        <f>SUM(AG4:AG99767)</f>
        <v>0</v>
      </c>
    </row>
    <row r="4" spans="1:33" x14ac:dyDescent="0.2">
      <c r="A4" s="1" t="s">
        <v>32</v>
      </c>
      <c r="B4" s="2" t="s">
        <v>1101</v>
      </c>
      <c r="C4" s="14">
        <f t="shared" ref="C4:C32" si="4">IFERROR(F4/D4," - ")</f>
        <v>40.322758620689662</v>
      </c>
      <c r="D4" s="15">
        <v>29</v>
      </c>
      <c r="E4" s="15">
        <v>0</v>
      </c>
      <c r="F4" s="16">
        <v>1169.3600000000001</v>
      </c>
      <c r="G4" s="16">
        <v>0</v>
      </c>
      <c r="H4" s="17">
        <f t="shared" si="1"/>
        <v>0</v>
      </c>
      <c r="I4" s="17">
        <f t="shared" si="2"/>
        <v>0.20943916189016124</v>
      </c>
      <c r="J4" s="16">
        <f t="shared" ref="J4:J32" si="5">F4*0.85+G4+AF4*D4+D4*AE4+AG4+AD4</f>
        <v>244.90977834787896</v>
      </c>
      <c r="K4" s="16">
        <f t="shared" si="3"/>
        <v>8.4451647706165165</v>
      </c>
      <c r="L4" s="15">
        <v>115</v>
      </c>
      <c r="M4" s="18">
        <f t="shared" ref="M4:M32" si="6">IFERROR(D4/L4,"-")</f>
        <v>0.25217391304347825</v>
      </c>
      <c r="N4" s="15">
        <v>75</v>
      </c>
      <c r="O4" s="19">
        <f t="shared" ref="O4:P4" si="7">D4/7</f>
        <v>4.1428571428571432</v>
      </c>
      <c r="P4" s="19">
        <f t="shared" si="7"/>
        <v>0</v>
      </c>
      <c r="Q4" s="15">
        <f t="shared" ref="Q4:Q32" si="8">ROUNDDOWN(N4/(O4+P4),0)</f>
        <v>18</v>
      </c>
      <c r="R4" s="15"/>
      <c r="S4" s="20">
        <v>1.73099415204678</v>
      </c>
      <c r="T4" s="2">
        <v>904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1.0669048888888888</v>
      </c>
      <c r="AD4" s="24">
        <f t="shared" ref="AD4:AD32" si="12">IFERROR(AB4*AC4*D4*2,0)</f>
        <v>-29.702632106666659</v>
      </c>
      <c r="AE4" s="24">
        <v>-13.2</v>
      </c>
      <c r="AF4" s="24">
        <v>-11.604951363636363</v>
      </c>
      <c r="AG4" s="24">
        <v>0</v>
      </c>
    </row>
    <row r="5" spans="1:33" ht="15.75" customHeight="1" x14ac:dyDescent="0.2">
      <c r="A5" s="26" t="s">
        <v>35</v>
      </c>
      <c r="B5" s="26" t="s">
        <v>1102</v>
      </c>
      <c r="C5" s="14">
        <f t="shared" si="4"/>
        <v>41.904117647058818</v>
      </c>
      <c r="D5" s="27">
        <v>17</v>
      </c>
      <c r="E5" s="27">
        <v>0</v>
      </c>
      <c r="F5" s="28">
        <v>712.36999999999989</v>
      </c>
      <c r="G5" s="28">
        <v>0</v>
      </c>
      <c r="H5" s="29">
        <f t="shared" si="1"/>
        <v>0</v>
      </c>
      <c r="I5" s="29">
        <f t="shared" si="2"/>
        <v>0.23304339434856428</v>
      </c>
      <c r="J5" s="30">
        <f t="shared" si="5"/>
        <v>166.01312283208671</v>
      </c>
      <c r="K5" s="30">
        <f t="shared" si="3"/>
        <v>9.7654778136521596</v>
      </c>
      <c r="L5" s="27">
        <v>184</v>
      </c>
      <c r="M5" s="31">
        <f t="shared" si="6"/>
        <v>9.2391304347826081E-2</v>
      </c>
      <c r="N5" s="27">
        <v>47</v>
      </c>
      <c r="O5" s="32">
        <f t="shared" ref="O5:P5" si="13">D5/7</f>
        <v>2.4285714285714284</v>
      </c>
      <c r="P5" s="32">
        <f t="shared" si="13"/>
        <v>0</v>
      </c>
      <c r="Q5" s="27">
        <f t="shared" si="8"/>
        <v>19</v>
      </c>
      <c r="R5" s="27"/>
      <c r="S5" s="33">
        <v>2.7474747474747399</v>
      </c>
      <c r="T5" s="26">
        <v>904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1.0917404403244495</v>
      </c>
      <c r="AD5" s="37">
        <f t="shared" si="12"/>
        <v>-17.817203986095016</v>
      </c>
      <c r="AE5" s="37">
        <v>-13.2</v>
      </c>
      <c r="AF5" s="37">
        <v>-11.604951363636363</v>
      </c>
      <c r="AG5" s="37">
        <v>0</v>
      </c>
    </row>
    <row r="6" spans="1:33" ht="15.75" customHeight="1" x14ac:dyDescent="0.2">
      <c r="A6" s="26" t="s">
        <v>38</v>
      </c>
      <c r="B6" s="26" t="s">
        <v>1103</v>
      </c>
      <c r="C6" s="14">
        <f t="shared" si="4"/>
        <v>44.123333333333342</v>
      </c>
      <c r="D6" s="27">
        <v>15</v>
      </c>
      <c r="E6" s="27">
        <v>0</v>
      </c>
      <c r="F6" s="28">
        <v>661.85000000000014</v>
      </c>
      <c r="G6" s="28">
        <v>0</v>
      </c>
      <c r="H6" s="29">
        <f t="shared" si="1"/>
        <v>0</v>
      </c>
      <c r="I6" s="29">
        <f t="shared" si="2"/>
        <v>0.34572641768596302</v>
      </c>
      <c r="J6" s="30">
        <f t="shared" si="5"/>
        <v>228.81902954545467</v>
      </c>
      <c r="K6" s="30">
        <f t="shared" si="3"/>
        <v>15.254601969696978</v>
      </c>
      <c r="L6" s="27">
        <v>132</v>
      </c>
      <c r="M6" s="31">
        <f t="shared" si="6"/>
        <v>0.11363636363636363</v>
      </c>
      <c r="N6" s="27">
        <v>33</v>
      </c>
      <c r="O6" s="32">
        <f t="shared" ref="O6:P6" si="14">D6/7</f>
        <v>2.1428571428571428</v>
      </c>
      <c r="P6" s="32">
        <f t="shared" si="14"/>
        <v>0</v>
      </c>
      <c r="Q6" s="27">
        <f t="shared" si="8"/>
        <v>15</v>
      </c>
      <c r="R6" s="27"/>
      <c r="S6" s="33">
        <v>1.46175637393767</v>
      </c>
      <c r="T6" s="26">
        <v>400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0.10966666666666668</v>
      </c>
      <c r="AD6" s="37">
        <f t="shared" si="12"/>
        <v>-1.5791999999999999</v>
      </c>
      <c r="AE6" s="37">
        <v>-10.54</v>
      </c>
      <c r="AF6" s="37">
        <v>-11.604951363636363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44.944761904761904</v>
      </c>
      <c r="D7" s="27">
        <v>21</v>
      </c>
      <c r="E7" s="27">
        <v>0</v>
      </c>
      <c r="F7" s="28">
        <v>943.84</v>
      </c>
      <c r="G7" s="28">
        <v>0</v>
      </c>
      <c r="H7" s="29">
        <f t="shared" si="1"/>
        <v>0</v>
      </c>
      <c r="I7" s="29">
        <f t="shared" si="2"/>
        <v>0.35494272478771444</v>
      </c>
      <c r="J7" s="30">
        <f t="shared" si="5"/>
        <v>335.00914136363639</v>
      </c>
      <c r="K7" s="30">
        <f t="shared" si="3"/>
        <v>15.952816255411257</v>
      </c>
      <c r="L7" s="27">
        <v>106</v>
      </c>
      <c r="M7" s="31">
        <f t="shared" si="6"/>
        <v>0.19811320754716982</v>
      </c>
      <c r="N7" s="27">
        <v>2</v>
      </c>
      <c r="O7" s="32">
        <f t="shared" ref="O7:P7" si="15">D7/7</f>
        <v>3</v>
      </c>
      <c r="P7" s="32">
        <f t="shared" si="15"/>
        <v>0</v>
      </c>
      <c r="Q7" s="27">
        <f t="shared" si="8"/>
        <v>0</v>
      </c>
      <c r="R7" s="27"/>
      <c r="S7" s="33">
        <v>1.8953846153846099</v>
      </c>
      <c r="T7" s="26">
        <v>800</v>
      </c>
      <c r="U7" s="34">
        <v>400</v>
      </c>
      <c r="V7" s="49" t="s">
        <v>1104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0.10966666666666668</v>
      </c>
      <c r="AD7" s="37">
        <f t="shared" si="12"/>
        <v>-2.21088</v>
      </c>
      <c r="AE7" s="37">
        <v>-10.54</v>
      </c>
      <c r="AF7" s="37">
        <v>-11.604951363636363</v>
      </c>
      <c r="AG7" s="37">
        <v>0</v>
      </c>
    </row>
    <row r="8" spans="1:33" ht="15.75" customHeight="1" x14ac:dyDescent="0.2">
      <c r="A8" s="26" t="s">
        <v>43</v>
      </c>
      <c r="B8" s="26"/>
      <c r="C8" s="14">
        <f t="shared" si="4"/>
        <v>44.99</v>
      </c>
      <c r="D8" s="27">
        <v>4</v>
      </c>
      <c r="E8" s="27">
        <v>0</v>
      </c>
      <c r="F8" s="28">
        <v>179.96</v>
      </c>
      <c r="G8" s="28">
        <v>0</v>
      </c>
      <c r="H8" s="29">
        <f t="shared" si="1"/>
        <v>0</v>
      </c>
      <c r="I8" s="29">
        <f t="shared" si="2"/>
        <v>0.35555056679262059</v>
      </c>
      <c r="J8" s="30">
        <f t="shared" si="5"/>
        <v>63.984880000000004</v>
      </c>
      <c r="K8" s="30">
        <f t="shared" si="3"/>
        <v>15.996220000000001</v>
      </c>
      <c r="L8" s="27">
        <v>13</v>
      </c>
      <c r="M8" s="31">
        <f t="shared" si="6"/>
        <v>0.30769230769230771</v>
      </c>
      <c r="N8" s="27">
        <v>3</v>
      </c>
      <c r="O8" s="32">
        <f t="shared" ref="O8:P8" si="16">D8/7</f>
        <v>0.5714285714285714</v>
      </c>
      <c r="P8" s="32">
        <f t="shared" si="16"/>
        <v>0</v>
      </c>
      <c r="Q8" s="27">
        <f t="shared" si="8"/>
        <v>5</v>
      </c>
      <c r="R8" s="27"/>
      <c r="S8" s="33" t="e">
        <v>#N/A</v>
      </c>
      <c r="T8" s="26">
        <v>904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0.10966666666666668</v>
      </c>
      <c r="AD8" s="37">
        <f t="shared" si="12"/>
        <v>-0.42111999999999999</v>
      </c>
      <c r="AE8" s="37">
        <v>-10.54</v>
      </c>
      <c r="AF8" s="37">
        <v>-11.6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904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-11.7992695454545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904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-11.7992695454545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904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-11.7992695454545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904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-11.7992695454545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904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-11.9015422727272</v>
      </c>
      <c r="AG13" s="37">
        <v>0</v>
      </c>
    </row>
    <row r="14" spans="1:33" ht="15.75" customHeight="1" x14ac:dyDescent="0.2">
      <c r="A14" s="26" t="s">
        <v>56</v>
      </c>
      <c r="B14" s="26" t="s">
        <v>76</v>
      </c>
      <c r="C14" s="14">
        <f t="shared" si="4"/>
        <v>44.99</v>
      </c>
      <c r="D14" s="27">
        <v>1</v>
      </c>
      <c r="E14" s="27">
        <v>0</v>
      </c>
      <c r="F14" s="30">
        <v>44.99</v>
      </c>
      <c r="G14" s="28">
        <v>0</v>
      </c>
      <c r="H14" s="29">
        <f t="shared" si="1"/>
        <v>0</v>
      </c>
      <c r="I14" s="29">
        <f t="shared" si="2"/>
        <v>0.34884813797005565</v>
      </c>
      <c r="J14" s="30">
        <f t="shared" si="5"/>
        <v>15.694677727272804</v>
      </c>
      <c r="K14" s="30">
        <f t="shared" si="3"/>
        <v>15.694677727272804</v>
      </c>
      <c r="L14" s="27">
        <v>7</v>
      </c>
      <c r="M14" s="31">
        <f t="shared" si="6"/>
        <v>0.14285714285714285</v>
      </c>
      <c r="N14" s="27">
        <v>1</v>
      </c>
      <c r="O14" s="32">
        <f t="shared" ref="O14:P14" si="22">D14/7</f>
        <v>0.14285714285714285</v>
      </c>
      <c r="P14" s="32">
        <f t="shared" si="22"/>
        <v>0</v>
      </c>
      <c r="Q14" s="27">
        <f t="shared" si="8"/>
        <v>7</v>
      </c>
      <c r="R14" s="27"/>
      <c r="S14" s="33" t="e">
        <v>#N/A</v>
      </c>
      <c r="T14" s="26">
        <v>904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0.10966666666666668</v>
      </c>
      <c r="AD14" s="37">
        <f t="shared" si="12"/>
        <v>-0.10528</v>
      </c>
      <c r="AE14" s="37">
        <v>-10.54</v>
      </c>
      <c r="AF14" s="37">
        <v>-11.9015422727272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904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0.10966666666666668</v>
      </c>
      <c r="AD15" s="37">
        <f t="shared" si="12"/>
        <v>0</v>
      </c>
      <c r="AE15" s="37">
        <v>-10.54</v>
      </c>
      <c r="AF15" s="37">
        <v>-11.9015422727272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904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0.10966666666666668</v>
      </c>
      <c r="AD16" s="37">
        <f t="shared" si="12"/>
        <v>0</v>
      </c>
      <c r="AE16" s="37">
        <v>-10.54</v>
      </c>
      <c r="AF16" s="37">
        <v>-11.9015422727272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904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0.10966666666666668</v>
      </c>
      <c r="AD17" s="37">
        <f t="shared" si="12"/>
        <v>0</v>
      </c>
      <c r="AE17" s="37">
        <v>-10.54</v>
      </c>
      <c r="AF17" s="37">
        <v>-11.9015422727272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904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0.10966666666666668</v>
      </c>
      <c r="AD18" s="37">
        <f t="shared" si="12"/>
        <v>0</v>
      </c>
      <c r="AE18" s="37">
        <v>-10.54</v>
      </c>
      <c r="AF18" s="37">
        <v>-11.9015422727272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904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0.10966666666666668</v>
      </c>
      <c r="AD19" s="37">
        <f t="shared" si="12"/>
        <v>0</v>
      </c>
      <c r="AE19" s="37">
        <v>-10.54</v>
      </c>
      <c r="AF19" s="37">
        <v>-11.901542272727271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1304</v>
      </c>
      <c r="U20" s="34">
        <v>400</v>
      </c>
      <c r="V20" s="35" t="s">
        <v>1105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0.10966666666666668</v>
      </c>
      <c r="AD20" s="37">
        <f t="shared" si="12"/>
        <v>0</v>
      </c>
      <c r="AE20" s="37">
        <v>-10.54</v>
      </c>
      <c r="AF20" s="37">
        <v>-11.901542272727271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0.10966666666666668</v>
      </c>
      <c r="AD21" s="37">
        <f t="shared" si="12"/>
        <v>0</v>
      </c>
      <c r="AE21" s="37">
        <v>-10.54</v>
      </c>
      <c r="AF21" s="37">
        <v>-11.901542272727271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0.10966666666666668</v>
      </c>
      <c r="AD22" s="37">
        <f t="shared" si="12"/>
        <v>0</v>
      </c>
      <c r="AE22" s="37">
        <v>-10.54</v>
      </c>
      <c r="AF22" s="37">
        <v>-11.901542272727271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1160</v>
      </c>
      <c r="U23" s="34" t="s">
        <v>34</v>
      </c>
      <c r="V23" s="35" t="s">
        <v>1106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0.10966666666666668</v>
      </c>
      <c r="AD23" s="37">
        <f t="shared" si="12"/>
        <v>0</v>
      </c>
      <c r="AE23" s="37">
        <v>-10.54</v>
      </c>
      <c r="AF23" s="37">
        <v>-11.901542272727271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1160</v>
      </c>
      <c r="U24" s="34" t="s">
        <v>34</v>
      </c>
      <c r="V24" s="35" t="s">
        <v>1106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0.10966666666666668</v>
      </c>
      <c r="AD24" s="37">
        <f t="shared" si="12"/>
        <v>0</v>
      </c>
      <c r="AE24" s="37">
        <v>-10.54</v>
      </c>
      <c r="AF24" s="37">
        <v>-11.901542272727271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1160</v>
      </c>
      <c r="U25" s="34">
        <v>256</v>
      </c>
      <c r="V25" s="35" t="s">
        <v>1107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0.10966666666666668</v>
      </c>
      <c r="AD25" s="37">
        <f t="shared" si="12"/>
        <v>0</v>
      </c>
      <c r="AE25" s="42">
        <v>-10.54</v>
      </c>
      <c r="AF25" s="42">
        <v>-11.9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1160</v>
      </c>
      <c r="U26" s="34">
        <v>256</v>
      </c>
      <c r="V26" s="35" t="s">
        <v>1108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0.10966666666666668</v>
      </c>
      <c r="AD26" s="37">
        <f t="shared" si="12"/>
        <v>0</v>
      </c>
      <c r="AE26" s="42">
        <v>-10.54</v>
      </c>
      <c r="AF26" s="42">
        <v>-11.9015422727272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904</v>
      </c>
      <c r="U27" s="34">
        <v>256</v>
      </c>
      <c r="V27" s="35" t="s">
        <v>1109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0.10966666666666668</v>
      </c>
      <c r="AD27" s="37">
        <f t="shared" si="12"/>
        <v>0</v>
      </c>
      <c r="AE27" s="42">
        <v>-10.54</v>
      </c>
      <c r="AF27" s="42">
        <v>-11.9015422727272</v>
      </c>
      <c r="AG27" s="42">
        <v>0</v>
      </c>
    </row>
    <row r="28" spans="1:33" ht="15.75" customHeight="1" x14ac:dyDescent="0.2">
      <c r="A28" s="40" t="s">
        <v>79</v>
      </c>
      <c r="B28" s="40" t="s">
        <v>1110</v>
      </c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256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2.8571428571428571E-2</v>
      </c>
      <c r="T28" s="40" t="s">
        <v>34</v>
      </c>
      <c r="U28" s="22">
        <v>256</v>
      </c>
      <c r="V28" s="1" t="s">
        <v>1111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0.10966666666666668</v>
      </c>
      <c r="AD28" s="37">
        <f t="shared" si="12"/>
        <v>0</v>
      </c>
      <c r="AE28" s="42">
        <v>-10.94</v>
      </c>
      <c r="AF28" s="42">
        <v>-11.9015422727272</v>
      </c>
      <c r="AG28" s="42">
        <v>0</v>
      </c>
    </row>
    <row r="29" spans="1:33" ht="15.75" customHeight="1" x14ac:dyDescent="0.2">
      <c r="A29" s="26" t="s">
        <v>82</v>
      </c>
      <c r="B29" s="26" t="s">
        <v>1112</v>
      </c>
      <c r="C29" s="14">
        <f t="shared" si="4"/>
        <v>41.633103448275861</v>
      </c>
      <c r="D29" s="27">
        <v>29</v>
      </c>
      <c r="E29" s="27">
        <v>0</v>
      </c>
      <c r="F29" s="30">
        <v>1207.3599999999999</v>
      </c>
      <c r="G29" s="30">
        <v>0</v>
      </c>
      <c r="H29" s="29">
        <f t="shared" si="1"/>
        <v>0</v>
      </c>
      <c r="I29" s="29">
        <f t="shared" si="2"/>
        <v>0.29883229036154185</v>
      </c>
      <c r="J29" s="30">
        <f t="shared" si="5"/>
        <v>360.79815409091117</v>
      </c>
      <c r="K29" s="30">
        <f t="shared" si="3"/>
        <v>12.441315658307282</v>
      </c>
      <c r="L29" s="27">
        <v>65</v>
      </c>
      <c r="M29" s="31">
        <f t="shared" si="6"/>
        <v>0.44615384615384618</v>
      </c>
      <c r="N29" s="15">
        <v>240</v>
      </c>
      <c r="O29" s="32">
        <f t="shared" ref="O29:P29" si="37">D29/7</f>
        <v>4.1428571428571432</v>
      </c>
      <c r="P29" s="32">
        <f t="shared" si="37"/>
        <v>0</v>
      </c>
      <c r="Q29" s="27">
        <f t="shared" si="8"/>
        <v>57</v>
      </c>
      <c r="R29" s="27"/>
      <c r="S29" s="41">
        <v>0.31698113207547168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0.10966666666666668</v>
      </c>
      <c r="AD29" s="37">
        <f t="shared" si="12"/>
        <v>-3.0531199999999998</v>
      </c>
      <c r="AE29" s="37">
        <v>-10.94</v>
      </c>
      <c r="AF29" s="42">
        <v>-11.9015422727272</v>
      </c>
      <c r="AG29" s="37">
        <v>0</v>
      </c>
    </row>
    <row r="30" spans="1:33" ht="15.75" customHeight="1" x14ac:dyDescent="0.2">
      <c r="A30" s="40" t="s">
        <v>84</v>
      </c>
      <c r="B30" s="40" t="s">
        <v>1113</v>
      </c>
      <c r="C30" s="14">
        <f t="shared" si="4"/>
        <v>40.022727272727273</v>
      </c>
      <c r="D30" s="15">
        <v>22</v>
      </c>
      <c r="E30" s="15">
        <v>0</v>
      </c>
      <c r="F30" s="16">
        <v>880.5</v>
      </c>
      <c r="G30" s="16">
        <v>0</v>
      </c>
      <c r="H30" s="29">
        <f t="shared" si="1"/>
        <v>0</v>
      </c>
      <c r="I30" s="29">
        <f t="shared" si="2"/>
        <v>0.26392718341851473</v>
      </c>
      <c r="J30" s="30">
        <f t="shared" si="5"/>
        <v>232.3878850000022</v>
      </c>
      <c r="K30" s="30">
        <f t="shared" si="3"/>
        <v>10.563085681818281</v>
      </c>
      <c r="L30" s="15">
        <v>82</v>
      </c>
      <c r="M30" s="31">
        <f t="shared" si="6"/>
        <v>0.26829268292682928</v>
      </c>
      <c r="N30" s="15">
        <v>122</v>
      </c>
      <c r="O30" s="32">
        <f t="shared" ref="O30:P30" si="38">D30/7</f>
        <v>3.1428571428571428</v>
      </c>
      <c r="P30" s="32">
        <f t="shared" si="38"/>
        <v>0</v>
      </c>
      <c r="Q30" s="27">
        <f t="shared" si="8"/>
        <v>38</v>
      </c>
      <c r="R30" s="27"/>
      <c r="S30" s="41">
        <v>0.57599999999999996</v>
      </c>
      <c r="T30" s="26">
        <v>648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0.10966666666666668</v>
      </c>
      <c r="AD30" s="37">
        <f t="shared" si="12"/>
        <v>-2.31616</v>
      </c>
      <c r="AE30" s="42">
        <v>-10.94</v>
      </c>
      <c r="AF30" s="42">
        <v>-12.410952499999899</v>
      </c>
      <c r="AG30" s="42">
        <v>0</v>
      </c>
    </row>
    <row r="31" spans="1:33" ht="15.75" customHeight="1" x14ac:dyDescent="0.2">
      <c r="A31" s="40" t="s">
        <v>87</v>
      </c>
      <c r="B31" s="40" t="s">
        <v>393</v>
      </c>
      <c r="C31" s="14">
        <f t="shared" si="4"/>
        <v>40.799090909090914</v>
      </c>
      <c r="D31" s="15">
        <v>11</v>
      </c>
      <c r="E31" s="15">
        <v>0</v>
      </c>
      <c r="F31" s="16">
        <v>448.79000000000008</v>
      </c>
      <c r="G31" s="43">
        <v>0</v>
      </c>
      <c r="H31" s="29">
        <f t="shared" si="1"/>
        <v>0</v>
      </c>
      <c r="I31" s="29">
        <f t="shared" si="2"/>
        <v>0.27507953051538592</v>
      </c>
      <c r="J31" s="30">
        <f t="shared" si="5"/>
        <v>123.45294250000006</v>
      </c>
      <c r="K31" s="30">
        <f t="shared" si="3"/>
        <v>11.222994772727278</v>
      </c>
      <c r="L31" s="15">
        <v>73</v>
      </c>
      <c r="M31" s="31">
        <f t="shared" si="6"/>
        <v>0.15068493150684931</v>
      </c>
      <c r="N31" s="15">
        <v>152</v>
      </c>
      <c r="O31" s="32">
        <f t="shared" ref="O31:P31" si="39">D31/7</f>
        <v>1.5714285714285714</v>
      </c>
      <c r="P31" s="32">
        <f t="shared" si="39"/>
        <v>0</v>
      </c>
      <c r="Q31" s="27">
        <f t="shared" si="8"/>
        <v>96</v>
      </c>
      <c r="R31" s="27"/>
      <c r="S31" s="41">
        <v>1.3975903614457801</v>
      </c>
      <c r="T31" s="40">
        <v>648</v>
      </c>
      <c r="U31" s="22" t="s">
        <v>34</v>
      </c>
      <c r="V31" s="1" t="s">
        <v>1114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0.10966666666666668</v>
      </c>
      <c r="AD31" s="37">
        <f t="shared" si="12"/>
        <v>-1.15808</v>
      </c>
      <c r="AE31" s="45">
        <v>-10.94</v>
      </c>
      <c r="AF31" s="45">
        <v>-12.410952499999999</v>
      </c>
      <c r="AG31" s="42">
        <v>0</v>
      </c>
    </row>
    <row r="32" spans="1:33" ht="15.75" customHeight="1" x14ac:dyDescent="0.2">
      <c r="A32" s="40" t="s">
        <v>90</v>
      </c>
      <c r="B32" s="50" t="s">
        <v>1115</v>
      </c>
      <c r="C32" s="14">
        <f t="shared" si="4"/>
        <v>41.39352941176471</v>
      </c>
      <c r="D32" s="15">
        <v>17</v>
      </c>
      <c r="E32" s="15">
        <v>0</v>
      </c>
      <c r="F32" s="16">
        <v>703.69</v>
      </c>
      <c r="G32" s="16">
        <v>0</v>
      </c>
      <c r="H32" s="29">
        <f t="shared" si="1"/>
        <v>0</v>
      </c>
      <c r="I32" s="29">
        <f t="shared" si="2"/>
        <v>0.28333576930182575</v>
      </c>
      <c r="J32" s="30">
        <f t="shared" si="5"/>
        <v>199.38054750000177</v>
      </c>
      <c r="K32" s="30">
        <f t="shared" si="3"/>
        <v>11.728267500000104</v>
      </c>
      <c r="L32" s="15">
        <v>77</v>
      </c>
      <c r="M32" s="31">
        <f t="shared" si="6"/>
        <v>0.22077922077922077</v>
      </c>
      <c r="N32" s="15">
        <v>147</v>
      </c>
      <c r="O32" s="32">
        <f t="shared" ref="O32:P32" si="40">D32/7</f>
        <v>2.4285714285714284</v>
      </c>
      <c r="P32" s="32">
        <f t="shared" si="40"/>
        <v>0</v>
      </c>
      <c r="Q32" s="27">
        <f t="shared" si="8"/>
        <v>60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0.71028037383177567</v>
      </c>
      <c r="T32" s="40">
        <f ca="1">IFERROR(__xludf.DUMMYFUNCTION("IFERROR(VLOOKUP($B$2,IMPORTRANGE(""https://docs.google.com/spreadsheets/d/1KiWZV1ko8G7lnRucBRBd29jj3Be6ltMfljMDqzOkQmI/edit#gid=1381463014"",""Lookup!A:D""),4,FALSE),"""")"),648)</f>
        <v>648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648 At Factory 50-75 days from Earliest Arrival")</f>
        <v>No Transit, But 648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0.10966666666666668</v>
      </c>
      <c r="AD32" s="37">
        <f t="shared" si="12"/>
        <v>-1.78976</v>
      </c>
      <c r="AE32" s="42">
        <v>-10.94</v>
      </c>
      <c r="AF32" s="42">
        <v>-12.410952499999899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6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Metal Flower Vase 3 Pack - 13"" Tall Rustic Farmhouse Bucket Planter Pots")</f>
        <v>Galvanized Metal Flower Vase 3 Pack - 13" Tall Rustic Farmhouse Bucket Planter Pots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Info!B1:BJ5000""),2,FALSE),"""")"),"B07SRH9LN4")</f>
        <v>B07SRH9LN4</v>
      </c>
      <c r="B2" s="3" t="s">
        <v>1116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28.983906420955886</v>
      </c>
      <c r="D3" s="5">
        <f>SUM(D4:D99767)</f>
        <v>248</v>
      </c>
      <c r="E3" s="5"/>
      <c r="F3" s="6">
        <f t="shared" ref="F3:G3" si="0">SUM(F4:F99767)</f>
        <v>8769.1</v>
      </c>
      <c r="G3" s="6">
        <f t="shared" si="0"/>
        <v>-11</v>
      </c>
      <c r="H3" s="7">
        <f t="shared" ref="H3:H32" si="1">G3/F3*-1</f>
        <v>1.2544046709468473E-3</v>
      </c>
      <c r="I3" s="8">
        <f t="shared" ref="I3:I32" si="2">J3/F3</f>
        <v>0.228904651344675</v>
      </c>
      <c r="J3" s="6">
        <f>SUM(J4:J99767)</f>
        <v>2007.2877781065897</v>
      </c>
      <c r="K3" s="6">
        <f t="shared" ref="K3:K32" si="3">J3/D3</f>
        <v>8.0939023310749594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Sheet!a1:g5000""),2,FALSE),"""")"),"4.0 - March
4.0 - April
4.0 - May
4.0 - June
4.0 - July
4.0 - Aug
4.0 - Sept
4.0 - Oct
4.0 - Nov
4.0 - Dec
4.0 - Jan
4.0 - Feb")</f>
        <v>4.0 - March
4.0 - April
4.0 - May
4.0 - June
4.0 - July
4.0 - Aug
4.0 - Sept
4.0 - Oct
4.0 - Nov
4.0 - Dec
4.0 - Jan
4.0 -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15</v>
      </c>
      <c r="X3" s="7">
        <f>W3/D3</f>
        <v>6.0483870967741937E-2</v>
      </c>
      <c r="Y3" s="6"/>
      <c r="Z3" s="5"/>
      <c r="AA3" s="5"/>
      <c r="AB3" s="5"/>
      <c r="AC3" s="5"/>
      <c r="AD3" s="6">
        <f>SUM(AD4:AD99767)</f>
        <v>-158.77780995833334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Info!B2:BZ3000""),37,FALSE)),"""")*-1"),-13.3163204578125)</f>
        <v>-13.3163204578125</v>
      </c>
      <c r="AG3" s="6">
        <f>SUM(AG4:AG99767)</f>
        <v>0</v>
      </c>
    </row>
    <row r="4" spans="1:33" ht="16" x14ac:dyDescent="0.2">
      <c r="A4" s="1" t="s">
        <v>32</v>
      </c>
      <c r="B4" s="2" t="s">
        <v>461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-0.30000000000000004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-0.30000000000000004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1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>
        <v>4.2736842105263104</v>
      </c>
      <c r="T4" s="2">
        <v>240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0.580125</v>
      </c>
      <c r="AD4" s="24">
        <f t="shared" ref="AD4:AD32" si="12">IFERROR(AB4*AC4*D4*2,0)</f>
        <v>0</v>
      </c>
      <c r="AE4" s="24">
        <v>-7.32</v>
      </c>
      <c r="AF4" s="24">
        <v>-11.32228934659091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 t="e">
        <v>#N/A</v>
      </c>
      <c r="T5" s="26">
        <v>240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-11.32228934659091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240</v>
      </c>
      <c r="U6" s="34">
        <v>204</v>
      </c>
      <c r="V6" s="49" t="s">
        <v>1117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-11.32228934659091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240</v>
      </c>
      <c r="U7" s="34">
        <v>204</v>
      </c>
      <c r="V7" s="49" t="s">
        <v>1117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-11.32228934659091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240</v>
      </c>
      <c r="U8" s="34">
        <v>204</v>
      </c>
      <c r="V8" s="35" t="s">
        <v>1118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-11.32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240</v>
      </c>
      <c r="U9" s="34">
        <v>204</v>
      </c>
      <c r="V9" s="35" t="s">
        <v>1119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-11.7885801136363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240</v>
      </c>
      <c r="U10" s="34">
        <v>204</v>
      </c>
      <c r="V10" s="35" t="s">
        <v>1119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-11.7885801136363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240</v>
      </c>
      <c r="U11" s="34">
        <v>204</v>
      </c>
      <c r="V11" s="35" t="s">
        <v>1120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-11.7885801136363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240</v>
      </c>
      <c r="U12" s="34">
        <v>204</v>
      </c>
      <c r="V12" s="35" t="s">
        <v>1121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-11.7885801136363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240</v>
      </c>
      <c r="U13" s="34">
        <v>204</v>
      </c>
      <c r="V13" s="35" t="s">
        <v>1122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-12.0339963068181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144</v>
      </c>
      <c r="U14" s="34">
        <v>36</v>
      </c>
      <c r="V14" s="35" t="s">
        <v>1123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-12.0339963068181</v>
      </c>
      <c r="AG14" s="37">
        <v>0</v>
      </c>
    </row>
    <row r="15" spans="1:33" ht="15.75" customHeight="1" x14ac:dyDescent="0.2">
      <c r="A15" s="26" t="s">
        <v>58</v>
      </c>
      <c r="B15" s="26" t="s">
        <v>1124</v>
      </c>
      <c r="C15" s="14">
        <f t="shared" si="4"/>
        <v>35.99</v>
      </c>
      <c r="D15" s="27">
        <v>1</v>
      </c>
      <c r="E15" s="27">
        <v>0</v>
      </c>
      <c r="F15" s="30">
        <v>35.99</v>
      </c>
      <c r="G15" s="28">
        <v>-0.38000000000000006</v>
      </c>
      <c r="H15" s="29">
        <f t="shared" si="1"/>
        <v>1.0558488469019174E-2</v>
      </c>
      <c r="I15" s="29">
        <f t="shared" si="2"/>
        <v>0.27943682114981666</v>
      </c>
      <c r="J15" s="30">
        <f t="shared" si="5"/>
        <v>10.056931193181901</v>
      </c>
      <c r="K15" s="30">
        <f t="shared" si="3"/>
        <v>10.056931193181901</v>
      </c>
      <c r="L15" s="27">
        <v>0</v>
      </c>
      <c r="M15" s="31" t="str">
        <f t="shared" si="6"/>
        <v>-</v>
      </c>
      <c r="N15" s="27">
        <v>207</v>
      </c>
      <c r="O15" s="32">
        <f t="shared" ref="O15:P15" si="23">D15/7</f>
        <v>0.14285714285714285</v>
      </c>
      <c r="P15" s="32">
        <f t="shared" si="23"/>
        <v>0</v>
      </c>
      <c r="Q15" s="27">
        <f t="shared" si="8"/>
        <v>1449</v>
      </c>
      <c r="R15" s="27"/>
      <c r="S15" s="33">
        <v>3.5874439461883401E-2</v>
      </c>
      <c r="T15" s="26">
        <v>144</v>
      </c>
      <c r="U15" s="34">
        <v>36</v>
      </c>
      <c r="V15" s="35" t="s">
        <v>1125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0.580125</v>
      </c>
      <c r="AD15" s="37">
        <f t="shared" si="12"/>
        <v>-0.80057249999999991</v>
      </c>
      <c r="AE15" s="37">
        <v>-7.32</v>
      </c>
      <c r="AF15" s="37">
        <v>-12.0339963068181</v>
      </c>
      <c r="AG15" s="37">
        <v>0</v>
      </c>
    </row>
    <row r="16" spans="1:33" ht="15.75" customHeight="1" x14ac:dyDescent="0.2">
      <c r="A16" s="26" t="s">
        <v>60</v>
      </c>
      <c r="B16" s="26" t="s">
        <v>1126</v>
      </c>
      <c r="C16" s="14">
        <f t="shared" si="4"/>
        <v>25.990000000000006</v>
      </c>
      <c r="D16" s="27">
        <v>33</v>
      </c>
      <c r="E16" s="27">
        <v>0</v>
      </c>
      <c r="F16" s="30">
        <v>857.67000000000019</v>
      </c>
      <c r="G16" s="28">
        <v>-1.6999999999999997</v>
      </c>
      <c r="H16" s="29">
        <f t="shared" si="1"/>
        <v>1.982114333018526E-3</v>
      </c>
      <c r="I16" s="29">
        <f t="shared" si="2"/>
        <v>7.2543903103761062E-2</v>
      </c>
      <c r="J16" s="30">
        <f t="shared" si="5"/>
        <v>62.218729375002766</v>
      </c>
      <c r="K16" s="30">
        <f t="shared" si="3"/>
        <v>1.8854160416667505</v>
      </c>
      <c r="L16" s="27">
        <v>77</v>
      </c>
      <c r="M16" s="31">
        <f t="shared" si="6"/>
        <v>0.42857142857142855</v>
      </c>
      <c r="N16" s="27">
        <v>180</v>
      </c>
      <c r="O16" s="32">
        <f t="shared" ref="O16:P16" si="24">D16/7</f>
        <v>4.7142857142857144</v>
      </c>
      <c r="P16" s="32">
        <f t="shared" si="24"/>
        <v>0</v>
      </c>
      <c r="Q16" s="27">
        <f t="shared" si="8"/>
        <v>38</v>
      </c>
      <c r="R16" s="27"/>
      <c r="S16" s="33">
        <v>0.512820512820512</v>
      </c>
      <c r="T16" s="26">
        <v>144</v>
      </c>
      <c r="U16" s="34">
        <v>36</v>
      </c>
      <c r="V16" s="35" t="s">
        <v>1127</v>
      </c>
      <c r="W16" s="26">
        <v>8</v>
      </c>
      <c r="X16" s="36">
        <f t="shared" si="9"/>
        <v>0.24242424242424243</v>
      </c>
      <c r="Y16" s="37">
        <f t="shared" si="10"/>
        <v>0.21249999999999997</v>
      </c>
      <c r="Z16" s="26">
        <v>0</v>
      </c>
      <c r="AA16" s="26" t="s">
        <v>37</v>
      </c>
      <c r="AB16" s="38">
        <f t="shared" si="11"/>
        <v>-0.69</v>
      </c>
      <c r="AC16" s="39">
        <v>0.580125</v>
      </c>
      <c r="AD16" s="37">
        <f t="shared" si="12"/>
        <v>-26.418892499999998</v>
      </c>
      <c r="AE16" s="37">
        <v>-7.32</v>
      </c>
      <c r="AF16" s="37">
        <v>-12.0339963068181</v>
      </c>
      <c r="AG16" s="37">
        <v>0</v>
      </c>
    </row>
    <row r="17" spans="1:33" ht="15.75" customHeight="1" x14ac:dyDescent="0.2">
      <c r="A17" s="26" t="s">
        <v>61</v>
      </c>
      <c r="B17" s="26" t="s">
        <v>1128</v>
      </c>
      <c r="C17" s="14">
        <f t="shared" si="4"/>
        <v>32.85307692307692</v>
      </c>
      <c r="D17" s="27">
        <v>39</v>
      </c>
      <c r="E17" s="27">
        <v>0</v>
      </c>
      <c r="F17" s="30">
        <v>1281.2699999999998</v>
      </c>
      <c r="G17" s="28">
        <v>-1.56</v>
      </c>
      <c r="H17" s="29">
        <f t="shared" si="1"/>
        <v>1.217541970076565E-3</v>
      </c>
      <c r="I17" s="29">
        <f t="shared" si="2"/>
        <v>0.23530662275249867</v>
      </c>
      <c r="J17" s="30">
        <f t="shared" si="5"/>
        <v>301.49131653409393</v>
      </c>
      <c r="K17" s="30">
        <f t="shared" si="3"/>
        <v>7.7305465777972797</v>
      </c>
      <c r="L17" s="27">
        <v>103</v>
      </c>
      <c r="M17" s="31">
        <f t="shared" si="6"/>
        <v>0.37864077669902912</v>
      </c>
      <c r="N17" s="27">
        <v>132</v>
      </c>
      <c r="O17" s="32">
        <f t="shared" ref="O17:P17" si="25">D17/7</f>
        <v>5.5714285714285712</v>
      </c>
      <c r="P17" s="32">
        <f t="shared" si="25"/>
        <v>0</v>
      </c>
      <c r="Q17" s="27">
        <f t="shared" si="8"/>
        <v>23</v>
      </c>
      <c r="R17" s="27"/>
      <c r="S17" s="33">
        <v>1.3248407643312099</v>
      </c>
      <c r="T17" s="26">
        <v>204</v>
      </c>
      <c r="U17" s="34">
        <v>36</v>
      </c>
      <c r="V17" s="35" t="s">
        <v>1127</v>
      </c>
      <c r="W17" s="26">
        <v>3</v>
      </c>
      <c r="X17" s="36">
        <f t="shared" si="9"/>
        <v>7.6923076923076927E-2</v>
      </c>
      <c r="Y17" s="37">
        <f t="shared" si="10"/>
        <v>0.39</v>
      </c>
      <c r="Z17" s="26">
        <v>1</v>
      </c>
      <c r="AA17" s="26" t="s">
        <v>37</v>
      </c>
      <c r="AB17" s="38">
        <f t="shared" si="11"/>
        <v>-0.69</v>
      </c>
      <c r="AC17" s="39">
        <v>0.580125</v>
      </c>
      <c r="AD17" s="37">
        <f t="shared" si="12"/>
        <v>-31.222327499999995</v>
      </c>
      <c r="AE17" s="37">
        <v>-7.32</v>
      </c>
      <c r="AF17" s="37">
        <v>-12.0339963068181</v>
      </c>
      <c r="AG17" s="37">
        <v>0</v>
      </c>
    </row>
    <row r="18" spans="1:33" ht="15.75" customHeight="1" x14ac:dyDescent="0.2">
      <c r="A18" s="26" t="s">
        <v>62</v>
      </c>
      <c r="B18" s="26" t="s">
        <v>238</v>
      </c>
      <c r="C18" s="14">
        <f t="shared" si="4"/>
        <v>33.893333333333331</v>
      </c>
      <c r="D18" s="27">
        <v>30</v>
      </c>
      <c r="E18" s="27">
        <v>1</v>
      </c>
      <c r="F18" s="30">
        <v>1016.8</v>
      </c>
      <c r="G18" s="28">
        <v>-1.1500000000000001</v>
      </c>
      <c r="H18" s="29">
        <f t="shared" si="1"/>
        <v>1.1309992132179389E-3</v>
      </c>
      <c r="I18" s="29">
        <f t="shared" si="2"/>
        <v>0.25422200609309303</v>
      </c>
      <c r="J18" s="30">
        <f t="shared" si="5"/>
        <v>258.49293579545696</v>
      </c>
      <c r="K18" s="30">
        <f t="shared" si="3"/>
        <v>8.6164311931818993</v>
      </c>
      <c r="L18" s="27">
        <v>68</v>
      </c>
      <c r="M18" s="31">
        <f t="shared" si="6"/>
        <v>0.44117647058823528</v>
      </c>
      <c r="N18" s="27">
        <v>105</v>
      </c>
      <c r="O18" s="32">
        <f t="shared" ref="O18:P18" si="26">D18/7</f>
        <v>4.2857142857142856</v>
      </c>
      <c r="P18" s="32">
        <f t="shared" si="26"/>
        <v>0.14285714285714285</v>
      </c>
      <c r="Q18" s="27">
        <f t="shared" si="8"/>
        <v>23</v>
      </c>
      <c r="R18" s="27"/>
      <c r="S18" s="33">
        <v>3.0333333333333301</v>
      </c>
      <c r="T18" s="26">
        <v>204</v>
      </c>
      <c r="U18" s="34">
        <v>36</v>
      </c>
      <c r="V18" s="35" t="s">
        <v>1127</v>
      </c>
      <c r="W18" s="26">
        <v>1</v>
      </c>
      <c r="X18" s="36">
        <f t="shared" si="9"/>
        <v>3.3333333333333333E-2</v>
      </c>
      <c r="Y18" s="37">
        <f t="shared" si="10"/>
        <v>0.57500000000000007</v>
      </c>
      <c r="Z18" s="26">
        <v>1</v>
      </c>
      <c r="AA18" s="26" t="s">
        <v>37</v>
      </c>
      <c r="AB18" s="38">
        <f t="shared" si="11"/>
        <v>-0.69</v>
      </c>
      <c r="AC18" s="39">
        <v>0.580125</v>
      </c>
      <c r="AD18" s="37">
        <f t="shared" si="12"/>
        <v>-24.017174999999998</v>
      </c>
      <c r="AE18" s="37">
        <v>-7.32</v>
      </c>
      <c r="AF18" s="37">
        <v>-12.0339963068181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35.271538461538462</v>
      </c>
      <c r="D19" s="27">
        <v>13</v>
      </c>
      <c r="E19" s="27">
        <v>1</v>
      </c>
      <c r="F19" s="30">
        <v>458.53000000000003</v>
      </c>
      <c r="G19" s="28">
        <v>-0.97999999999999987</v>
      </c>
      <c r="H19" s="29">
        <f t="shared" si="1"/>
        <v>2.1372647373127164E-3</v>
      </c>
      <c r="I19" s="29">
        <f t="shared" si="2"/>
        <v>0.2764510621145041</v>
      </c>
      <c r="J19" s="30">
        <f t="shared" si="5"/>
        <v>126.76110551136358</v>
      </c>
      <c r="K19" s="30">
        <f t="shared" si="3"/>
        <v>9.7508542701048917</v>
      </c>
      <c r="L19" s="27">
        <v>95</v>
      </c>
      <c r="M19" s="31">
        <f t="shared" si="6"/>
        <v>0.1368421052631579</v>
      </c>
      <c r="N19" s="27">
        <v>119</v>
      </c>
      <c r="O19" s="32">
        <f t="shared" ref="O19:P19" si="27">D19/7</f>
        <v>1.8571428571428572</v>
      </c>
      <c r="P19" s="32">
        <f t="shared" si="27"/>
        <v>0.14285714285714285</v>
      </c>
      <c r="Q19" s="27">
        <f t="shared" si="8"/>
        <v>59</v>
      </c>
      <c r="R19" s="27"/>
      <c r="S19" s="33">
        <v>4.3137254901960702</v>
      </c>
      <c r="T19" s="26">
        <v>168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0.580125</v>
      </c>
      <c r="AD19" s="37">
        <f t="shared" si="12"/>
        <v>-10.407442499999998</v>
      </c>
      <c r="AE19" s="37">
        <v>-7.32</v>
      </c>
      <c r="AF19" s="37">
        <v>-12.033996306818183</v>
      </c>
      <c r="AG19" s="37">
        <v>0</v>
      </c>
    </row>
    <row r="20" spans="1:33" ht="15.75" customHeight="1" x14ac:dyDescent="0.2">
      <c r="A20" s="26" t="s">
        <v>65</v>
      </c>
      <c r="B20" s="26" t="s">
        <v>1129</v>
      </c>
      <c r="C20" s="14">
        <f t="shared" si="4"/>
        <v>35.137</v>
      </c>
      <c r="D20" s="27">
        <v>40</v>
      </c>
      <c r="E20" s="27">
        <v>1</v>
      </c>
      <c r="F20" s="30">
        <v>1405.48</v>
      </c>
      <c r="G20" s="28">
        <v>-1.7400000000000002</v>
      </c>
      <c r="H20" s="29">
        <f t="shared" si="1"/>
        <v>1.2380112132509891E-3</v>
      </c>
      <c r="I20" s="29">
        <f t="shared" si="2"/>
        <v>0.17917895907016768</v>
      </c>
      <c r="J20" s="30">
        <f t="shared" si="5"/>
        <v>251.83244339393929</v>
      </c>
      <c r="K20" s="30">
        <f t="shared" si="3"/>
        <v>6.2958110848484825</v>
      </c>
      <c r="L20" s="27">
        <v>96</v>
      </c>
      <c r="M20" s="31">
        <f t="shared" si="6"/>
        <v>0.41666666666666669</v>
      </c>
      <c r="N20" s="27">
        <v>87</v>
      </c>
      <c r="O20" s="32">
        <f t="shared" ref="O20:P20" si="28">D20/7</f>
        <v>5.7142857142857144</v>
      </c>
      <c r="P20" s="32">
        <f t="shared" si="28"/>
        <v>0.14285714285714285</v>
      </c>
      <c r="Q20" s="27">
        <f t="shared" si="8"/>
        <v>14</v>
      </c>
      <c r="R20" s="27"/>
      <c r="S20" s="33">
        <v>1.78064516129032</v>
      </c>
      <c r="T20" s="26">
        <v>168</v>
      </c>
      <c r="U20" s="34" t="s">
        <v>34</v>
      </c>
      <c r="V20" s="35" t="s">
        <v>34</v>
      </c>
      <c r="W20" s="26">
        <v>2</v>
      </c>
      <c r="X20" s="36">
        <f t="shared" si="9"/>
        <v>0.05</v>
      </c>
      <c r="Y20" s="37">
        <f t="shared" si="10"/>
        <v>0.87000000000000011</v>
      </c>
      <c r="Z20" s="26">
        <v>0</v>
      </c>
      <c r="AA20" s="26" t="s">
        <v>250</v>
      </c>
      <c r="AB20" s="38">
        <f t="shared" si="11"/>
        <v>-0.48</v>
      </c>
      <c r="AC20" s="39">
        <v>0.59702355034722221</v>
      </c>
      <c r="AD20" s="37">
        <f t="shared" si="12"/>
        <v>-22.925704333333332</v>
      </c>
      <c r="AE20" s="37">
        <v>-10.92</v>
      </c>
      <c r="AF20" s="37">
        <v>-12.033996306818183</v>
      </c>
      <c r="AG20" s="37">
        <v>0</v>
      </c>
    </row>
    <row r="21" spans="1:33" ht="15.75" customHeight="1" x14ac:dyDescent="0.2">
      <c r="A21" s="26" t="s">
        <v>66</v>
      </c>
      <c r="B21" s="26" t="s">
        <v>1130</v>
      </c>
      <c r="C21" s="14">
        <f t="shared" si="4"/>
        <v>38.131818181818176</v>
      </c>
      <c r="D21" s="27">
        <v>33</v>
      </c>
      <c r="E21" s="27">
        <v>0</v>
      </c>
      <c r="F21" s="30">
        <v>1258.3499999999999</v>
      </c>
      <c r="G21" s="28">
        <v>-1.4200000000000002</v>
      </c>
      <c r="H21" s="29">
        <f t="shared" si="1"/>
        <v>1.1284618746771567E-3</v>
      </c>
      <c r="I21" s="29">
        <f t="shared" si="2"/>
        <v>0.23187659697222532</v>
      </c>
      <c r="J21" s="30">
        <f t="shared" si="5"/>
        <v>291.78191579999969</v>
      </c>
      <c r="K21" s="30">
        <f t="shared" si="3"/>
        <v>8.8418762363636265</v>
      </c>
      <c r="L21" s="27">
        <v>44</v>
      </c>
      <c r="M21" s="31">
        <f t="shared" si="6"/>
        <v>0.75</v>
      </c>
      <c r="N21" s="27">
        <v>60</v>
      </c>
      <c r="O21" s="32">
        <f t="shared" ref="O21:P21" si="29">D21/7</f>
        <v>4.7142857142857144</v>
      </c>
      <c r="P21" s="32">
        <f t="shared" si="29"/>
        <v>0</v>
      </c>
      <c r="Q21" s="27">
        <f t="shared" si="8"/>
        <v>12</v>
      </c>
      <c r="R21" s="27"/>
      <c r="S21" s="33">
        <v>3.2037037037037002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0.59702355034722221</v>
      </c>
      <c r="AD21" s="37">
        <f t="shared" si="12"/>
        <v>-18.913706075</v>
      </c>
      <c r="AE21" s="37">
        <v>-10.92</v>
      </c>
      <c r="AF21" s="37">
        <v>-12.033996306818183</v>
      </c>
      <c r="AG21" s="37">
        <v>0</v>
      </c>
    </row>
    <row r="22" spans="1:33" ht="15.75" customHeight="1" x14ac:dyDescent="0.2">
      <c r="A22" s="26" t="s">
        <v>67</v>
      </c>
      <c r="B22" s="26" t="s">
        <v>1131</v>
      </c>
      <c r="C22" s="14">
        <f t="shared" si="4"/>
        <v>40.555151515151529</v>
      </c>
      <c r="D22" s="27">
        <v>33</v>
      </c>
      <c r="E22" s="27">
        <v>0</v>
      </c>
      <c r="F22" s="28">
        <v>1338.3200000000004</v>
      </c>
      <c r="G22" s="28">
        <v>-1.1500000000000001</v>
      </c>
      <c r="H22" s="29">
        <f t="shared" si="1"/>
        <v>8.5928626935262106E-4</v>
      </c>
      <c r="I22" s="29">
        <f t="shared" si="2"/>
        <v>0.26901370060971969</v>
      </c>
      <c r="J22" s="30">
        <f t="shared" si="5"/>
        <v>360.02641580000017</v>
      </c>
      <c r="K22" s="30">
        <f t="shared" si="3"/>
        <v>10.909891387878792</v>
      </c>
      <c r="L22" s="27">
        <v>90</v>
      </c>
      <c r="M22" s="31">
        <f t="shared" si="6"/>
        <v>0.36666666666666664</v>
      </c>
      <c r="N22" s="27">
        <v>23</v>
      </c>
      <c r="O22" s="32">
        <f t="shared" ref="O22:P22" si="30">D22/7</f>
        <v>4.7142857142857144</v>
      </c>
      <c r="P22" s="32">
        <f t="shared" si="30"/>
        <v>0</v>
      </c>
      <c r="Q22" s="27">
        <f t="shared" si="8"/>
        <v>4</v>
      </c>
      <c r="R22" s="27"/>
      <c r="S22" s="33">
        <v>5.7066666666666599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3.0303030303030304E-2</v>
      </c>
      <c r="Y22" s="37">
        <f t="shared" si="10"/>
        <v>1.1500000000000001</v>
      </c>
      <c r="Z22" s="26">
        <v>0</v>
      </c>
      <c r="AA22" s="26" t="s">
        <v>250</v>
      </c>
      <c r="AB22" s="38">
        <f t="shared" si="11"/>
        <v>-0.48</v>
      </c>
      <c r="AC22" s="39">
        <v>0.59702355034722221</v>
      </c>
      <c r="AD22" s="37">
        <f t="shared" si="12"/>
        <v>-18.913706075</v>
      </c>
      <c r="AE22" s="37">
        <v>-10.92</v>
      </c>
      <c r="AF22" s="37">
        <v>-12.033996306818183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>
        <f t="shared" si="4"/>
        <v>43.258823529411771</v>
      </c>
      <c r="D23" s="27">
        <v>17</v>
      </c>
      <c r="E23" s="27">
        <v>1</v>
      </c>
      <c r="F23" s="30">
        <v>735.40000000000009</v>
      </c>
      <c r="G23" s="28">
        <v>-0.12</v>
      </c>
      <c r="H23" s="29">
        <f t="shared" si="1"/>
        <v>1.6317650258362794E-4</v>
      </c>
      <c r="I23" s="29">
        <f t="shared" si="2"/>
        <v>0.31921683816166835</v>
      </c>
      <c r="J23" s="30">
        <f t="shared" si="5"/>
        <v>234.75206278409092</v>
      </c>
      <c r="K23" s="30">
        <f t="shared" si="3"/>
        <v>13.808944869652407</v>
      </c>
      <c r="L23" s="27">
        <v>32</v>
      </c>
      <c r="M23" s="31">
        <f t="shared" si="6"/>
        <v>0.53125</v>
      </c>
      <c r="N23" s="27">
        <v>1</v>
      </c>
      <c r="O23" s="32">
        <f t="shared" ref="O23:P23" si="31">D23/7</f>
        <v>2.4285714285714284</v>
      </c>
      <c r="P23" s="32">
        <f t="shared" si="31"/>
        <v>0.14285714285714285</v>
      </c>
      <c r="Q23" s="27">
        <f t="shared" si="8"/>
        <v>0</v>
      </c>
      <c r="R23" s="27"/>
      <c r="S23" s="33">
        <v>9.1538461538461497</v>
      </c>
      <c r="T23" s="26">
        <v>168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 t="e">
        <v>#N/A</v>
      </c>
      <c r="AD23" s="37">
        <f t="shared" si="12"/>
        <v>0</v>
      </c>
      <c r="AE23" s="37">
        <v>-10.92</v>
      </c>
      <c r="AF23" s="37">
        <v>-12.033996306818183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43.693333333333335</v>
      </c>
      <c r="D24" s="27">
        <v>3</v>
      </c>
      <c r="E24" s="27">
        <v>0</v>
      </c>
      <c r="F24" s="30">
        <v>131.08000000000001</v>
      </c>
      <c r="G24" s="30">
        <v>-0.06</v>
      </c>
      <c r="H24" s="29">
        <f t="shared" si="1"/>
        <v>4.5773573390295996E-4</v>
      </c>
      <c r="I24" s="29">
        <f t="shared" si="2"/>
        <v>0.31108165436790863</v>
      </c>
      <c r="J24" s="30">
        <f t="shared" si="5"/>
        <v>40.776583254545464</v>
      </c>
      <c r="K24" s="30">
        <f t="shared" si="3"/>
        <v>13.592194418181821</v>
      </c>
      <c r="L24" s="27">
        <v>5</v>
      </c>
      <c r="M24" s="31">
        <f t="shared" si="6"/>
        <v>0.6</v>
      </c>
      <c r="N24" s="27">
        <v>2</v>
      </c>
      <c r="O24" s="32">
        <f t="shared" ref="O24:P24" si="32">D24/7</f>
        <v>0.42857142857142855</v>
      </c>
      <c r="P24" s="32">
        <f t="shared" si="32"/>
        <v>0</v>
      </c>
      <c r="Q24" s="27">
        <f t="shared" si="8"/>
        <v>4</v>
      </c>
      <c r="R24" s="27"/>
      <c r="S24" s="33">
        <v>2.8520710059171499</v>
      </c>
      <c r="T24" s="26">
        <v>168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0.59702355034722221</v>
      </c>
      <c r="AD24" s="37">
        <f t="shared" si="12"/>
        <v>-1.7194278249999999</v>
      </c>
      <c r="AE24" s="37">
        <v>-10.92</v>
      </c>
      <c r="AF24" s="37">
        <v>-12.033996306818183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40.99</v>
      </c>
      <c r="D25" s="15">
        <v>1</v>
      </c>
      <c r="E25" s="15">
        <v>0</v>
      </c>
      <c r="F25" s="16">
        <v>40.99</v>
      </c>
      <c r="G25" s="16">
        <v>-0.12</v>
      </c>
      <c r="H25" s="29">
        <f t="shared" si="1"/>
        <v>2.9275433032446936E-3</v>
      </c>
      <c r="I25" s="29">
        <f t="shared" si="2"/>
        <v>0.27319730157762068</v>
      </c>
      <c r="J25" s="30">
        <f t="shared" si="5"/>
        <v>11.198357391666672</v>
      </c>
      <c r="K25" s="30">
        <f t="shared" si="3"/>
        <v>11.198357391666672</v>
      </c>
      <c r="L25" s="15">
        <v>8</v>
      </c>
      <c r="M25" s="31">
        <f t="shared" si="6"/>
        <v>0.125</v>
      </c>
      <c r="N25" s="15">
        <v>1</v>
      </c>
      <c r="O25" s="32">
        <f t="shared" ref="O25:P25" si="33">D25/7</f>
        <v>0.14285714285714285</v>
      </c>
      <c r="P25" s="32">
        <f t="shared" si="33"/>
        <v>0</v>
      </c>
      <c r="Q25" s="27">
        <f t="shared" si="8"/>
        <v>7</v>
      </c>
      <c r="R25" s="27"/>
      <c r="S25" s="41">
        <v>3.8884462151394419</v>
      </c>
      <c r="T25" s="26">
        <v>168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0.59702355034722221</v>
      </c>
      <c r="AD25" s="37">
        <f t="shared" si="12"/>
        <v>-0.5731426083333333</v>
      </c>
      <c r="AE25" s="42">
        <v>-10.92</v>
      </c>
      <c r="AF25" s="42">
        <v>-12.03</v>
      </c>
      <c r="AG25" s="42">
        <v>0</v>
      </c>
    </row>
    <row r="26" spans="1:33" ht="15.75" customHeight="1" x14ac:dyDescent="0.2">
      <c r="A26" s="40" t="s">
        <v>75</v>
      </c>
      <c r="B26" s="26" t="s">
        <v>76</v>
      </c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168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0.59702355034722221</v>
      </c>
      <c r="AD26" s="37">
        <f t="shared" si="12"/>
        <v>0</v>
      </c>
      <c r="AE26" s="42">
        <v>-10.92</v>
      </c>
      <c r="AF26" s="42">
        <v>-12.0339963068181</v>
      </c>
      <c r="AG26" s="42">
        <v>0</v>
      </c>
    </row>
    <row r="27" spans="1:33" ht="15.75" customHeight="1" x14ac:dyDescent="0.2">
      <c r="A27" s="40" t="s">
        <v>77</v>
      </c>
      <c r="B27" s="26" t="s">
        <v>76</v>
      </c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1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168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0.59702355034722221</v>
      </c>
      <c r="AD27" s="37">
        <f t="shared" si="12"/>
        <v>0</v>
      </c>
      <c r="AE27" s="42">
        <v>-10.92</v>
      </c>
      <c r="AF27" s="42">
        <v>-12.0339963068181</v>
      </c>
      <c r="AG27" s="42">
        <v>0</v>
      </c>
    </row>
    <row r="28" spans="1:33" ht="15.75" customHeight="1" x14ac:dyDescent="0.2">
      <c r="A28" s="40" t="s">
        <v>79</v>
      </c>
      <c r="B28" s="26" t="s">
        <v>76</v>
      </c>
      <c r="C28" s="14">
        <f t="shared" si="4"/>
        <v>40.99</v>
      </c>
      <c r="D28" s="15">
        <v>1</v>
      </c>
      <c r="E28" s="15">
        <v>0</v>
      </c>
      <c r="F28" s="16">
        <v>40.99</v>
      </c>
      <c r="G28" s="16">
        <v>0</v>
      </c>
      <c r="H28" s="29">
        <f t="shared" si="1"/>
        <v>0</v>
      </c>
      <c r="I28" s="29">
        <f t="shared" si="2"/>
        <v>0.27602735020367336</v>
      </c>
      <c r="J28" s="30">
        <f t="shared" si="5"/>
        <v>11.314361084848571</v>
      </c>
      <c r="K28" s="30">
        <f t="shared" si="3"/>
        <v>11.314361084848571</v>
      </c>
      <c r="L28" s="15">
        <v>8</v>
      </c>
      <c r="M28" s="31">
        <f t="shared" si="6"/>
        <v>0.125</v>
      </c>
      <c r="N28" s="15">
        <v>1</v>
      </c>
      <c r="O28" s="32">
        <f t="shared" ref="O28:P28" si="36">D28/7</f>
        <v>0.14285714285714285</v>
      </c>
      <c r="P28" s="32">
        <f t="shared" si="36"/>
        <v>0</v>
      </c>
      <c r="Q28" s="27">
        <f t="shared" si="8"/>
        <v>7</v>
      </c>
      <c r="R28" s="27"/>
      <c r="S28" s="41">
        <v>2.885630498533724</v>
      </c>
      <c r="T28" s="40" t="s">
        <v>34</v>
      </c>
      <c r="U28" s="22">
        <v>160</v>
      </c>
      <c r="V28" s="1" t="s">
        <v>1132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0.59702355034722221</v>
      </c>
      <c r="AD28" s="37">
        <f t="shared" si="12"/>
        <v>-0.5731426083333333</v>
      </c>
      <c r="AE28" s="42">
        <v>-10.92</v>
      </c>
      <c r="AF28" s="42">
        <v>-12.0339963068181</v>
      </c>
      <c r="AG28" s="42">
        <v>0</v>
      </c>
    </row>
    <row r="29" spans="1:33" ht="15.75" customHeight="1" x14ac:dyDescent="0.2">
      <c r="A29" s="26" t="s">
        <v>82</v>
      </c>
      <c r="B29" s="40" t="s">
        <v>76</v>
      </c>
      <c r="C29" s="14">
        <f t="shared" si="4"/>
        <v>40.99</v>
      </c>
      <c r="D29" s="27">
        <v>3</v>
      </c>
      <c r="E29" s="27">
        <v>0</v>
      </c>
      <c r="F29" s="30">
        <v>122.97</v>
      </c>
      <c r="G29" s="30">
        <v>-0.08</v>
      </c>
      <c r="H29" s="29">
        <f t="shared" si="1"/>
        <v>6.5056517849882084E-4</v>
      </c>
      <c r="I29" s="29">
        <f t="shared" si="2"/>
        <v>0.27537678502517449</v>
      </c>
      <c r="J29" s="30">
        <f t="shared" si="5"/>
        <v>33.863083254545707</v>
      </c>
      <c r="K29" s="30">
        <f t="shared" si="3"/>
        <v>11.287694418181902</v>
      </c>
      <c r="L29" s="27">
        <v>24</v>
      </c>
      <c r="M29" s="31">
        <f t="shared" si="6"/>
        <v>0.125</v>
      </c>
      <c r="N29" s="15">
        <v>1</v>
      </c>
      <c r="O29" s="32">
        <f t="shared" ref="O29:P29" si="37">D29/7</f>
        <v>0.42857142857142855</v>
      </c>
      <c r="P29" s="32">
        <f t="shared" si="37"/>
        <v>0</v>
      </c>
      <c r="Q29" s="27">
        <f t="shared" si="8"/>
        <v>2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0.59702355034722221</v>
      </c>
      <c r="AD29" s="37">
        <f t="shared" si="12"/>
        <v>-1.7194278249999999</v>
      </c>
      <c r="AE29" s="37">
        <v>-10.92</v>
      </c>
      <c r="AF29" s="42">
        <v>-12.0339963068181</v>
      </c>
      <c r="AG29" s="37">
        <v>0</v>
      </c>
    </row>
    <row r="30" spans="1:33" ht="15.75" customHeight="1" x14ac:dyDescent="0.2">
      <c r="A30" s="40" t="s">
        <v>84</v>
      </c>
      <c r="B30" s="40" t="s">
        <v>76</v>
      </c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-0.08</v>
      </c>
      <c r="H30" s="29" t="e">
        <f t="shared" si="1"/>
        <v>#DIV/0!</v>
      </c>
      <c r="I30" s="29" t="e">
        <f t="shared" si="2"/>
        <v>#DIV/0!</v>
      </c>
      <c r="J30" s="30">
        <f t="shared" si="5"/>
        <v>-0.08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1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3.6018099547511309</v>
      </c>
      <c r="T30" s="26">
        <v>496</v>
      </c>
      <c r="U30" s="34">
        <v>160</v>
      </c>
      <c r="V30" s="35" t="s">
        <v>1133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0.59702355034722221</v>
      </c>
      <c r="AD30" s="37">
        <f t="shared" si="12"/>
        <v>0</v>
      </c>
      <c r="AE30" s="42">
        <v>-11.32</v>
      </c>
      <c r="AF30" s="42">
        <v>-13.3163204578125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45.26</v>
      </c>
      <c r="D31" s="15">
        <v>1</v>
      </c>
      <c r="E31" s="15">
        <v>0</v>
      </c>
      <c r="F31" s="16">
        <v>45.26</v>
      </c>
      <c r="G31" s="43">
        <v>-0.16</v>
      </c>
      <c r="H31" s="29">
        <f t="shared" si="1"/>
        <v>3.5351303579319489E-3</v>
      </c>
      <c r="I31" s="29">
        <f t="shared" si="2"/>
        <v>0.28947275594021576</v>
      </c>
      <c r="J31" s="30">
        <f t="shared" si="5"/>
        <v>13.101536933854165</v>
      </c>
      <c r="K31" s="30">
        <f t="shared" si="3"/>
        <v>13.101536933854165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0.14285714285714285</v>
      </c>
      <c r="P31" s="32">
        <f t="shared" si="39"/>
        <v>0</v>
      </c>
      <c r="Q31" s="27">
        <f t="shared" si="8"/>
        <v>0</v>
      </c>
      <c r="R31" s="27"/>
      <c r="S31" s="41">
        <v>4.4166666666666599</v>
      </c>
      <c r="T31" s="40">
        <v>8</v>
      </c>
      <c r="U31" s="22">
        <v>160</v>
      </c>
      <c r="V31" s="1" t="s">
        <v>1134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0.59702355034722221</v>
      </c>
      <c r="AD31" s="37">
        <f t="shared" si="12"/>
        <v>-0.5731426083333333</v>
      </c>
      <c r="AE31" s="45">
        <v>-11.32</v>
      </c>
      <c r="AF31" s="45">
        <v>-13.316320457812502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IFERROR(__xludf.DUMMYFUNCTION("IFERROR(VLOOKUP($B$2,IMPORTRANGE(""https://docs.google.com/spreadsheets/d/1KiWZV1ko8G7lnRucBRBd29jj3Be6ltMfljMDqzOkQmI/edit#gid=1381463014"",""Lookup!A:D""),4,FALSE),"""")"),8)</f>
        <v>8</v>
      </c>
      <c r="U32" s="22">
        <f ca="1">IFERROR(__xludf.DUMMYFUNCTION("IFERROR(VLOOKUP($B$2,IMPORTRANGE(""https://docs.google.com/spreadsheets/d/1KiWZV1ko8G7lnRucBRBd29jj3Be6ltMfljMDqzOkQmI/edit#gid=1381463014"",""Lookup!A:D""),3,FALSE),"""")"),160)</f>
        <v>160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- 160 units 08/14")</f>
        <v>| AGL230  - 160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0.59702355034722221</v>
      </c>
      <c r="AD32" s="37">
        <f t="shared" si="12"/>
        <v>0</v>
      </c>
      <c r="AE32" s="42">
        <v>-11.32</v>
      </c>
      <c r="AF32" s="42">
        <v>-13.3163204578125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3.3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2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Metal Flower Vase 3 Pack - 9"" Tall Rustic Farmhouse Bucket Planter Pots")</f>
        <v>Galvanized Metal Flower Vase 3 Pack - 9" Tall Rustic Farmhouse Bucket Planter Pots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Info!B1:BJ5000""),2,FALSE),"""")"),"B07SWQV76T")</f>
        <v>B07SWQV76T</v>
      </c>
      <c r="B2" s="3" t="s">
        <v>1135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17.902982919669117</v>
      </c>
      <c r="D3" s="5">
        <f>SUM(D4:D99767)</f>
        <v>189</v>
      </c>
      <c r="E3" s="5"/>
      <c r="F3" s="6">
        <f t="shared" ref="F3:G3" si="0">SUM(F4:F99767)</f>
        <v>3986.329999999999</v>
      </c>
      <c r="G3" s="6">
        <f t="shared" si="0"/>
        <v>-22.839999999999996</v>
      </c>
      <c r="H3" s="7">
        <f t="shared" ref="H3:H32" si="1">G3/F3*-1</f>
        <v>5.7295808425293446E-3</v>
      </c>
      <c r="I3" s="8">
        <f t="shared" ref="I3:I32" si="2">J3/F3</f>
        <v>9.6217693515444749E-2</v>
      </c>
      <c r="J3" s="6">
        <f>SUM(J4:J99767)</f>
        <v>383.55547819142276</v>
      </c>
      <c r="K3" s="6">
        <f t="shared" ref="K3:K32" si="3">J3/D3</f>
        <v>2.0293940645048822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Sheet!a1:g5000""),2,FALSE),"""")"),"1.0 - March
1.0 - April
1.0 - May
1.0 - June
1.0 - July
1.0 - Aug
1.0 - Sept
1.0 - Oct
1.0 - Nov
1.0 - Dec
1.0 - Jan
1.0 - Feb")</f>
        <v>1.0 - March
1.0 - April
1.0 - May
1.0 - June
1.0 - July
1.0 - Aug
1.0 - Sept
1.0 - Oct
1.0 - Nov
1.0 - Dec
1.0 - Jan
1.0 -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11</v>
      </c>
      <c r="X3" s="7">
        <f>W3/D3</f>
        <v>5.8201058201058198E-2</v>
      </c>
      <c r="Y3" s="6"/>
      <c r="Z3" s="5"/>
      <c r="AA3" s="5"/>
      <c r="AB3" s="5"/>
      <c r="AC3" s="5"/>
      <c r="AD3" s="6">
        <f>SUM(AD4:AD99767)</f>
        <v>-78.759549479045944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Info!B2:BZ3000""),37,FALSE)),"""")*-1"),-9.23753548171875)</f>
        <v>-9.2375354817187496</v>
      </c>
      <c r="AG3" s="6">
        <f>SUM(AG4:AG99767)</f>
        <v>0</v>
      </c>
    </row>
    <row r="4" spans="1:33" x14ac:dyDescent="0.2">
      <c r="A4" s="1" t="s">
        <v>32</v>
      </c>
      <c r="B4" s="1" t="s">
        <v>123</v>
      </c>
      <c r="C4" s="14">
        <f t="shared" ref="C4:C32" si="4">IFERROR(F4/D4," - ")</f>
        <v>18.989999999999998</v>
      </c>
      <c r="D4" s="15">
        <v>2</v>
      </c>
      <c r="E4" s="15">
        <v>0</v>
      </c>
      <c r="F4" s="16">
        <v>37.979999999999997</v>
      </c>
      <c r="G4" s="16">
        <v>-0.49000000000000005</v>
      </c>
      <c r="H4" s="17">
        <f t="shared" si="1"/>
        <v>1.2901527119536601E-2</v>
      </c>
      <c r="I4" s="17">
        <f t="shared" si="2"/>
        <v>1.5416239807234874E-2</v>
      </c>
      <c r="J4" s="16">
        <f t="shared" ref="J4:J32" si="5">F4*0.85+G4+AF4*D4+D4*AE4+AG4+AD4</f>
        <v>0.58550878787878047</v>
      </c>
      <c r="K4" s="16">
        <f t="shared" si="3"/>
        <v>0.29275439393939023</v>
      </c>
      <c r="L4" s="15">
        <v>8</v>
      </c>
      <c r="M4" s="18">
        <f t="shared" ref="M4:M32" si="6">IFERROR(D4/L4,"-")</f>
        <v>0.25</v>
      </c>
      <c r="N4" s="15">
        <v>57</v>
      </c>
      <c r="O4" s="19">
        <f t="shared" ref="O4:P4" si="7">D4/7</f>
        <v>0.2857142857142857</v>
      </c>
      <c r="P4" s="19">
        <f t="shared" si="7"/>
        <v>0</v>
      </c>
      <c r="Q4" s="15">
        <f t="shared" ref="Q4:Q32" si="8">ROUNDDOWN(N4/(O4+P4),0)</f>
        <v>199</v>
      </c>
      <c r="R4" s="15"/>
      <c r="S4" s="20">
        <v>0.46153846153846101</v>
      </c>
      <c r="T4" s="2">
        <v>0</v>
      </c>
      <c r="U4" s="2" t="s">
        <v>34</v>
      </c>
      <c r="V4" s="21" t="s">
        <v>34</v>
      </c>
      <c r="W4" s="22">
        <v>1</v>
      </c>
      <c r="X4" s="23">
        <f t="shared" ref="X4:X32" si="9">IFERROR(W4/D4,0)</f>
        <v>0.5</v>
      </c>
      <c r="Y4" s="24">
        <f t="shared" ref="Y4:Y32" si="10">IFERROR(G4/(W4+Z4)*-1,0)</f>
        <v>0.49000000000000005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0.30196527777777776</v>
      </c>
      <c r="AD4" s="24">
        <f t="shared" ref="AD4:AD32" si="12">IFERROR(AB4*AC4*D4*2,0)</f>
        <v>-0.83342416666666652</v>
      </c>
      <c r="AE4" s="24">
        <v>-6.18</v>
      </c>
      <c r="AF4" s="24">
        <v>-9.0070335227272746</v>
      </c>
      <c r="AG4" s="24">
        <v>0</v>
      </c>
    </row>
    <row r="5" spans="1:33" ht="15.75" customHeight="1" x14ac:dyDescent="0.2">
      <c r="A5" s="26" t="s">
        <v>35</v>
      </c>
      <c r="B5" s="26" t="s">
        <v>1136</v>
      </c>
      <c r="C5" s="14">
        <f t="shared" si="4"/>
        <v>18.989999999999998</v>
      </c>
      <c r="D5" s="27">
        <v>2</v>
      </c>
      <c r="E5" s="27">
        <v>0</v>
      </c>
      <c r="F5" s="28">
        <v>37.979999999999997</v>
      </c>
      <c r="G5" s="28">
        <v>-0.65</v>
      </c>
      <c r="H5" s="29">
        <f t="shared" si="1"/>
        <v>1.7114270668773041E-2</v>
      </c>
      <c r="I5" s="29">
        <f t="shared" si="2"/>
        <v>1.1178068952944096E-2</v>
      </c>
      <c r="J5" s="30">
        <f t="shared" si="5"/>
        <v>0.42454305883281673</v>
      </c>
      <c r="K5" s="30">
        <f t="shared" si="3"/>
        <v>0.21227152941640837</v>
      </c>
      <c r="L5" s="27">
        <v>45</v>
      </c>
      <c r="M5" s="31">
        <f t="shared" si="6"/>
        <v>4.4444444444444446E-2</v>
      </c>
      <c r="N5" s="27">
        <v>116</v>
      </c>
      <c r="O5" s="32">
        <f t="shared" ref="O5:P5" si="13">D5/7</f>
        <v>0.2857142857142857</v>
      </c>
      <c r="P5" s="32">
        <f t="shared" si="13"/>
        <v>0</v>
      </c>
      <c r="Q5" s="27">
        <f t="shared" si="8"/>
        <v>406</v>
      </c>
      <c r="R5" s="27"/>
      <c r="S5" s="33">
        <v>0.31413612565444998</v>
      </c>
      <c r="T5" s="26">
        <v>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0.30231517960602544</v>
      </c>
      <c r="AD5" s="37">
        <f t="shared" si="12"/>
        <v>-0.83438989571263011</v>
      </c>
      <c r="AE5" s="37">
        <v>-6.18</v>
      </c>
      <c r="AF5" s="37">
        <v>-9.0070335227272746</v>
      </c>
      <c r="AG5" s="37">
        <v>0</v>
      </c>
    </row>
    <row r="6" spans="1:33" ht="15.75" customHeight="1" x14ac:dyDescent="0.2">
      <c r="A6" s="26" t="s">
        <v>38</v>
      </c>
      <c r="B6" s="26" t="s">
        <v>1137</v>
      </c>
      <c r="C6" s="14">
        <f t="shared" si="4"/>
        <v>19.495454545454546</v>
      </c>
      <c r="D6" s="27">
        <v>11</v>
      </c>
      <c r="E6" s="27">
        <v>0</v>
      </c>
      <c r="F6" s="28">
        <v>214.45</v>
      </c>
      <c r="G6" s="28">
        <v>-0.76</v>
      </c>
      <c r="H6" s="29">
        <f t="shared" si="1"/>
        <v>3.5439496386103987E-3</v>
      </c>
      <c r="I6" s="29">
        <f t="shared" si="2"/>
        <v>4.6077399549234482E-2</v>
      </c>
      <c r="J6" s="30">
        <f t="shared" si="5"/>
        <v>9.8812983333333335</v>
      </c>
      <c r="K6" s="30">
        <f t="shared" si="3"/>
        <v>0.89829984848484845</v>
      </c>
      <c r="L6" s="27">
        <v>50</v>
      </c>
      <c r="M6" s="31">
        <f t="shared" si="6"/>
        <v>0.22</v>
      </c>
      <c r="N6" s="27">
        <v>102</v>
      </c>
      <c r="O6" s="32">
        <f t="shared" ref="O6:P6" si="14">D6/7</f>
        <v>1.5714285714285714</v>
      </c>
      <c r="P6" s="32">
        <f t="shared" si="14"/>
        <v>0</v>
      </c>
      <c r="Q6" s="27">
        <f t="shared" si="8"/>
        <v>64</v>
      </c>
      <c r="R6" s="27"/>
      <c r="S6" s="33">
        <v>0.65497076023391798</v>
      </c>
      <c r="T6" s="26">
        <v>126</v>
      </c>
      <c r="U6" s="34">
        <v>54</v>
      </c>
      <c r="V6" s="49" t="s">
        <v>1138</v>
      </c>
      <c r="W6" s="26">
        <v>1</v>
      </c>
      <c r="X6" s="36">
        <f t="shared" si="9"/>
        <v>9.0909090909090912E-2</v>
      </c>
      <c r="Y6" s="37">
        <f t="shared" si="10"/>
        <v>0.76</v>
      </c>
      <c r="Z6" s="26">
        <v>0</v>
      </c>
      <c r="AA6" s="26" t="s">
        <v>37</v>
      </c>
      <c r="AB6" s="38">
        <f t="shared" si="11"/>
        <v>-0.69</v>
      </c>
      <c r="AC6" s="39">
        <v>0.30196527777777776</v>
      </c>
      <c r="AD6" s="37">
        <f t="shared" si="12"/>
        <v>-4.5838329166666663</v>
      </c>
      <c r="AE6" s="37">
        <v>-6.18</v>
      </c>
      <c r="AF6" s="37">
        <v>-9.0070335227272746</v>
      </c>
      <c r="AG6" s="37">
        <v>0</v>
      </c>
    </row>
    <row r="7" spans="1:33" ht="15.75" customHeight="1" x14ac:dyDescent="0.2">
      <c r="A7" s="26" t="s">
        <v>41</v>
      </c>
      <c r="B7" s="26" t="s">
        <v>53</v>
      </c>
      <c r="C7" s="14">
        <f t="shared" si="4"/>
        <v>18.0625</v>
      </c>
      <c r="D7" s="27">
        <v>8</v>
      </c>
      <c r="E7" s="27">
        <v>0</v>
      </c>
      <c r="F7" s="28">
        <v>144.5</v>
      </c>
      <c r="G7" s="28">
        <v>-0.87999999999999989</v>
      </c>
      <c r="H7" s="29">
        <f t="shared" si="1"/>
        <v>6.0899653979238745E-3</v>
      </c>
      <c r="I7" s="29">
        <f t="shared" si="2"/>
        <v>-1.9965154660794834E-2</v>
      </c>
      <c r="J7" s="30">
        <f t="shared" si="5"/>
        <v>-2.8849648484848536</v>
      </c>
      <c r="K7" s="30">
        <f t="shared" si="3"/>
        <v>-0.3606206060606067</v>
      </c>
      <c r="L7" s="27">
        <v>54</v>
      </c>
      <c r="M7" s="31">
        <f t="shared" si="6"/>
        <v>0.14814814814814814</v>
      </c>
      <c r="N7" s="27">
        <v>96</v>
      </c>
      <c r="O7" s="32">
        <f t="shared" ref="O7:P7" si="15">D7/7</f>
        <v>1.1428571428571428</v>
      </c>
      <c r="P7" s="32">
        <f t="shared" si="15"/>
        <v>0</v>
      </c>
      <c r="Q7" s="27">
        <f t="shared" si="8"/>
        <v>84</v>
      </c>
      <c r="R7" s="27"/>
      <c r="S7" s="33">
        <v>0.77575757575757498</v>
      </c>
      <c r="T7" s="26">
        <v>126</v>
      </c>
      <c r="U7" s="34">
        <v>54</v>
      </c>
      <c r="V7" s="49" t="s">
        <v>1138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0.30196527777777776</v>
      </c>
      <c r="AD7" s="37">
        <f t="shared" si="12"/>
        <v>-3.3336966666666661</v>
      </c>
      <c r="AE7" s="37">
        <v>-6.18</v>
      </c>
      <c r="AF7" s="37">
        <v>-9.0070335227272746</v>
      </c>
      <c r="AG7" s="37">
        <v>0</v>
      </c>
    </row>
    <row r="8" spans="1:33" ht="15.75" customHeight="1" x14ac:dyDescent="0.2">
      <c r="A8" s="26" t="s">
        <v>43</v>
      </c>
      <c r="B8" s="26" t="s">
        <v>1139</v>
      </c>
      <c r="C8" s="14">
        <f t="shared" si="4"/>
        <v>18.339565217391304</v>
      </c>
      <c r="D8" s="27">
        <v>23</v>
      </c>
      <c r="E8" s="27">
        <v>0</v>
      </c>
      <c r="F8" s="28">
        <v>421.81</v>
      </c>
      <c r="G8" s="28">
        <v>-1.2000000000000002</v>
      </c>
      <c r="H8" s="29">
        <f t="shared" si="1"/>
        <v>2.8448827671226384E-3</v>
      </c>
      <c r="I8" s="29">
        <f t="shared" si="2"/>
        <v>-3.8308193657491047E-3</v>
      </c>
      <c r="J8" s="30">
        <f t="shared" si="5"/>
        <v>-1.6158779166666299</v>
      </c>
      <c r="K8" s="30">
        <f t="shared" si="3"/>
        <v>-7.0255561594201307E-2</v>
      </c>
      <c r="L8" s="27">
        <v>57</v>
      </c>
      <c r="M8" s="31">
        <f t="shared" si="6"/>
        <v>0.40350877192982454</v>
      </c>
      <c r="N8" s="27">
        <v>72</v>
      </c>
      <c r="O8" s="32">
        <f t="shared" ref="O8:P8" si="16">D8/7</f>
        <v>3.2857142857142856</v>
      </c>
      <c r="P8" s="32">
        <f t="shared" si="16"/>
        <v>0</v>
      </c>
      <c r="Q8" s="27">
        <f t="shared" si="8"/>
        <v>21</v>
      </c>
      <c r="R8" s="27"/>
      <c r="S8" s="33">
        <v>1.09615384615384</v>
      </c>
      <c r="T8" s="26">
        <v>126</v>
      </c>
      <c r="U8" s="34">
        <v>54</v>
      </c>
      <c r="V8" s="35" t="s">
        <v>1140</v>
      </c>
      <c r="W8" s="26">
        <v>0</v>
      </c>
      <c r="X8" s="36">
        <f t="shared" si="9"/>
        <v>0</v>
      </c>
      <c r="Y8" s="37">
        <f t="shared" si="10"/>
        <v>0.60000000000000009</v>
      </c>
      <c r="Z8" s="26">
        <v>2</v>
      </c>
      <c r="AA8" s="26" t="s">
        <v>37</v>
      </c>
      <c r="AB8" s="38">
        <f t="shared" si="11"/>
        <v>-0.69</v>
      </c>
      <c r="AC8" s="39">
        <v>0.30196527777777776</v>
      </c>
      <c r="AD8" s="37">
        <f t="shared" si="12"/>
        <v>-9.5843779166666643</v>
      </c>
      <c r="AE8" s="37">
        <v>-6.18</v>
      </c>
      <c r="AF8" s="37">
        <v>-9.01</v>
      </c>
      <c r="AG8" s="37">
        <v>0</v>
      </c>
    </row>
    <row r="9" spans="1:33" ht="15.75" customHeight="1" x14ac:dyDescent="0.2">
      <c r="A9" s="26" t="s">
        <v>45</v>
      </c>
      <c r="B9" s="26" t="s">
        <v>698</v>
      </c>
      <c r="C9" s="14">
        <f t="shared" si="4"/>
        <v>19.783333333333331</v>
      </c>
      <c r="D9" s="27">
        <v>18</v>
      </c>
      <c r="E9" s="27">
        <v>1</v>
      </c>
      <c r="F9" s="28">
        <v>356.09999999999997</v>
      </c>
      <c r="G9" s="28">
        <v>-1.45</v>
      </c>
      <c r="H9" s="29">
        <f t="shared" si="1"/>
        <v>4.0718899185622015E-3</v>
      </c>
      <c r="I9" s="29">
        <f t="shared" si="2"/>
        <v>4.4181118046513881E-2</v>
      </c>
      <c r="J9" s="30">
        <f t="shared" si="5"/>
        <v>15.732896136363591</v>
      </c>
      <c r="K9" s="30">
        <f t="shared" si="3"/>
        <v>0.87404978535353284</v>
      </c>
      <c r="L9" s="27">
        <v>64</v>
      </c>
      <c r="M9" s="31">
        <f t="shared" si="6"/>
        <v>0.28125</v>
      </c>
      <c r="N9" s="27">
        <v>52</v>
      </c>
      <c r="O9" s="32">
        <f t="shared" ref="O9:P9" si="17">D9/7</f>
        <v>2.5714285714285716</v>
      </c>
      <c r="P9" s="32">
        <f t="shared" si="17"/>
        <v>0.14285714285714285</v>
      </c>
      <c r="Q9" s="27">
        <f t="shared" si="8"/>
        <v>19</v>
      </c>
      <c r="R9" s="27"/>
      <c r="S9" s="33">
        <v>1.1699604743083001</v>
      </c>
      <c r="T9" s="26">
        <v>126</v>
      </c>
      <c r="U9" s="34">
        <v>54</v>
      </c>
      <c r="V9" s="35" t="s">
        <v>1141</v>
      </c>
      <c r="W9" s="26">
        <v>1</v>
      </c>
      <c r="X9" s="36">
        <f t="shared" si="9"/>
        <v>5.5555555555555552E-2</v>
      </c>
      <c r="Y9" s="37">
        <f t="shared" si="10"/>
        <v>1.45</v>
      </c>
      <c r="Z9" s="26">
        <v>0</v>
      </c>
      <c r="AA9" s="26" t="s">
        <v>37</v>
      </c>
      <c r="AB9" s="38">
        <f t="shared" si="11"/>
        <v>-0.69</v>
      </c>
      <c r="AC9" s="39">
        <v>0.30196527777777776</v>
      </c>
      <c r="AD9" s="37">
        <f t="shared" si="12"/>
        <v>-7.5008174999999984</v>
      </c>
      <c r="AE9" s="37">
        <v>-6.18</v>
      </c>
      <c r="AF9" s="37">
        <v>-9.2645159090909104</v>
      </c>
      <c r="AG9" s="37">
        <v>0</v>
      </c>
    </row>
    <row r="10" spans="1:33" ht="15.75" customHeight="1" x14ac:dyDescent="0.2">
      <c r="A10" s="26" t="s">
        <v>48</v>
      </c>
      <c r="B10" s="26" t="s">
        <v>1142</v>
      </c>
      <c r="C10" s="14">
        <f t="shared" si="4"/>
        <v>21.538</v>
      </c>
      <c r="D10" s="27">
        <v>15</v>
      </c>
      <c r="E10" s="27">
        <v>0</v>
      </c>
      <c r="F10" s="28">
        <v>323.07</v>
      </c>
      <c r="G10" s="28">
        <v>-2.7499999999999996</v>
      </c>
      <c r="H10" s="29">
        <f t="shared" si="1"/>
        <v>8.5120871637725561E-3</v>
      </c>
      <c r="I10" s="29">
        <f t="shared" si="2"/>
        <v>0.10505797540358534</v>
      </c>
      <c r="J10" s="30">
        <f t="shared" si="5"/>
        <v>33.941080113636318</v>
      </c>
      <c r="K10" s="30">
        <f t="shared" si="3"/>
        <v>2.2627386742424211</v>
      </c>
      <c r="L10" s="27">
        <v>66</v>
      </c>
      <c r="M10" s="31">
        <f t="shared" si="6"/>
        <v>0.22727272727272727</v>
      </c>
      <c r="N10" s="27">
        <v>37</v>
      </c>
      <c r="O10" s="32">
        <f t="shared" ref="O10:P10" si="18">D10/7</f>
        <v>2.1428571428571428</v>
      </c>
      <c r="P10" s="32">
        <f t="shared" si="18"/>
        <v>0</v>
      </c>
      <c r="Q10" s="27">
        <f t="shared" si="8"/>
        <v>17</v>
      </c>
      <c r="R10" s="27"/>
      <c r="S10" s="33">
        <v>1.58181818181818</v>
      </c>
      <c r="T10" s="26">
        <v>126</v>
      </c>
      <c r="U10" s="34">
        <v>54</v>
      </c>
      <c r="V10" s="35" t="s">
        <v>1141</v>
      </c>
      <c r="W10" s="26">
        <v>2</v>
      </c>
      <c r="X10" s="36">
        <f t="shared" si="9"/>
        <v>0.13333333333333333</v>
      </c>
      <c r="Y10" s="37">
        <f t="shared" si="10"/>
        <v>1.3749999999999998</v>
      </c>
      <c r="Z10" s="26">
        <v>0</v>
      </c>
      <c r="AA10" s="26" t="s">
        <v>37</v>
      </c>
      <c r="AB10" s="38">
        <f t="shared" si="11"/>
        <v>-0.69</v>
      </c>
      <c r="AC10" s="39">
        <v>0.30196527777777776</v>
      </c>
      <c r="AD10" s="37">
        <f t="shared" si="12"/>
        <v>-6.2506812499999986</v>
      </c>
      <c r="AE10" s="37">
        <v>-6.18</v>
      </c>
      <c r="AF10" s="37">
        <v>-9.2645159090909104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22.864999999999998</v>
      </c>
      <c r="D11" s="27">
        <v>4</v>
      </c>
      <c r="E11" s="27">
        <v>1</v>
      </c>
      <c r="F11" s="28">
        <v>91.46</v>
      </c>
      <c r="G11" s="28">
        <v>-1.39</v>
      </c>
      <c r="H11" s="29">
        <f t="shared" si="1"/>
        <v>1.5197900721626941E-2</v>
      </c>
      <c r="I11" s="29">
        <f t="shared" si="2"/>
        <v>0.14111183063965699</v>
      </c>
      <c r="J11" s="30">
        <f t="shared" si="5"/>
        <v>12.906088030303026</v>
      </c>
      <c r="K11" s="30">
        <f t="shared" si="3"/>
        <v>3.2265220075757566</v>
      </c>
      <c r="L11" s="27">
        <v>40</v>
      </c>
      <c r="M11" s="31">
        <f t="shared" si="6"/>
        <v>0.1</v>
      </c>
      <c r="N11" s="27">
        <v>32</v>
      </c>
      <c r="O11" s="32">
        <f t="shared" ref="O11:P11" si="19">D11/7</f>
        <v>0.5714285714285714</v>
      </c>
      <c r="P11" s="32">
        <f t="shared" si="19"/>
        <v>0.14285714285714285</v>
      </c>
      <c r="Q11" s="27">
        <f t="shared" si="8"/>
        <v>44</v>
      </c>
      <c r="R11" s="27"/>
      <c r="S11" s="33">
        <v>1.8823529411764699</v>
      </c>
      <c r="T11" s="26">
        <v>72</v>
      </c>
      <c r="U11" s="34" t="s">
        <v>34</v>
      </c>
      <c r="V11" s="35" t="s">
        <v>1143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0.30196527777777776</v>
      </c>
      <c r="AD11" s="37">
        <f t="shared" si="12"/>
        <v>-1.666848333333333</v>
      </c>
      <c r="AE11" s="37">
        <v>-6.18</v>
      </c>
      <c r="AF11" s="37">
        <v>-9.2645159090909104</v>
      </c>
      <c r="AG11" s="37">
        <v>0</v>
      </c>
    </row>
    <row r="12" spans="1:33" ht="15.75" customHeight="1" x14ac:dyDescent="0.2">
      <c r="A12" s="26" t="s">
        <v>52</v>
      </c>
      <c r="B12" s="26" t="s">
        <v>645</v>
      </c>
      <c r="C12" s="14">
        <f t="shared" si="4"/>
        <v>23.295000000000002</v>
      </c>
      <c r="D12" s="27">
        <v>18</v>
      </c>
      <c r="E12" s="27">
        <v>1</v>
      </c>
      <c r="F12" s="28">
        <v>419.31000000000006</v>
      </c>
      <c r="G12" s="28">
        <v>-1.2200000000000002</v>
      </c>
      <c r="H12" s="29">
        <f t="shared" si="1"/>
        <v>2.9095418663995613E-3</v>
      </c>
      <c r="I12" s="29">
        <f t="shared" si="2"/>
        <v>0.16620494654638251</v>
      </c>
      <c r="J12" s="30">
        <f t="shared" si="5"/>
        <v>69.691396136363664</v>
      </c>
      <c r="K12" s="30">
        <f t="shared" si="3"/>
        <v>3.8717442297979812</v>
      </c>
      <c r="L12" s="27">
        <v>56</v>
      </c>
      <c r="M12" s="31">
        <f t="shared" si="6"/>
        <v>0.32142857142857145</v>
      </c>
      <c r="N12" s="27">
        <v>15</v>
      </c>
      <c r="O12" s="32">
        <f t="shared" ref="O12:P12" si="20">D12/7</f>
        <v>2.5714285714285716</v>
      </c>
      <c r="P12" s="32">
        <f t="shared" si="20"/>
        <v>0.14285714285714285</v>
      </c>
      <c r="Q12" s="27">
        <f t="shared" si="8"/>
        <v>5</v>
      </c>
      <c r="R12" s="27"/>
      <c r="S12" s="33">
        <v>1.8</v>
      </c>
      <c r="T12" s="26">
        <v>72</v>
      </c>
      <c r="U12" s="34">
        <v>72</v>
      </c>
      <c r="V12" s="35" t="s">
        <v>1144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0.30196527777777776</v>
      </c>
      <c r="AD12" s="37">
        <f t="shared" si="12"/>
        <v>-7.5008174999999984</v>
      </c>
      <c r="AE12" s="37">
        <v>-6.18</v>
      </c>
      <c r="AF12" s="37">
        <v>-9.2645159090909104</v>
      </c>
      <c r="AG12" s="37">
        <v>0</v>
      </c>
    </row>
    <row r="13" spans="1:33" ht="15.75" customHeight="1" x14ac:dyDescent="0.2">
      <c r="A13" s="26" t="s">
        <v>54</v>
      </c>
      <c r="B13" s="26" t="s">
        <v>764</v>
      </c>
      <c r="C13" s="14">
        <f t="shared" si="4"/>
        <v>23.99</v>
      </c>
      <c r="D13" s="27">
        <v>1</v>
      </c>
      <c r="E13" s="27">
        <v>0</v>
      </c>
      <c r="F13" s="30">
        <v>23.99</v>
      </c>
      <c r="G13" s="28">
        <v>-1.2400000000000002</v>
      </c>
      <c r="H13" s="29">
        <f t="shared" si="1"/>
        <v>5.1688203418090883E-2</v>
      </c>
      <c r="I13" s="29">
        <f t="shared" si="2"/>
        <v>0.13150291630351046</v>
      </c>
      <c r="J13" s="30">
        <f t="shared" si="5"/>
        <v>3.1547549621212156</v>
      </c>
      <c r="K13" s="30">
        <f t="shared" si="3"/>
        <v>3.1547549621212156</v>
      </c>
      <c r="L13" s="27">
        <v>26</v>
      </c>
      <c r="M13" s="31">
        <f t="shared" si="6"/>
        <v>3.8461538461538464E-2</v>
      </c>
      <c r="N13" s="27">
        <v>12</v>
      </c>
      <c r="O13" s="32">
        <f t="shared" ref="O13:P13" si="21">D13/7</f>
        <v>0.14285714285714285</v>
      </c>
      <c r="P13" s="32">
        <f t="shared" si="21"/>
        <v>0</v>
      </c>
      <c r="Q13" s="27">
        <f t="shared" si="8"/>
        <v>84</v>
      </c>
      <c r="R13" s="27"/>
      <c r="S13" s="33">
        <v>2.0714285714285698</v>
      </c>
      <c r="T13" s="26">
        <v>72</v>
      </c>
      <c r="U13" s="34">
        <v>72</v>
      </c>
      <c r="V13" s="35" t="s">
        <v>1145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0.30196527777777776</v>
      </c>
      <c r="AD13" s="37">
        <f t="shared" si="12"/>
        <v>-0.41671208333333326</v>
      </c>
      <c r="AE13" s="37">
        <v>-6.18</v>
      </c>
      <c r="AF13" s="37">
        <v>-9.4000329545454502</v>
      </c>
      <c r="AG13" s="37">
        <v>0</v>
      </c>
    </row>
    <row r="14" spans="1:33" ht="15.75" customHeight="1" x14ac:dyDescent="0.2">
      <c r="A14" s="26" t="s">
        <v>56</v>
      </c>
      <c r="B14" s="26" t="s">
        <v>1146</v>
      </c>
      <c r="C14" s="14">
        <f t="shared" si="4"/>
        <v>23.99</v>
      </c>
      <c r="D14" s="27">
        <v>2</v>
      </c>
      <c r="E14" s="27">
        <v>0</v>
      </c>
      <c r="F14" s="30">
        <v>47.98</v>
      </c>
      <c r="G14" s="28">
        <v>-0.72000000000000008</v>
      </c>
      <c r="H14" s="29">
        <f t="shared" si="1"/>
        <v>1.5006252605252192E-2</v>
      </c>
      <c r="I14" s="29">
        <f t="shared" si="2"/>
        <v>0.16818486711634908</v>
      </c>
      <c r="J14" s="30">
        <f t="shared" si="5"/>
        <v>8.0695099242424284</v>
      </c>
      <c r="K14" s="30">
        <f t="shared" si="3"/>
        <v>4.0347549621212142</v>
      </c>
      <c r="L14" s="27">
        <v>36</v>
      </c>
      <c r="M14" s="31">
        <f t="shared" si="6"/>
        <v>5.5555555555555552E-2</v>
      </c>
      <c r="N14" s="27">
        <v>10</v>
      </c>
      <c r="O14" s="32">
        <f t="shared" ref="O14:P14" si="22">D14/7</f>
        <v>0.2857142857142857</v>
      </c>
      <c r="P14" s="32">
        <f t="shared" si="22"/>
        <v>0</v>
      </c>
      <c r="Q14" s="27">
        <f t="shared" si="8"/>
        <v>35</v>
      </c>
      <c r="R14" s="27"/>
      <c r="S14" s="33">
        <v>1.93442622950819</v>
      </c>
      <c r="T14" s="26">
        <v>238</v>
      </c>
      <c r="U14" s="34">
        <v>72</v>
      </c>
      <c r="V14" s="35" t="s">
        <v>1145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0.30196527777777776</v>
      </c>
      <c r="AD14" s="37">
        <f t="shared" si="12"/>
        <v>-0.83342416666666652</v>
      </c>
      <c r="AE14" s="37">
        <v>-6.18</v>
      </c>
      <c r="AF14" s="37">
        <v>-9.4000329545454502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23.99</v>
      </c>
      <c r="D15" s="27">
        <v>3</v>
      </c>
      <c r="E15" s="27">
        <v>1</v>
      </c>
      <c r="F15" s="30">
        <v>71.97</v>
      </c>
      <c r="G15" s="28">
        <v>-1.37</v>
      </c>
      <c r="H15" s="29">
        <f t="shared" si="1"/>
        <v>1.9035709323329167E-2</v>
      </c>
      <c r="I15" s="29">
        <f t="shared" si="2"/>
        <v>0.16415541039827219</v>
      </c>
      <c r="J15" s="30">
        <f t="shared" si="5"/>
        <v>11.814264886363649</v>
      </c>
      <c r="K15" s="30">
        <f t="shared" si="3"/>
        <v>3.9380882954545497</v>
      </c>
      <c r="L15" s="27">
        <v>39</v>
      </c>
      <c r="M15" s="31">
        <f t="shared" si="6"/>
        <v>7.6923076923076927E-2</v>
      </c>
      <c r="N15" s="27">
        <v>6</v>
      </c>
      <c r="O15" s="32">
        <f t="shared" ref="O15:P15" si="23">D15/7</f>
        <v>0.42857142857142855</v>
      </c>
      <c r="P15" s="32">
        <f t="shared" si="23"/>
        <v>0.14285714285714285</v>
      </c>
      <c r="Q15" s="27">
        <f t="shared" si="8"/>
        <v>10</v>
      </c>
      <c r="R15" s="27"/>
      <c r="S15" s="33">
        <v>2.0465116279069702</v>
      </c>
      <c r="T15" s="26">
        <v>238</v>
      </c>
      <c r="U15" s="34">
        <v>72</v>
      </c>
      <c r="V15" s="35" t="s">
        <v>1147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0.30196527777777776</v>
      </c>
      <c r="AD15" s="37">
        <f t="shared" si="12"/>
        <v>-1.2501362499999997</v>
      </c>
      <c r="AE15" s="37">
        <v>-6.18</v>
      </c>
      <c r="AF15" s="37">
        <v>-9.4000329545454502</v>
      </c>
      <c r="AG15" s="37">
        <v>0</v>
      </c>
    </row>
    <row r="16" spans="1:33" ht="15.75" customHeight="1" x14ac:dyDescent="0.2">
      <c r="A16" s="26" t="s">
        <v>60</v>
      </c>
      <c r="B16" s="26" t="s">
        <v>76</v>
      </c>
      <c r="C16" s="14">
        <f t="shared" si="4"/>
        <v>23.99</v>
      </c>
      <c r="D16" s="27">
        <v>4</v>
      </c>
      <c r="E16" s="27">
        <v>0</v>
      </c>
      <c r="F16" s="30">
        <v>95.96</v>
      </c>
      <c r="G16" s="28">
        <v>-0.69</v>
      </c>
      <c r="H16" s="29">
        <f t="shared" si="1"/>
        <v>7.1904960400166733E-3</v>
      </c>
      <c r="I16" s="29">
        <f t="shared" si="2"/>
        <v>0.17600062368158459</v>
      </c>
      <c r="J16" s="30">
        <f t="shared" si="5"/>
        <v>16.889019848484857</v>
      </c>
      <c r="K16" s="30">
        <f t="shared" si="3"/>
        <v>4.2222549621212142</v>
      </c>
      <c r="L16" s="27">
        <v>11</v>
      </c>
      <c r="M16" s="31">
        <f t="shared" si="6"/>
        <v>0.36363636363636365</v>
      </c>
      <c r="N16" s="27">
        <v>1</v>
      </c>
      <c r="O16" s="32">
        <f t="shared" ref="O16:P16" si="24">D16/7</f>
        <v>0.5714285714285714</v>
      </c>
      <c r="P16" s="32">
        <f t="shared" si="24"/>
        <v>0</v>
      </c>
      <c r="Q16" s="27">
        <f t="shared" si="8"/>
        <v>1</v>
      </c>
      <c r="R16" s="27"/>
      <c r="S16" s="33" t="e">
        <v>#N/A</v>
      </c>
      <c r="T16" s="26">
        <v>238</v>
      </c>
      <c r="U16" s="34">
        <v>72</v>
      </c>
      <c r="V16" s="35" t="s">
        <v>1148</v>
      </c>
      <c r="W16" s="26">
        <v>2</v>
      </c>
      <c r="X16" s="36">
        <f t="shared" si="9"/>
        <v>0.5</v>
      </c>
      <c r="Y16" s="37">
        <f t="shared" si="10"/>
        <v>0.34499999999999997</v>
      </c>
      <c r="Z16" s="26">
        <v>0</v>
      </c>
      <c r="AA16" s="26" t="s">
        <v>37</v>
      </c>
      <c r="AB16" s="38">
        <f t="shared" si="11"/>
        <v>-0.69</v>
      </c>
      <c r="AC16" s="39">
        <v>0.30196527777777776</v>
      </c>
      <c r="AD16" s="37">
        <f t="shared" si="12"/>
        <v>-1.666848333333333</v>
      </c>
      <c r="AE16" s="37">
        <v>-6.18</v>
      </c>
      <c r="AF16" s="37">
        <v>-9.4000329545454502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238</v>
      </c>
      <c r="U17" s="34">
        <v>72</v>
      </c>
      <c r="V17" s="35" t="s">
        <v>1148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e">
        <v>#N/A</v>
      </c>
      <c r="AB17" s="38" t="e">
        <f t="shared" si="11"/>
        <v>#N/A</v>
      </c>
      <c r="AC17" s="39" t="e">
        <v>#N/A</v>
      </c>
      <c r="AD17" s="37">
        <f t="shared" si="12"/>
        <v>0</v>
      </c>
      <c r="AE17" s="37">
        <v>0</v>
      </c>
      <c r="AF17" s="37">
        <v>-9.4000329545454502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-0.61</v>
      </c>
      <c r="H18" s="29" t="e">
        <f t="shared" si="1"/>
        <v>#DIV/0!</v>
      </c>
      <c r="I18" s="29" t="e">
        <f t="shared" si="2"/>
        <v>#DIV/0!</v>
      </c>
      <c r="J18" s="30">
        <f t="shared" si="5"/>
        <v>-0.61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1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2.3578947368421002</v>
      </c>
      <c r="T18" s="26">
        <v>238</v>
      </c>
      <c r="U18" s="34">
        <v>72</v>
      </c>
      <c r="V18" s="35" t="s">
        <v>1148</v>
      </c>
      <c r="W18" s="26">
        <v>0</v>
      </c>
      <c r="X18" s="36">
        <f t="shared" si="9"/>
        <v>0</v>
      </c>
      <c r="Y18" s="37">
        <f t="shared" si="10"/>
        <v>0.61</v>
      </c>
      <c r="Z18" s="26">
        <v>1</v>
      </c>
      <c r="AA18" s="26" t="s">
        <v>37</v>
      </c>
      <c r="AB18" s="38">
        <f t="shared" si="11"/>
        <v>-0.69</v>
      </c>
      <c r="AC18" s="39">
        <v>0.30196527777777776</v>
      </c>
      <c r="AD18" s="37">
        <f t="shared" si="12"/>
        <v>0</v>
      </c>
      <c r="AE18" s="37">
        <v>-6.18</v>
      </c>
      <c r="AF18" s="37">
        <v>-9.4000329545454502</v>
      </c>
      <c r="AG18" s="37">
        <v>0</v>
      </c>
    </row>
    <row r="19" spans="1:33" ht="15.75" customHeight="1" x14ac:dyDescent="0.2">
      <c r="A19" s="26" t="s">
        <v>64</v>
      </c>
      <c r="B19" s="26" t="s">
        <v>728</v>
      </c>
      <c r="C19" s="14">
        <f t="shared" si="4"/>
        <v>23.99</v>
      </c>
      <c r="D19" s="27">
        <v>2</v>
      </c>
      <c r="E19" s="27">
        <v>0</v>
      </c>
      <c r="F19" s="30">
        <v>47.98</v>
      </c>
      <c r="G19" s="28">
        <v>-0.9</v>
      </c>
      <c r="H19" s="29">
        <f t="shared" si="1"/>
        <v>1.8757815756565238E-2</v>
      </c>
      <c r="I19" s="29">
        <f t="shared" si="2"/>
        <v>0.16443330396503583</v>
      </c>
      <c r="J19" s="30">
        <f t="shared" si="5"/>
        <v>7.8895099242424189</v>
      </c>
      <c r="K19" s="30">
        <f t="shared" si="3"/>
        <v>3.9447549621212095</v>
      </c>
      <c r="L19" s="27">
        <v>19</v>
      </c>
      <c r="M19" s="31">
        <f t="shared" si="6"/>
        <v>0.10526315789473684</v>
      </c>
      <c r="N19" s="27">
        <v>41</v>
      </c>
      <c r="O19" s="32">
        <f t="shared" ref="O19:P19" si="27">D19/7</f>
        <v>0.2857142857142857</v>
      </c>
      <c r="P19" s="32">
        <f t="shared" si="27"/>
        <v>0</v>
      </c>
      <c r="Q19" s="27">
        <f t="shared" si="8"/>
        <v>143</v>
      </c>
      <c r="R19" s="27"/>
      <c r="S19" s="33" t="e">
        <v>#N/A</v>
      </c>
      <c r="T19" s="26">
        <v>166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0.9</v>
      </c>
      <c r="Z19" s="26">
        <v>1</v>
      </c>
      <c r="AA19" s="26" t="s">
        <v>37</v>
      </c>
      <c r="AB19" s="38">
        <f t="shared" si="11"/>
        <v>-0.69</v>
      </c>
      <c r="AC19" s="39">
        <v>0.30196527777777776</v>
      </c>
      <c r="AD19" s="37">
        <f t="shared" si="12"/>
        <v>-0.83342416666666652</v>
      </c>
      <c r="AE19" s="37">
        <v>-6.18</v>
      </c>
      <c r="AF19" s="37">
        <v>-9.4000329545454555</v>
      </c>
      <c r="AG19" s="37">
        <v>0</v>
      </c>
    </row>
    <row r="20" spans="1:33" ht="15.75" customHeight="1" x14ac:dyDescent="0.2">
      <c r="A20" s="26" t="s">
        <v>65</v>
      </c>
      <c r="B20" s="26" t="s">
        <v>1149</v>
      </c>
      <c r="C20" s="14">
        <f t="shared" si="4"/>
        <v>23.99</v>
      </c>
      <c r="D20" s="27">
        <v>9</v>
      </c>
      <c r="E20" s="27">
        <v>0</v>
      </c>
      <c r="F20" s="30">
        <v>215.91</v>
      </c>
      <c r="G20" s="28">
        <v>-1.2599999999999998</v>
      </c>
      <c r="H20" s="29">
        <f t="shared" si="1"/>
        <v>5.8357649020425164E-3</v>
      </c>
      <c r="I20" s="29">
        <f t="shared" si="2"/>
        <v>0.17735535481955864</v>
      </c>
      <c r="J20" s="30">
        <f t="shared" si="5"/>
        <v>38.292794659090902</v>
      </c>
      <c r="K20" s="30">
        <f t="shared" si="3"/>
        <v>4.2547549621212113</v>
      </c>
      <c r="L20" s="27">
        <v>31</v>
      </c>
      <c r="M20" s="31">
        <f t="shared" si="6"/>
        <v>0.29032258064516131</v>
      </c>
      <c r="N20" s="27">
        <v>17</v>
      </c>
      <c r="O20" s="32">
        <f t="shared" ref="O20:P20" si="28">D20/7</f>
        <v>1.2857142857142858</v>
      </c>
      <c r="P20" s="32">
        <f t="shared" si="28"/>
        <v>0</v>
      </c>
      <c r="Q20" s="27">
        <f t="shared" si="8"/>
        <v>13</v>
      </c>
      <c r="R20" s="27"/>
      <c r="S20" s="33">
        <v>2.2146892655367201</v>
      </c>
      <c r="T20" s="26">
        <v>166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0.30196527777777776</v>
      </c>
      <c r="AD20" s="37">
        <f t="shared" si="12"/>
        <v>-3.7504087499999992</v>
      </c>
      <c r="AE20" s="37">
        <v>-6.18</v>
      </c>
      <c r="AF20" s="37">
        <v>-9.4000329545454555</v>
      </c>
      <c r="AG20" s="37">
        <v>0</v>
      </c>
    </row>
    <row r="21" spans="1:33" ht="15.75" customHeight="1" x14ac:dyDescent="0.2">
      <c r="A21" s="26" t="s">
        <v>66</v>
      </c>
      <c r="B21" s="26" t="s">
        <v>76</v>
      </c>
      <c r="C21" s="14">
        <f t="shared" si="4"/>
        <v>25.99</v>
      </c>
      <c r="D21" s="27">
        <v>2</v>
      </c>
      <c r="E21" s="27">
        <v>0</v>
      </c>
      <c r="F21" s="30">
        <v>51.98</v>
      </c>
      <c r="G21" s="28">
        <v>-0.61</v>
      </c>
      <c r="H21" s="29">
        <f t="shared" si="1"/>
        <v>1.1735282801077338E-2</v>
      </c>
      <c r="I21" s="29">
        <f t="shared" si="2"/>
        <v>0.22276856337519077</v>
      </c>
      <c r="J21" s="30">
        <f t="shared" si="5"/>
        <v>11.579509924242416</v>
      </c>
      <c r="K21" s="30">
        <f t="shared" si="3"/>
        <v>5.7897549621212079</v>
      </c>
      <c r="L21" s="27">
        <v>21</v>
      </c>
      <c r="M21" s="31">
        <f t="shared" si="6"/>
        <v>9.5238095238095233E-2</v>
      </c>
      <c r="N21" s="27">
        <v>6</v>
      </c>
      <c r="O21" s="32">
        <f t="shared" ref="O21:P21" si="29">D21/7</f>
        <v>0.2857142857142857</v>
      </c>
      <c r="P21" s="32">
        <f t="shared" si="29"/>
        <v>0</v>
      </c>
      <c r="Q21" s="27">
        <f t="shared" si="8"/>
        <v>21</v>
      </c>
      <c r="R21" s="27"/>
      <c r="S21" s="33">
        <v>2.3679999999999999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0.30196527777777776</v>
      </c>
      <c r="AD21" s="37">
        <f t="shared" si="12"/>
        <v>-0.83342416666666652</v>
      </c>
      <c r="AE21" s="37">
        <v>-6.18</v>
      </c>
      <c r="AF21" s="37">
        <v>-9.4000329545454555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>
        <v>2.6190476190476102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0.30196527777777776</v>
      </c>
      <c r="AD22" s="37">
        <f t="shared" si="12"/>
        <v>0</v>
      </c>
      <c r="AE22" s="37">
        <v>-6.18</v>
      </c>
      <c r="AF22" s="37">
        <v>-9.4000329545454555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>
        <v>2.60869565217391</v>
      </c>
      <c r="T23" s="26">
        <v>166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0.30196527777777776</v>
      </c>
      <c r="AD23" s="37">
        <f t="shared" si="12"/>
        <v>0</v>
      </c>
      <c r="AE23" s="37">
        <v>-6.18</v>
      </c>
      <c r="AF23" s="37">
        <v>-9.4000329545454555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>
        <v>1.5319148936170199</v>
      </c>
      <c r="T24" s="26">
        <v>166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0.30196527777777776</v>
      </c>
      <c r="AD24" s="37">
        <f t="shared" si="12"/>
        <v>0</v>
      </c>
      <c r="AE24" s="37">
        <v>-6.18</v>
      </c>
      <c r="AF24" s="37">
        <v>-9.4000329545454555</v>
      </c>
      <c r="AG24" s="37">
        <v>0</v>
      </c>
    </row>
    <row r="25" spans="1:33" ht="15.75" customHeight="1" x14ac:dyDescent="0.2">
      <c r="A25" s="40" t="s">
        <v>73</v>
      </c>
      <c r="B25" s="40" t="s">
        <v>999</v>
      </c>
      <c r="C25" s="14">
        <f t="shared" si="4"/>
        <v>25.99</v>
      </c>
      <c r="D25" s="15">
        <v>4</v>
      </c>
      <c r="E25" s="15">
        <v>0</v>
      </c>
      <c r="F25" s="16">
        <v>103.96</v>
      </c>
      <c r="G25" s="16">
        <v>-0.4</v>
      </c>
      <c r="H25" s="29">
        <f t="shared" si="1"/>
        <v>3.8476337052712585E-3</v>
      </c>
      <c r="I25" s="29">
        <f t="shared" si="2"/>
        <v>0.23065748044119513</v>
      </c>
      <c r="J25" s="30">
        <f t="shared" si="5"/>
        <v>23.979151666666645</v>
      </c>
      <c r="K25" s="30">
        <f t="shared" si="3"/>
        <v>5.9947879166666613</v>
      </c>
      <c r="L25" s="15">
        <v>5</v>
      </c>
      <c r="M25" s="31">
        <f t="shared" si="6"/>
        <v>0.8</v>
      </c>
      <c r="N25" s="15">
        <v>67</v>
      </c>
      <c r="O25" s="32">
        <f t="shared" ref="O25:P25" si="33">D25/7</f>
        <v>0.5714285714285714</v>
      </c>
      <c r="P25" s="32">
        <f t="shared" si="33"/>
        <v>0</v>
      </c>
      <c r="Q25" s="27">
        <f t="shared" si="8"/>
        <v>117</v>
      </c>
      <c r="R25" s="27"/>
      <c r="S25" s="41">
        <v>0.5901639344262295</v>
      </c>
      <c r="T25" s="26">
        <v>166</v>
      </c>
      <c r="U25" s="34" t="s">
        <v>34</v>
      </c>
      <c r="V25" s="35" t="s">
        <v>34</v>
      </c>
      <c r="W25" s="40">
        <v>2</v>
      </c>
      <c r="X25" s="36">
        <f t="shared" si="9"/>
        <v>0.5</v>
      </c>
      <c r="Y25" s="37">
        <f t="shared" si="10"/>
        <v>0.13333333333333333</v>
      </c>
      <c r="Z25" s="40">
        <v>1</v>
      </c>
      <c r="AA25" s="26" t="s">
        <v>37</v>
      </c>
      <c r="AB25" s="38">
        <f t="shared" si="11"/>
        <v>-0.69</v>
      </c>
      <c r="AC25" s="39">
        <v>0.30196527777777776</v>
      </c>
      <c r="AD25" s="37">
        <f t="shared" si="12"/>
        <v>-1.666848333333333</v>
      </c>
      <c r="AE25" s="42">
        <v>-6.18</v>
      </c>
      <c r="AF25" s="42">
        <v>-9.4</v>
      </c>
      <c r="AG25" s="42">
        <v>0</v>
      </c>
    </row>
    <row r="26" spans="1:33" ht="15.75" customHeight="1" x14ac:dyDescent="0.2">
      <c r="A26" s="40" t="s">
        <v>75</v>
      </c>
      <c r="B26" s="40" t="s">
        <v>1150</v>
      </c>
      <c r="C26" s="14">
        <f t="shared" si="4"/>
        <v>23.52</v>
      </c>
      <c r="D26" s="15">
        <v>2</v>
      </c>
      <c r="E26" s="15">
        <v>0</v>
      </c>
      <c r="F26" s="16">
        <v>47.04</v>
      </c>
      <c r="G26" s="16">
        <v>-0.75</v>
      </c>
      <c r="H26" s="29">
        <f t="shared" si="1"/>
        <v>1.5943877551020409E-2</v>
      </c>
      <c r="I26" s="29">
        <f t="shared" si="2"/>
        <v>0.16242580621263678</v>
      </c>
      <c r="J26" s="30">
        <f t="shared" si="5"/>
        <v>7.6405099242424344</v>
      </c>
      <c r="K26" s="30">
        <f t="shared" si="3"/>
        <v>3.8202549621212172</v>
      </c>
      <c r="L26" s="15">
        <v>17</v>
      </c>
      <c r="M26" s="31">
        <f t="shared" si="6"/>
        <v>0.11764705882352941</v>
      </c>
      <c r="N26" s="15">
        <v>64</v>
      </c>
      <c r="O26" s="32">
        <f t="shared" ref="O26:P26" si="34">D26/7</f>
        <v>0.2857142857142857</v>
      </c>
      <c r="P26" s="32">
        <f t="shared" si="34"/>
        <v>0</v>
      </c>
      <c r="Q26" s="27">
        <f t="shared" si="8"/>
        <v>224</v>
      </c>
      <c r="R26" s="27"/>
      <c r="S26" s="41">
        <v>0.85106382978723405</v>
      </c>
      <c r="T26" s="26">
        <v>166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0.30196527777777776</v>
      </c>
      <c r="AD26" s="37">
        <f t="shared" si="12"/>
        <v>-0.83342416666666652</v>
      </c>
      <c r="AE26" s="42">
        <v>-5.98</v>
      </c>
      <c r="AF26" s="42">
        <v>-9.4000329545454502</v>
      </c>
      <c r="AG26" s="42">
        <v>0</v>
      </c>
    </row>
    <row r="27" spans="1:33" ht="15.75" customHeight="1" x14ac:dyDescent="0.2">
      <c r="A27" s="40" t="s">
        <v>77</v>
      </c>
      <c r="B27" s="40" t="s">
        <v>1151</v>
      </c>
      <c r="C27" s="14">
        <f t="shared" si="4"/>
        <v>19.989999999999998</v>
      </c>
      <c r="D27" s="15">
        <v>6</v>
      </c>
      <c r="E27" s="15">
        <v>1</v>
      </c>
      <c r="F27" s="16">
        <v>119.94</v>
      </c>
      <c r="G27" s="16">
        <v>-0.83</v>
      </c>
      <c r="H27" s="29">
        <f t="shared" si="1"/>
        <v>6.9201267300316822E-3</v>
      </c>
      <c r="I27" s="29">
        <f t="shared" si="2"/>
        <v>5.2847505191990163E-2</v>
      </c>
      <c r="J27" s="30">
        <f t="shared" si="5"/>
        <v>6.3385297727273002</v>
      </c>
      <c r="K27" s="30">
        <f t="shared" si="3"/>
        <v>1.0564216287878834</v>
      </c>
      <c r="L27" s="15">
        <v>17</v>
      </c>
      <c r="M27" s="31">
        <f t="shared" si="6"/>
        <v>0.35294117647058826</v>
      </c>
      <c r="N27" s="15">
        <v>57</v>
      </c>
      <c r="O27" s="32">
        <f t="shared" ref="O27:P27" si="35">D27/7</f>
        <v>0.8571428571428571</v>
      </c>
      <c r="P27" s="32">
        <f t="shared" si="35"/>
        <v>0.14285714285714285</v>
      </c>
      <c r="Q27" s="27">
        <f t="shared" si="8"/>
        <v>57</v>
      </c>
      <c r="R27" s="27"/>
      <c r="S27" s="41">
        <v>1.063291139240506</v>
      </c>
      <c r="T27" s="26">
        <v>166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0.30196527777777776</v>
      </c>
      <c r="AD27" s="37">
        <f t="shared" si="12"/>
        <v>-2.5002724999999995</v>
      </c>
      <c r="AE27" s="42">
        <v>-5.98</v>
      </c>
      <c r="AF27" s="42">
        <v>-9.4000329545454502</v>
      </c>
      <c r="AG27" s="42">
        <v>0</v>
      </c>
    </row>
    <row r="28" spans="1:33" ht="15.75" customHeight="1" x14ac:dyDescent="0.2">
      <c r="A28" s="40" t="s">
        <v>79</v>
      </c>
      <c r="B28" s="40" t="s">
        <v>1151</v>
      </c>
      <c r="C28" s="14">
        <f t="shared" si="4"/>
        <v>19.990000000000002</v>
      </c>
      <c r="D28" s="15">
        <v>7</v>
      </c>
      <c r="E28" s="15">
        <v>0</v>
      </c>
      <c r="F28" s="16">
        <v>139.93</v>
      </c>
      <c r="G28" s="16">
        <v>-0.43</v>
      </c>
      <c r="H28" s="29">
        <f t="shared" si="1"/>
        <v>3.0729650539555492E-3</v>
      </c>
      <c r="I28" s="29">
        <f t="shared" si="2"/>
        <v>5.6694666868066255E-2</v>
      </c>
      <c r="J28" s="30">
        <f t="shared" si="5"/>
        <v>7.9332847348485114</v>
      </c>
      <c r="K28" s="30">
        <f t="shared" si="3"/>
        <v>1.1333263906926445</v>
      </c>
      <c r="L28" s="15">
        <v>19</v>
      </c>
      <c r="M28" s="31">
        <f t="shared" si="6"/>
        <v>0.36842105263157893</v>
      </c>
      <c r="N28" s="15">
        <v>50</v>
      </c>
      <c r="O28" s="32">
        <f t="shared" ref="O28:P28" si="36">D28/7</f>
        <v>1</v>
      </c>
      <c r="P28" s="32">
        <f t="shared" si="36"/>
        <v>0</v>
      </c>
      <c r="Q28" s="27">
        <f t="shared" si="8"/>
        <v>50</v>
      </c>
      <c r="R28" s="27"/>
      <c r="S28" s="41">
        <v>1</v>
      </c>
      <c r="T28" s="40" t="s">
        <v>34</v>
      </c>
      <c r="U28" s="22">
        <v>48</v>
      </c>
      <c r="V28" s="1" t="s">
        <v>1152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0.30196527777777776</v>
      </c>
      <c r="AD28" s="37">
        <f t="shared" si="12"/>
        <v>-2.916984583333333</v>
      </c>
      <c r="AE28" s="42">
        <v>-5.98</v>
      </c>
      <c r="AF28" s="42">
        <v>-9.4000329545454502</v>
      </c>
      <c r="AG28" s="42">
        <v>0</v>
      </c>
    </row>
    <row r="29" spans="1:33" ht="15.75" customHeight="1" x14ac:dyDescent="0.2">
      <c r="A29" s="26" t="s">
        <v>82</v>
      </c>
      <c r="B29" s="26" t="s">
        <v>728</v>
      </c>
      <c r="C29" s="14">
        <f t="shared" si="4"/>
        <v>19.989999999999998</v>
      </c>
      <c r="D29" s="27">
        <v>23</v>
      </c>
      <c r="E29" s="27">
        <v>5</v>
      </c>
      <c r="F29" s="30">
        <v>459.77</v>
      </c>
      <c r="G29" s="30">
        <v>-0.76</v>
      </c>
      <c r="H29" s="29">
        <f t="shared" si="1"/>
        <v>1.6530004132501034E-3</v>
      </c>
      <c r="I29" s="29">
        <f t="shared" si="2"/>
        <v>5.8114631508771601E-2</v>
      </c>
      <c r="J29" s="30">
        <f t="shared" si="5"/>
        <v>26.71936412878792</v>
      </c>
      <c r="K29" s="30">
        <f t="shared" si="3"/>
        <v>1.1617114838603444</v>
      </c>
      <c r="L29" s="27">
        <v>33</v>
      </c>
      <c r="M29" s="31">
        <f t="shared" si="6"/>
        <v>0.69696969696969702</v>
      </c>
      <c r="N29" s="15">
        <v>28</v>
      </c>
      <c r="O29" s="32">
        <f t="shared" ref="O29:P29" si="37">D29/7</f>
        <v>3.2857142857142856</v>
      </c>
      <c r="P29" s="32">
        <f t="shared" si="37"/>
        <v>0.7142857142857143</v>
      </c>
      <c r="Q29" s="27">
        <f t="shared" si="8"/>
        <v>7</v>
      </c>
      <c r="R29" s="27"/>
      <c r="S29" s="41">
        <v>1.393939393939394</v>
      </c>
      <c r="T29" s="40" t="s">
        <v>34</v>
      </c>
      <c r="U29" s="22" t="s">
        <v>34</v>
      </c>
      <c r="V29" s="1" t="s">
        <v>34</v>
      </c>
      <c r="W29" s="40">
        <v>1</v>
      </c>
      <c r="X29" s="36">
        <f t="shared" si="9"/>
        <v>4.3478260869565216E-2</v>
      </c>
      <c r="Y29" s="37">
        <f t="shared" si="10"/>
        <v>0.76</v>
      </c>
      <c r="Z29" s="40">
        <v>0</v>
      </c>
      <c r="AA29" s="26" t="s">
        <v>37</v>
      </c>
      <c r="AB29" s="38">
        <f t="shared" si="11"/>
        <v>-0.69</v>
      </c>
      <c r="AC29" s="39">
        <v>0.30196527777777776</v>
      </c>
      <c r="AD29" s="37">
        <f t="shared" si="12"/>
        <v>-9.5843779166666643</v>
      </c>
      <c r="AE29" s="37">
        <v>-5.98</v>
      </c>
      <c r="AF29" s="42">
        <v>-9.4000329545454502</v>
      </c>
      <c r="AG29" s="37">
        <v>0</v>
      </c>
    </row>
    <row r="30" spans="1:33" ht="15.75" customHeight="1" x14ac:dyDescent="0.2">
      <c r="A30" s="40" t="s">
        <v>84</v>
      </c>
      <c r="B30" s="40" t="s">
        <v>569</v>
      </c>
      <c r="C30" s="14">
        <f t="shared" si="4"/>
        <v>21.963157894736842</v>
      </c>
      <c r="D30" s="15">
        <v>19</v>
      </c>
      <c r="E30" s="15">
        <v>0</v>
      </c>
      <c r="F30" s="16">
        <v>417.3</v>
      </c>
      <c r="G30" s="16">
        <v>-0.26</v>
      </c>
      <c r="H30" s="29">
        <f t="shared" si="1"/>
        <v>6.2305295950155766E-4</v>
      </c>
      <c r="I30" s="29">
        <f t="shared" si="2"/>
        <v>0.13753725440692649</v>
      </c>
      <c r="J30" s="30">
        <f t="shared" si="5"/>
        <v>57.394296264010421</v>
      </c>
      <c r="K30" s="30">
        <f t="shared" si="3"/>
        <v>3.0207524349479171</v>
      </c>
      <c r="L30" s="15">
        <v>33</v>
      </c>
      <c r="M30" s="31">
        <f t="shared" si="6"/>
        <v>0.5757575757575758</v>
      </c>
      <c r="N30" s="15">
        <v>5</v>
      </c>
      <c r="O30" s="32">
        <f t="shared" ref="O30:P30" si="38">D30/7</f>
        <v>2.7142857142857144</v>
      </c>
      <c r="P30" s="32">
        <f t="shared" si="38"/>
        <v>0</v>
      </c>
      <c r="Q30" s="27">
        <f t="shared" si="8"/>
        <v>1</v>
      </c>
      <c r="R30" s="27"/>
      <c r="S30" s="41">
        <v>1.8644067796610171</v>
      </c>
      <c r="T30" s="26">
        <v>380</v>
      </c>
      <c r="U30" s="34">
        <v>48</v>
      </c>
      <c r="V30" s="35" t="s">
        <v>1153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0.30196527777777776</v>
      </c>
      <c r="AD30" s="37">
        <f t="shared" si="12"/>
        <v>-7.9175295833333319</v>
      </c>
      <c r="AE30" s="42">
        <v>-5.98</v>
      </c>
      <c r="AF30" s="42">
        <v>-9.2375354817187496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23.99</v>
      </c>
      <c r="D31" s="15">
        <v>3</v>
      </c>
      <c r="E31" s="15">
        <v>0</v>
      </c>
      <c r="F31" s="16">
        <v>71.97</v>
      </c>
      <c r="G31" s="43">
        <v>-0.82</v>
      </c>
      <c r="H31" s="29">
        <f t="shared" si="1"/>
        <v>1.1393636237321106E-2</v>
      </c>
      <c r="I31" s="29">
        <f t="shared" si="2"/>
        <v>0.18690784083428844</v>
      </c>
      <c r="J31" s="30">
        <f t="shared" si="5"/>
        <v>13.451757304843738</v>
      </c>
      <c r="K31" s="30">
        <f t="shared" si="3"/>
        <v>4.4839191016145792</v>
      </c>
      <c r="L31" s="15">
        <v>21</v>
      </c>
      <c r="M31" s="31">
        <f t="shared" si="6"/>
        <v>0.14285714285714285</v>
      </c>
      <c r="N31" s="15">
        <v>0</v>
      </c>
      <c r="O31" s="32">
        <f t="shared" ref="O31:P31" si="39">D31/7</f>
        <v>0.42857142857142855</v>
      </c>
      <c r="P31" s="32">
        <f t="shared" si="39"/>
        <v>0</v>
      </c>
      <c r="Q31" s="27">
        <f t="shared" si="8"/>
        <v>0</v>
      </c>
      <c r="R31" s="27"/>
      <c r="S31" s="41" t="e">
        <v>#N/A</v>
      </c>
      <c r="T31" s="40">
        <v>118</v>
      </c>
      <c r="U31" s="22">
        <v>48</v>
      </c>
      <c r="V31" s="1" t="s">
        <v>1154</v>
      </c>
      <c r="W31" s="40">
        <v>1</v>
      </c>
      <c r="X31" s="36">
        <f t="shared" si="9"/>
        <v>0.33333333333333331</v>
      </c>
      <c r="Y31" s="37">
        <f t="shared" si="10"/>
        <v>0.82</v>
      </c>
      <c r="Z31" s="40">
        <v>0</v>
      </c>
      <c r="AA31" s="40" t="s">
        <v>37</v>
      </c>
      <c r="AB31" s="38">
        <f t="shared" si="11"/>
        <v>-0.69</v>
      </c>
      <c r="AC31" s="44">
        <v>0.30196527777777776</v>
      </c>
      <c r="AD31" s="37">
        <f t="shared" si="12"/>
        <v>-1.2501362499999997</v>
      </c>
      <c r="AE31" s="45">
        <v>-5.98</v>
      </c>
      <c r="AF31" s="45">
        <v>-9.2375354817187514</v>
      </c>
      <c r="AG31" s="42">
        <v>0</v>
      </c>
    </row>
    <row r="32" spans="1:33" ht="15.75" customHeight="1" x14ac:dyDescent="0.2">
      <c r="A32" s="40" t="s">
        <v>90</v>
      </c>
      <c r="B32" s="50" t="s">
        <v>46</v>
      </c>
      <c r="C32" s="14">
        <f t="shared" si="4"/>
        <v>23.99</v>
      </c>
      <c r="D32" s="15">
        <v>1</v>
      </c>
      <c r="E32" s="15">
        <v>0</v>
      </c>
      <c r="F32" s="16">
        <v>23.99</v>
      </c>
      <c r="G32" s="16">
        <v>-0.4</v>
      </c>
      <c r="H32" s="29">
        <f t="shared" si="1"/>
        <v>1.6673614005835766E-2</v>
      </c>
      <c r="I32" s="29">
        <f t="shared" si="2"/>
        <v>0.18162786306577386</v>
      </c>
      <c r="J32" s="30">
        <f t="shared" si="5"/>
        <v>4.3572524349479149</v>
      </c>
      <c r="K32" s="30">
        <f t="shared" si="3"/>
        <v>4.3572524349479149</v>
      </c>
      <c r="L32" s="15">
        <v>21</v>
      </c>
      <c r="M32" s="31">
        <f t="shared" si="6"/>
        <v>4.7619047619047616E-2</v>
      </c>
      <c r="N32" s="15">
        <v>4</v>
      </c>
      <c r="O32" s="32">
        <f t="shared" ref="O32:P32" si="40">D32/7</f>
        <v>0.14285714285714285</v>
      </c>
      <c r="P32" s="32">
        <f t="shared" si="40"/>
        <v>0</v>
      </c>
      <c r="Q32" s="27">
        <f t="shared" si="8"/>
        <v>28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2.6545454545454552</v>
      </c>
      <c r="T32" s="40">
        <f ca="1">IFERROR(__xludf.DUMMYFUNCTION("IFERROR(VLOOKUP($B$2,IMPORTRANGE(""https://docs.google.com/spreadsheets/d/1KiWZV1ko8G7lnRucBRBd29jj3Be6ltMfljMDqzOkQmI/edit#gid=1381463014"",""Lookup!A:D""),4,FALSE),"""")"),118)</f>
        <v>118</v>
      </c>
      <c r="U32" s="22">
        <f ca="1">IFERROR(__xludf.DUMMYFUNCTION("IFERROR(VLOOKUP($B$2,IMPORTRANGE(""https://docs.google.com/spreadsheets/d/1KiWZV1ko8G7lnRucBRBd29jj3Be6ltMfljMDqzOkQmI/edit#gid=1381463014"",""Lookup!A:D""),3,FALSE),"""")"),48)</f>
        <v>48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- 48 units 08/14")</f>
        <v>| AGL230  - 48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0.30196527777777776</v>
      </c>
      <c r="AD32" s="37">
        <f t="shared" si="12"/>
        <v>-0.41671208333333326</v>
      </c>
      <c r="AE32" s="42">
        <v>-5.98</v>
      </c>
      <c r="AF32" s="42">
        <v>-9.2375354817187496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Info!B1:BJ5000""),3,FALSE),"""")"),"2 Tier Serving Tray Platter - Galvanized Tiered Metal Stand for Cake, Dessert, Shrimp, Appetizers &amp; More")</f>
        <v>2 Tier Serving Tray Platter - Galvanized Tiered Metal Stand for Cake, Dessert, Shrimp, Appetizers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Info!B1:BJ5000""),2,FALSE),"""")"),"B07SWR3M3Y")</f>
        <v>B07SWR3M3Y</v>
      </c>
      <c r="B2" s="3" t="s">
        <v>1155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17" customHeight="1" x14ac:dyDescent="0.2">
      <c r="A3" s="68" t="s">
        <v>31</v>
      </c>
      <c r="B3" s="69"/>
      <c r="C3" s="48">
        <f>((AE32+AF32)/0.85)*-1</f>
        <v>18.008712006764707</v>
      </c>
      <c r="D3" s="5">
        <f>SUM(D4:D99767)</f>
        <v>499</v>
      </c>
      <c r="E3" s="5"/>
      <c r="F3" s="6">
        <f t="shared" ref="F3:G3" si="0">SUM(F4:F99767)</f>
        <v>14873.420000000002</v>
      </c>
      <c r="G3" s="6">
        <f t="shared" si="0"/>
        <v>-54.38</v>
      </c>
      <c r="H3" s="7">
        <f t="shared" ref="H3:H32" si="1">G3/F3*-1</f>
        <v>3.656186673945871E-3</v>
      </c>
      <c r="I3" s="8">
        <f t="shared" ref="I3:I32" si="2">J3/F3</f>
        <v>0.30346217747012405</v>
      </c>
      <c r="J3" s="6">
        <f>SUM(J4:J99767)</f>
        <v>4513.5204196276927</v>
      </c>
      <c r="K3" s="6">
        <f t="shared" ref="K3:K32" si="3">J3/D3</f>
        <v>9.0451311014583027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Sheet!a1:g5000""),2,FALSE),"""")"),"4.0 - March
4.0 - April
4.0 - May
4.0 - June
4.0 - July
4.0 - Aug
4.0 - Sept
4.0 - Oct
4.0 - Nov
4.0 - Dec
4.0 - Jan
4.0 - Feb")</f>
        <v>4.0 - March
4.0 - April
4.0 - May
4.0 - June
4.0 - July
4.0 - Aug
4.0 - Sept
4.0 - Oct
4.0 - Nov
4.0 - Dec
4.0 - Jan
4.0 -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QTY-190")</f>
        <v>US QTY-190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30</v>
      </c>
      <c r="X3" s="7">
        <f>W3/D3</f>
        <v>6.0120240480961921E-2</v>
      </c>
      <c r="Y3" s="6"/>
      <c r="Z3" s="5"/>
      <c r="AA3" s="5"/>
      <c r="AB3" s="5"/>
      <c r="AC3" s="5"/>
      <c r="AD3" s="6">
        <f>SUM(AD4:AD99767)</f>
        <v>-270.79244762094436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Info!B2:BZ3000""),37,FALSE)),"""")*-1"),-9.02740520575)</f>
        <v>-9.0274052057500001</v>
      </c>
      <c r="AG3" s="6">
        <f>SUM(AG4:AG99767)</f>
        <v>0</v>
      </c>
    </row>
    <row r="4" spans="1:33" x14ac:dyDescent="0.2">
      <c r="A4" s="1" t="s">
        <v>32</v>
      </c>
      <c r="B4" s="2" t="s">
        <v>1156</v>
      </c>
      <c r="C4" s="14">
        <f t="shared" ref="C4:C32" si="4">IFERROR(F4/D4," - ")</f>
        <v>34.117916666666666</v>
      </c>
      <c r="D4" s="15">
        <v>24</v>
      </c>
      <c r="E4" s="15">
        <v>0</v>
      </c>
      <c r="F4" s="16">
        <v>818.83</v>
      </c>
      <c r="G4" s="16">
        <v>-1.8199999999999998</v>
      </c>
      <c r="H4" s="17">
        <f t="shared" si="1"/>
        <v>2.2226835851153473E-3</v>
      </c>
      <c r="I4" s="17">
        <f t="shared" si="2"/>
        <v>0.38435376446215375</v>
      </c>
      <c r="J4" s="16">
        <f t="shared" ref="J4:J32" si="5">F4*0.85+G4+AF4*D4+D4*AE4+AG4+AD4</f>
        <v>314.72039295454539</v>
      </c>
      <c r="K4" s="16">
        <f t="shared" si="3"/>
        <v>13.113349706439392</v>
      </c>
      <c r="L4" s="15">
        <v>105</v>
      </c>
      <c r="M4" s="18">
        <f t="shared" ref="M4:M32" si="6">IFERROR(D4/L4,"-")</f>
        <v>0.22857142857142856</v>
      </c>
      <c r="N4" s="15">
        <v>6</v>
      </c>
      <c r="O4" s="19">
        <f t="shared" ref="O4:P4" si="7">D4/7</f>
        <v>3.4285714285714284</v>
      </c>
      <c r="P4" s="19">
        <f t="shared" si="7"/>
        <v>0</v>
      </c>
      <c r="Q4" s="15">
        <f t="shared" ref="Q4:Q32" si="8">ROUNDDOWN(N4/(O4+P4),0)</f>
        <v>1</v>
      </c>
      <c r="R4" s="15"/>
      <c r="S4" s="20">
        <v>3.1219512195121899</v>
      </c>
      <c r="T4" s="2">
        <v>480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8.3333333333333329E-2</v>
      </c>
      <c r="Y4" s="24">
        <f t="shared" ref="Y4:Y32" si="10">IFERROR(G4/(W4+Z4)*-1,0)</f>
        <v>0.90999999999999992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0.39322743055555559</v>
      </c>
      <c r="AD4" s="24">
        <f t="shared" ref="AD4:AD32" si="12">IFERROR(AB4*AC4*D4*2,0)</f>
        <v>-13.023692499999999</v>
      </c>
      <c r="AE4" s="24">
        <v>-6.56</v>
      </c>
      <c r="AF4" s="24">
        <v>-8.7083922727272736</v>
      </c>
      <c r="AG4" s="24">
        <v>0</v>
      </c>
    </row>
    <row r="5" spans="1:33" ht="15.75" customHeight="1" x14ac:dyDescent="0.2">
      <c r="A5" s="26" t="s">
        <v>35</v>
      </c>
      <c r="B5" s="26" t="s">
        <v>53</v>
      </c>
      <c r="C5" s="14">
        <f t="shared" si="4"/>
        <v>32.029230769230772</v>
      </c>
      <c r="D5" s="27">
        <v>13</v>
      </c>
      <c r="E5" s="27">
        <v>0</v>
      </c>
      <c r="F5" s="28">
        <v>416.38</v>
      </c>
      <c r="G5" s="28">
        <v>-1.2200000000000002</v>
      </c>
      <c r="H5" s="29">
        <f t="shared" si="1"/>
        <v>2.9300158509054236E-3</v>
      </c>
      <c r="I5" s="29">
        <f t="shared" si="2"/>
        <v>0.35340608568759557</v>
      </c>
      <c r="J5" s="30">
        <f t="shared" si="5"/>
        <v>147.15122595860103</v>
      </c>
      <c r="K5" s="30">
        <f t="shared" si="3"/>
        <v>11.319325073738542</v>
      </c>
      <c r="L5" s="27">
        <v>91</v>
      </c>
      <c r="M5" s="31">
        <f t="shared" si="6"/>
        <v>0.14285714285714285</v>
      </c>
      <c r="N5" s="27">
        <v>149</v>
      </c>
      <c r="O5" s="32">
        <f t="shared" ref="O5:P5" si="13">D5/7</f>
        <v>1.8571428571428572</v>
      </c>
      <c r="P5" s="32">
        <f t="shared" si="13"/>
        <v>0</v>
      </c>
      <c r="Q5" s="27">
        <f t="shared" si="8"/>
        <v>80</v>
      </c>
      <c r="R5" s="27"/>
      <c r="S5" s="33">
        <v>2.25936599423631</v>
      </c>
      <c r="T5" s="26">
        <v>480</v>
      </c>
      <c r="U5" s="34" t="s">
        <v>34</v>
      </c>
      <c r="V5" s="35" t="s">
        <v>34</v>
      </c>
      <c r="W5" s="26">
        <v>2</v>
      </c>
      <c r="X5" s="36">
        <f t="shared" si="9"/>
        <v>0.15384615384615385</v>
      </c>
      <c r="Y5" s="37">
        <f t="shared" si="10"/>
        <v>0.6100000000000001</v>
      </c>
      <c r="Z5" s="26">
        <v>0</v>
      </c>
      <c r="AA5" s="26" t="s">
        <v>37</v>
      </c>
      <c r="AB5" s="38">
        <f t="shared" si="11"/>
        <v>-0.69</v>
      </c>
      <c r="AC5" s="39">
        <v>0.39368308227114718</v>
      </c>
      <c r="AD5" s="37">
        <f t="shared" si="12"/>
        <v>-7.0626744959443792</v>
      </c>
      <c r="AE5" s="37">
        <v>-6.56</v>
      </c>
      <c r="AF5" s="37">
        <v>-8.7083922727272736</v>
      </c>
      <c r="AG5" s="37">
        <v>0</v>
      </c>
    </row>
    <row r="6" spans="1:33" ht="15.75" customHeight="1" x14ac:dyDescent="0.2">
      <c r="A6" s="26" t="s">
        <v>38</v>
      </c>
      <c r="B6" s="26" t="s">
        <v>53</v>
      </c>
      <c r="C6" s="14">
        <f t="shared" si="4"/>
        <v>34.245384615384623</v>
      </c>
      <c r="D6" s="27">
        <v>13</v>
      </c>
      <c r="E6" s="27">
        <v>0</v>
      </c>
      <c r="F6" s="28">
        <v>445.19000000000005</v>
      </c>
      <c r="G6" s="28">
        <v>-2.5100000000000002</v>
      </c>
      <c r="H6" s="29">
        <f t="shared" si="1"/>
        <v>5.6380421842359444E-3</v>
      </c>
      <c r="I6" s="29">
        <f t="shared" si="2"/>
        <v>0.38266335800529838</v>
      </c>
      <c r="J6" s="30">
        <f t="shared" si="5"/>
        <v>170.3579003503788</v>
      </c>
      <c r="K6" s="30">
        <f t="shared" si="3"/>
        <v>13.104453873106062</v>
      </c>
      <c r="L6" s="27">
        <v>157</v>
      </c>
      <c r="M6" s="31">
        <f t="shared" si="6"/>
        <v>8.2802547770700632E-2</v>
      </c>
      <c r="N6" s="27">
        <v>139</v>
      </c>
      <c r="O6" s="32">
        <f t="shared" ref="O6:P6" si="14">D6/7</f>
        <v>1.8571428571428572</v>
      </c>
      <c r="P6" s="32">
        <f t="shared" si="14"/>
        <v>0</v>
      </c>
      <c r="Q6" s="27">
        <f t="shared" si="8"/>
        <v>74</v>
      </c>
      <c r="R6" s="27"/>
      <c r="S6" s="33">
        <v>2.8529411764705799</v>
      </c>
      <c r="T6" s="26">
        <v>600</v>
      </c>
      <c r="U6" s="34">
        <v>55</v>
      </c>
      <c r="V6" s="49" t="s">
        <v>1157</v>
      </c>
      <c r="W6" s="26">
        <v>0</v>
      </c>
      <c r="X6" s="36">
        <f t="shared" si="9"/>
        <v>0</v>
      </c>
      <c r="Y6" s="37">
        <f t="shared" si="10"/>
        <v>1.2550000000000001</v>
      </c>
      <c r="Z6" s="26">
        <v>2</v>
      </c>
      <c r="AA6" s="26" t="s">
        <v>37</v>
      </c>
      <c r="AB6" s="38">
        <f t="shared" si="11"/>
        <v>-0.69</v>
      </c>
      <c r="AC6" s="39">
        <v>0.39322743055555559</v>
      </c>
      <c r="AD6" s="37">
        <f t="shared" si="12"/>
        <v>-7.0545001041666664</v>
      </c>
      <c r="AE6" s="37">
        <v>-6.56</v>
      </c>
      <c r="AF6" s="37">
        <v>-8.7083922727272736</v>
      </c>
      <c r="AG6" s="37">
        <v>0</v>
      </c>
    </row>
    <row r="7" spans="1:33" ht="15.75" customHeight="1" x14ac:dyDescent="0.2">
      <c r="A7" s="26" t="s">
        <v>41</v>
      </c>
      <c r="B7" s="26" t="s">
        <v>53</v>
      </c>
      <c r="C7" s="14">
        <f t="shared" si="4"/>
        <v>33.82076923076923</v>
      </c>
      <c r="D7" s="27">
        <v>13</v>
      </c>
      <c r="E7" s="27">
        <v>0</v>
      </c>
      <c r="F7" s="28">
        <v>439.67</v>
      </c>
      <c r="G7" s="28">
        <v>-2.5900000000000003</v>
      </c>
      <c r="H7" s="29">
        <f t="shared" si="1"/>
        <v>5.8907817226556284E-3</v>
      </c>
      <c r="I7" s="29">
        <f t="shared" si="2"/>
        <v>0.37661405224458966</v>
      </c>
      <c r="J7" s="30">
        <f t="shared" si="5"/>
        <v>165.58590035037875</v>
      </c>
      <c r="K7" s="30">
        <f t="shared" si="3"/>
        <v>12.737376950029134</v>
      </c>
      <c r="L7" s="27">
        <v>154</v>
      </c>
      <c r="M7" s="31">
        <f t="shared" si="6"/>
        <v>8.4415584415584416E-2</v>
      </c>
      <c r="N7" s="27">
        <v>125</v>
      </c>
      <c r="O7" s="32">
        <f t="shared" ref="O7:P7" si="15">D7/7</f>
        <v>1.8571428571428572</v>
      </c>
      <c r="P7" s="32">
        <f t="shared" si="15"/>
        <v>0</v>
      </c>
      <c r="Q7" s="27">
        <f t="shared" si="8"/>
        <v>67</v>
      </c>
      <c r="R7" s="27"/>
      <c r="S7" s="33">
        <v>3.53299492385786</v>
      </c>
      <c r="T7" s="26">
        <v>600</v>
      </c>
      <c r="U7" s="34">
        <v>55</v>
      </c>
      <c r="V7" s="49" t="s">
        <v>1157</v>
      </c>
      <c r="W7" s="26">
        <v>1</v>
      </c>
      <c r="X7" s="36">
        <f t="shared" si="9"/>
        <v>7.6923076923076927E-2</v>
      </c>
      <c r="Y7" s="37">
        <f t="shared" si="10"/>
        <v>2.5900000000000003</v>
      </c>
      <c r="Z7" s="26">
        <v>0</v>
      </c>
      <c r="AA7" s="26" t="s">
        <v>37</v>
      </c>
      <c r="AB7" s="38">
        <f t="shared" si="11"/>
        <v>-0.69</v>
      </c>
      <c r="AC7" s="39">
        <v>0.39322743055555559</v>
      </c>
      <c r="AD7" s="37">
        <f t="shared" si="12"/>
        <v>-7.0545001041666664</v>
      </c>
      <c r="AE7" s="37">
        <v>-6.56</v>
      </c>
      <c r="AF7" s="37">
        <v>-8.7083922727272736</v>
      </c>
      <c r="AG7" s="37">
        <v>0</v>
      </c>
    </row>
    <row r="8" spans="1:33" ht="15.75" customHeight="1" x14ac:dyDescent="0.2">
      <c r="A8" s="26" t="s">
        <v>43</v>
      </c>
      <c r="B8" s="26" t="s">
        <v>53</v>
      </c>
      <c r="C8" s="14">
        <f t="shared" si="4"/>
        <v>32.783846153846156</v>
      </c>
      <c r="D8" s="27">
        <v>13</v>
      </c>
      <c r="E8" s="27">
        <v>0</v>
      </c>
      <c r="F8" s="28">
        <v>426.19000000000005</v>
      </c>
      <c r="G8" s="28">
        <v>-2.59</v>
      </c>
      <c r="H8" s="29">
        <f t="shared" si="1"/>
        <v>6.0771017621248724E-3</v>
      </c>
      <c r="I8" s="29">
        <f t="shared" si="2"/>
        <v>0.36159224734468975</v>
      </c>
      <c r="J8" s="30">
        <f t="shared" si="5"/>
        <v>154.10699989583335</v>
      </c>
      <c r="K8" s="30">
        <f t="shared" si="3"/>
        <v>11.854384607371797</v>
      </c>
      <c r="L8" s="27">
        <v>134</v>
      </c>
      <c r="M8" s="31">
        <f t="shared" si="6"/>
        <v>9.7014925373134331E-2</v>
      </c>
      <c r="N8" s="27">
        <v>112</v>
      </c>
      <c r="O8" s="32">
        <f t="shared" ref="O8:P8" si="16">D8/7</f>
        <v>1.8571428571428572</v>
      </c>
      <c r="P8" s="32">
        <f t="shared" si="16"/>
        <v>0</v>
      </c>
      <c r="Q8" s="27">
        <f t="shared" si="8"/>
        <v>60</v>
      </c>
      <c r="R8" s="27"/>
      <c r="S8" s="33">
        <v>2.5037037037037</v>
      </c>
      <c r="T8" s="26">
        <v>600</v>
      </c>
      <c r="U8" s="34">
        <v>55</v>
      </c>
      <c r="V8" s="35" t="s">
        <v>1158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0.39322743055555559</v>
      </c>
      <c r="AD8" s="37">
        <f t="shared" si="12"/>
        <v>-7.0545001041666664</v>
      </c>
      <c r="AE8" s="37">
        <v>-6.56</v>
      </c>
      <c r="AF8" s="37">
        <v>-8.7100000000000009</v>
      </c>
      <c r="AG8" s="37">
        <v>0</v>
      </c>
    </row>
    <row r="9" spans="1:33" ht="15.75" customHeight="1" x14ac:dyDescent="0.2">
      <c r="A9" s="26" t="s">
        <v>45</v>
      </c>
      <c r="B9" s="26" t="s">
        <v>769</v>
      </c>
      <c r="C9" s="14">
        <f t="shared" si="4"/>
        <v>30.697647058823531</v>
      </c>
      <c r="D9" s="27">
        <v>17</v>
      </c>
      <c r="E9" s="27">
        <v>1</v>
      </c>
      <c r="F9" s="28">
        <v>521.86</v>
      </c>
      <c r="G9" s="28">
        <v>-3.0400000000000005</v>
      </c>
      <c r="H9" s="29">
        <f t="shared" si="1"/>
        <v>5.8253171348637573E-3</v>
      </c>
      <c r="I9" s="29">
        <f t="shared" si="2"/>
        <v>0.31750891814781979</v>
      </c>
      <c r="J9" s="30">
        <f t="shared" si="5"/>
        <v>165.69520402462123</v>
      </c>
      <c r="K9" s="30">
        <f t="shared" si="3"/>
        <v>9.7467767073306604</v>
      </c>
      <c r="L9" s="27">
        <v>152</v>
      </c>
      <c r="M9" s="31">
        <f t="shared" si="6"/>
        <v>0.1118421052631579</v>
      </c>
      <c r="N9" s="27">
        <v>92</v>
      </c>
      <c r="O9" s="32">
        <f t="shared" ref="O9:P9" si="17">D9/7</f>
        <v>2.4285714285714284</v>
      </c>
      <c r="P9" s="32">
        <f t="shared" si="17"/>
        <v>0.14285714285714285</v>
      </c>
      <c r="Q9" s="27">
        <f t="shared" si="8"/>
        <v>35</v>
      </c>
      <c r="R9" s="27"/>
      <c r="S9" s="33">
        <v>1.9465240641711199</v>
      </c>
      <c r="T9" s="26">
        <v>600</v>
      </c>
      <c r="U9" s="34">
        <v>55</v>
      </c>
      <c r="V9" s="35" t="s">
        <v>1159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0.39322743055555559</v>
      </c>
      <c r="AD9" s="37">
        <f t="shared" si="12"/>
        <v>-9.2251155208333326</v>
      </c>
      <c r="AE9" s="37">
        <v>-6.56</v>
      </c>
      <c r="AF9" s="37">
        <v>-9.0647459090909095</v>
      </c>
      <c r="AG9" s="37">
        <v>0</v>
      </c>
    </row>
    <row r="10" spans="1:33" ht="15.75" customHeight="1" x14ac:dyDescent="0.2">
      <c r="A10" s="26" t="s">
        <v>48</v>
      </c>
      <c r="B10" s="26" t="s">
        <v>234</v>
      </c>
      <c r="C10" s="14">
        <f t="shared" si="4"/>
        <v>33.721428571428575</v>
      </c>
      <c r="D10" s="27">
        <v>7</v>
      </c>
      <c r="E10" s="27">
        <v>0</v>
      </c>
      <c r="F10" s="28">
        <v>236.05</v>
      </c>
      <c r="G10" s="28">
        <v>-2.7600000000000002</v>
      </c>
      <c r="H10" s="29">
        <f t="shared" si="1"/>
        <v>1.1692438042787546E-2</v>
      </c>
      <c r="I10" s="29">
        <f t="shared" si="2"/>
        <v>0.35886761981443333</v>
      </c>
      <c r="J10" s="30">
        <f t="shared" si="5"/>
        <v>84.710701657196992</v>
      </c>
      <c r="K10" s="30">
        <f t="shared" si="3"/>
        <v>12.101528808170999</v>
      </c>
      <c r="L10" s="27">
        <v>114</v>
      </c>
      <c r="M10" s="31">
        <f t="shared" si="6"/>
        <v>6.1403508771929821E-2</v>
      </c>
      <c r="N10" s="27">
        <v>85</v>
      </c>
      <c r="O10" s="32">
        <f t="shared" ref="O10:P10" si="18">D10/7</f>
        <v>1</v>
      </c>
      <c r="P10" s="32">
        <f t="shared" si="18"/>
        <v>0</v>
      </c>
      <c r="Q10" s="27">
        <f t="shared" si="8"/>
        <v>85</v>
      </c>
      <c r="R10" s="27"/>
      <c r="S10" s="33">
        <v>2.5359477124183001</v>
      </c>
      <c r="T10" s="26">
        <v>600</v>
      </c>
      <c r="U10" s="34">
        <v>55</v>
      </c>
      <c r="V10" s="35" t="s">
        <v>1159</v>
      </c>
      <c r="W10" s="26">
        <v>2</v>
      </c>
      <c r="X10" s="36">
        <f t="shared" si="9"/>
        <v>0.2857142857142857</v>
      </c>
      <c r="Y10" s="37">
        <f t="shared" si="10"/>
        <v>1.3800000000000001</v>
      </c>
      <c r="Z10" s="26">
        <v>0</v>
      </c>
      <c r="AA10" s="26" t="s">
        <v>37</v>
      </c>
      <c r="AB10" s="38">
        <f t="shared" si="11"/>
        <v>-0.69</v>
      </c>
      <c r="AC10" s="39">
        <v>0.39322743055555559</v>
      </c>
      <c r="AD10" s="37">
        <f t="shared" si="12"/>
        <v>-3.7985769791666666</v>
      </c>
      <c r="AE10" s="37">
        <v>-6.56</v>
      </c>
      <c r="AF10" s="37">
        <v>-9.0647459090909095</v>
      </c>
      <c r="AG10" s="37">
        <v>0</v>
      </c>
    </row>
    <row r="11" spans="1:33" ht="15.75" customHeight="1" x14ac:dyDescent="0.2">
      <c r="A11" s="26" t="s">
        <v>50</v>
      </c>
      <c r="B11" s="26" t="s">
        <v>523</v>
      </c>
      <c r="C11" s="14">
        <f t="shared" si="4"/>
        <v>30.4175</v>
      </c>
      <c r="D11" s="27">
        <v>12</v>
      </c>
      <c r="E11" s="27">
        <v>1</v>
      </c>
      <c r="F11" s="28">
        <v>365.01</v>
      </c>
      <c r="G11" s="28">
        <v>-2.0100000000000002</v>
      </c>
      <c r="H11" s="29">
        <f t="shared" si="1"/>
        <v>5.5066984466179015E-3</v>
      </c>
      <c r="I11" s="29">
        <f t="shared" si="2"/>
        <v>0.31297691252543508</v>
      </c>
      <c r="J11" s="30">
        <f t="shared" si="5"/>
        <v>114.23970284090906</v>
      </c>
      <c r="K11" s="30">
        <f t="shared" si="3"/>
        <v>9.5199752367424217</v>
      </c>
      <c r="L11" s="27">
        <v>116</v>
      </c>
      <c r="M11" s="31">
        <f t="shared" si="6"/>
        <v>0.10344827586206896</v>
      </c>
      <c r="N11" s="27">
        <v>73</v>
      </c>
      <c r="O11" s="32">
        <f t="shared" ref="O11:P11" si="19">D11/7</f>
        <v>1.7142857142857142</v>
      </c>
      <c r="P11" s="32">
        <f t="shared" si="19"/>
        <v>0.14285714285714285</v>
      </c>
      <c r="Q11" s="27">
        <f t="shared" si="8"/>
        <v>39</v>
      </c>
      <c r="R11" s="27"/>
      <c r="S11" s="33">
        <v>3.1496062992125902</v>
      </c>
      <c r="T11" s="26">
        <v>600</v>
      </c>
      <c r="U11" s="34">
        <v>55</v>
      </c>
      <c r="V11" s="35" t="s">
        <v>1160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0.39322743055555559</v>
      </c>
      <c r="AD11" s="37">
        <f t="shared" si="12"/>
        <v>-6.5118462499999996</v>
      </c>
      <c r="AE11" s="37">
        <v>-6.56</v>
      </c>
      <c r="AF11" s="37">
        <v>-9.0647459090909095</v>
      </c>
      <c r="AG11" s="37">
        <v>0</v>
      </c>
    </row>
    <row r="12" spans="1:33" ht="15.75" customHeight="1" x14ac:dyDescent="0.2">
      <c r="A12" s="26" t="s">
        <v>52</v>
      </c>
      <c r="B12" s="26" t="s">
        <v>523</v>
      </c>
      <c r="C12" s="14">
        <f t="shared" si="4"/>
        <v>29.990000000000002</v>
      </c>
      <c r="D12" s="27">
        <v>20</v>
      </c>
      <c r="E12" s="27">
        <v>0</v>
      </c>
      <c r="F12" s="28">
        <v>599.80000000000007</v>
      </c>
      <c r="G12" s="28">
        <v>-2.31</v>
      </c>
      <c r="H12" s="29">
        <f t="shared" si="1"/>
        <v>3.8512837612537511E-3</v>
      </c>
      <c r="I12" s="29">
        <f t="shared" si="2"/>
        <v>0.30705569312245495</v>
      </c>
      <c r="J12" s="30">
        <f t="shared" si="5"/>
        <v>184.17200473484849</v>
      </c>
      <c r="K12" s="30">
        <f t="shared" si="3"/>
        <v>9.2086002367424236</v>
      </c>
      <c r="L12" s="27">
        <v>127</v>
      </c>
      <c r="M12" s="31">
        <f t="shared" si="6"/>
        <v>0.15748031496062992</v>
      </c>
      <c r="N12" s="27">
        <v>54</v>
      </c>
      <c r="O12" s="32">
        <f t="shared" ref="O12:P12" si="20">D12/7</f>
        <v>2.8571428571428572</v>
      </c>
      <c r="P12" s="32">
        <f t="shared" si="20"/>
        <v>0</v>
      </c>
      <c r="Q12" s="27">
        <f t="shared" si="8"/>
        <v>18</v>
      </c>
      <c r="R12" s="27"/>
      <c r="S12" s="33">
        <v>2.6506024096385499</v>
      </c>
      <c r="T12" s="26">
        <v>600</v>
      </c>
      <c r="U12" s="34">
        <v>55</v>
      </c>
      <c r="V12" s="35" t="s">
        <v>1161</v>
      </c>
      <c r="W12" s="26">
        <v>1</v>
      </c>
      <c r="X12" s="36">
        <f t="shared" si="9"/>
        <v>0.05</v>
      </c>
      <c r="Y12" s="37">
        <f t="shared" si="10"/>
        <v>2.31</v>
      </c>
      <c r="Z12" s="26">
        <v>0</v>
      </c>
      <c r="AA12" s="26" t="s">
        <v>37</v>
      </c>
      <c r="AB12" s="38">
        <f t="shared" si="11"/>
        <v>-0.69</v>
      </c>
      <c r="AC12" s="39">
        <v>0.39322743055555559</v>
      </c>
      <c r="AD12" s="37">
        <f t="shared" si="12"/>
        <v>-10.853077083333334</v>
      </c>
      <c r="AE12" s="37">
        <v>-6.56</v>
      </c>
      <c r="AF12" s="37">
        <v>-9.0647459090909095</v>
      </c>
      <c r="AG12" s="37">
        <v>0</v>
      </c>
    </row>
    <row r="13" spans="1:33" ht="15.75" customHeight="1" x14ac:dyDescent="0.2">
      <c r="A13" s="26" t="s">
        <v>54</v>
      </c>
      <c r="B13" s="26" t="s">
        <v>1162</v>
      </c>
      <c r="C13" s="14">
        <f t="shared" si="4"/>
        <v>29.990000000000006</v>
      </c>
      <c r="D13" s="27">
        <v>24</v>
      </c>
      <c r="E13" s="27">
        <v>0</v>
      </c>
      <c r="F13" s="30">
        <v>719.7600000000001</v>
      </c>
      <c r="G13" s="28">
        <v>-3.17</v>
      </c>
      <c r="H13" s="29">
        <f t="shared" si="1"/>
        <v>4.404245859731021E-3</v>
      </c>
      <c r="I13" s="29">
        <f t="shared" si="2"/>
        <v>0.30024882820788767</v>
      </c>
      <c r="J13" s="30">
        <f t="shared" si="5"/>
        <v>216.10709659090926</v>
      </c>
      <c r="K13" s="30">
        <f t="shared" si="3"/>
        <v>9.0044623579545533</v>
      </c>
      <c r="L13" s="27">
        <v>85</v>
      </c>
      <c r="M13" s="31">
        <f t="shared" si="6"/>
        <v>0.28235294117647058</v>
      </c>
      <c r="N13" s="27">
        <v>32</v>
      </c>
      <c r="O13" s="32">
        <f t="shared" ref="O13:P13" si="21">D13/7</f>
        <v>3.4285714285714284</v>
      </c>
      <c r="P13" s="32">
        <f t="shared" si="21"/>
        <v>0</v>
      </c>
      <c r="Q13" s="27">
        <f t="shared" si="8"/>
        <v>9</v>
      </c>
      <c r="R13" s="27"/>
      <c r="S13" s="33">
        <v>2.9137380191693198</v>
      </c>
      <c r="T13" s="26">
        <v>600</v>
      </c>
      <c r="U13" s="34">
        <v>55</v>
      </c>
      <c r="V13" s="35" t="s">
        <v>1163</v>
      </c>
      <c r="W13" s="26">
        <v>1</v>
      </c>
      <c r="X13" s="36">
        <f t="shared" si="9"/>
        <v>4.1666666666666664E-2</v>
      </c>
      <c r="Y13" s="37">
        <f t="shared" si="10"/>
        <v>3.17</v>
      </c>
      <c r="Z13" s="26">
        <v>0</v>
      </c>
      <c r="AA13" s="26" t="s">
        <v>37</v>
      </c>
      <c r="AB13" s="38">
        <f t="shared" si="11"/>
        <v>-0.69</v>
      </c>
      <c r="AC13" s="39">
        <v>0.39322743055555559</v>
      </c>
      <c r="AD13" s="37">
        <f t="shared" si="12"/>
        <v>-13.023692499999999</v>
      </c>
      <c r="AE13" s="37">
        <v>-6.56</v>
      </c>
      <c r="AF13" s="37">
        <v>-9.2523004545454501</v>
      </c>
      <c r="AG13" s="37">
        <v>0</v>
      </c>
    </row>
    <row r="14" spans="1:33" ht="15.75" customHeight="1" x14ac:dyDescent="0.2">
      <c r="A14" s="26" t="s">
        <v>56</v>
      </c>
      <c r="B14" s="26" t="s">
        <v>1164</v>
      </c>
      <c r="C14" s="14">
        <f t="shared" si="4"/>
        <v>30.637037037037043</v>
      </c>
      <c r="D14" s="27">
        <v>27</v>
      </c>
      <c r="E14" s="27">
        <v>0</v>
      </c>
      <c r="F14" s="30">
        <v>827.20000000000016</v>
      </c>
      <c r="G14" s="28">
        <v>-2.0100000000000002</v>
      </c>
      <c r="H14" s="29">
        <f t="shared" si="1"/>
        <v>2.4298839458413925E-3</v>
      </c>
      <c r="I14" s="29">
        <f t="shared" si="2"/>
        <v>0.31374061129687242</v>
      </c>
      <c r="J14" s="30">
        <f t="shared" si="5"/>
        <v>259.52623366477292</v>
      </c>
      <c r="K14" s="30">
        <f t="shared" si="3"/>
        <v>9.6120827283249231</v>
      </c>
      <c r="L14" s="27">
        <v>117</v>
      </c>
      <c r="M14" s="31">
        <f t="shared" si="6"/>
        <v>0.23076923076923078</v>
      </c>
      <c r="N14" s="27">
        <v>1</v>
      </c>
      <c r="O14" s="32">
        <f t="shared" ref="O14:P14" si="22">D14/7</f>
        <v>3.8571428571428572</v>
      </c>
      <c r="P14" s="32">
        <f t="shared" si="22"/>
        <v>0</v>
      </c>
      <c r="Q14" s="27">
        <f t="shared" si="8"/>
        <v>0</v>
      </c>
      <c r="R14" s="27"/>
      <c r="S14" s="33">
        <v>2.80722891566265</v>
      </c>
      <c r="T14" s="26">
        <v>695</v>
      </c>
      <c r="U14" s="34">
        <v>545</v>
      </c>
      <c r="V14" s="35" t="s">
        <v>1165</v>
      </c>
      <c r="W14" s="26">
        <v>3</v>
      </c>
      <c r="X14" s="36">
        <f t="shared" si="9"/>
        <v>0.1111111111111111</v>
      </c>
      <c r="Y14" s="37">
        <f t="shared" si="10"/>
        <v>0.67</v>
      </c>
      <c r="Z14" s="26">
        <v>0</v>
      </c>
      <c r="AA14" s="26" t="s">
        <v>37</v>
      </c>
      <c r="AB14" s="38">
        <f t="shared" si="11"/>
        <v>-0.69</v>
      </c>
      <c r="AC14" s="39">
        <v>0.39322743055555559</v>
      </c>
      <c r="AD14" s="37">
        <f t="shared" si="12"/>
        <v>-14.6516540625</v>
      </c>
      <c r="AE14" s="37">
        <v>-6.56</v>
      </c>
      <c r="AF14" s="37">
        <v>-9.2523004545454501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29.990000000000002</v>
      </c>
      <c r="D15" s="27">
        <v>9</v>
      </c>
      <c r="E15" s="27">
        <v>0</v>
      </c>
      <c r="F15" s="30">
        <v>269.91000000000003</v>
      </c>
      <c r="G15" s="28">
        <v>-1.9300000000000002</v>
      </c>
      <c r="H15" s="29">
        <f t="shared" si="1"/>
        <v>7.1505316587010485E-3</v>
      </c>
      <c r="I15" s="29">
        <f t="shared" si="2"/>
        <v>0.29750254240891766</v>
      </c>
      <c r="J15" s="30">
        <f t="shared" si="5"/>
        <v>80.29891122159097</v>
      </c>
      <c r="K15" s="30">
        <f t="shared" si="3"/>
        <v>8.9221012468434413</v>
      </c>
      <c r="L15" s="27">
        <v>71</v>
      </c>
      <c r="M15" s="31">
        <f t="shared" si="6"/>
        <v>0.12676056338028169</v>
      </c>
      <c r="N15" s="27">
        <v>47</v>
      </c>
      <c r="O15" s="32">
        <f t="shared" ref="O15:P15" si="23">D15/7</f>
        <v>1.2857142857142858</v>
      </c>
      <c r="P15" s="32">
        <f t="shared" si="23"/>
        <v>0</v>
      </c>
      <c r="Q15" s="27">
        <f t="shared" si="8"/>
        <v>36</v>
      </c>
      <c r="R15" s="27"/>
      <c r="S15" s="33">
        <v>2.5203761755485798</v>
      </c>
      <c r="T15" s="26">
        <v>695</v>
      </c>
      <c r="U15" s="34">
        <v>545</v>
      </c>
      <c r="V15" s="35" t="s">
        <v>1166</v>
      </c>
      <c r="W15" s="26">
        <v>0</v>
      </c>
      <c r="X15" s="36">
        <f t="shared" si="9"/>
        <v>0</v>
      </c>
      <c r="Y15" s="37">
        <f t="shared" si="10"/>
        <v>0.96500000000000008</v>
      </c>
      <c r="Z15" s="26">
        <v>2</v>
      </c>
      <c r="AA15" s="26" t="s">
        <v>37</v>
      </c>
      <c r="AB15" s="38">
        <f t="shared" si="11"/>
        <v>-0.69</v>
      </c>
      <c r="AC15" s="39">
        <v>0.39322743055555559</v>
      </c>
      <c r="AD15" s="37">
        <f t="shared" si="12"/>
        <v>-4.8838846875000002</v>
      </c>
      <c r="AE15" s="37">
        <v>-6.56</v>
      </c>
      <c r="AF15" s="37">
        <v>-9.2523004545454501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29.99</v>
      </c>
      <c r="D16" s="27">
        <v>12</v>
      </c>
      <c r="E16" s="27">
        <v>0</v>
      </c>
      <c r="F16" s="30">
        <v>359.88</v>
      </c>
      <c r="G16" s="28">
        <v>-3.38</v>
      </c>
      <c r="H16" s="29">
        <f t="shared" si="1"/>
        <v>9.3920195620762481E-3</v>
      </c>
      <c r="I16" s="29">
        <f t="shared" si="2"/>
        <v>0.2952610545055423</v>
      </c>
      <c r="J16" s="30">
        <f t="shared" si="5"/>
        <v>106.25854829545456</v>
      </c>
      <c r="K16" s="30">
        <f t="shared" si="3"/>
        <v>8.8548790246212139</v>
      </c>
      <c r="L16" s="27">
        <v>105</v>
      </c>
      <c r="M16" s="31">
        <f t="shared" si="6"/>
        <v>0.11428571428571428</v>
      </c>
      <c r="N16" s="27">
        <v>43</v>
      </c>
      <c r="O16" s="32">
        <f t="shared" ref="O16:P16" si="24">D16/7</f>
        <v>1.7142857142857142</v>
      </c>
      <c r="P16" s="32">
        <f t="shared" si="24"/>
        <v>0</v>
      </c>
      <c r="Q16" s="27">
        <f t="shared" si="8"/>
        <v>25</v>
      </c>
      <c r="R16" s="27"/>
      <c r="S16" s="33">
        <v>3.0074074074074</v>
      </c>
      <c r="T16" s="26">
        <v>695</v>
      </c>
      <c r="U16" s="34">
        <v>545</v>
      </c>
      <c r="V16" s="35" t="s">
        <v>1167</v>
      </c>
      <c r="W16" s="26">
        <v>2</v>
      </c>
      <c r="X16" s="36">
        <f t="shared" si="9"/>
        <v>0.16666666666666666</v>
      </c>
      <c r="Y16" s="37">
        <f t="shared" si="10"/>
        <v>1.69</v>
      </c>
      <c r="Z16" s="26">
        <v>0</v>
      </c>
      <c r="AA16" s="26" t="s">
        <v>37</v>
      </c>
      <c r="AB16" s="38">
        <f t="shared" si="11"/>
        <v>-0.69</v>
      </c>
      <c r="AC16" s="39">
        <v>0.39322743055555559</v>
      </c>
      <c r="AD16" s="37">
        <f t="shared" si="12"/>
        <v>-6.5118462499999996</v>
      </c>
      <c r="AE16" s="37">
        <v>-6.56</v>
      </c>
      <c r="AF16" s="37">
        <v>-9.2523004545454501</v>
      </c>
      <c r="AG16" s="37">
        <v>0</v>
      </c>
    </row>
    <row r="17" spans="1:33" ht="15.75" customHeight="1" x14ac:dyDescent="0.2">
      <c r="A17" s="26" t="s">
        <v>61</v>
      </c>
      <c r="B17" s="26" t="s">
        <v>1128</v>
      </c>
      <c r="C17" s="14">
        <f t="shared" si="4"/>
        <v>29.990000000000006</v>
      </c>
      <c r="D17" s="27">
        <v>17</v>
      </c>
      <c r="E17" s="27">
        <v>0</v>
      </c>
      <c r="F17" s="30">
        <v>509.8300000000001</v>
      </c>
      <c r="G17" s="28">
        <v>-2.81</v>
      </c>
      <c r="H17" s="29">
        <f t="shared" si="1"/>
        <v>5.511641135280387E-3</v>
      </c>
      <c r="I17" s="29">
        <f t="shared" si="2"/>
        <v>0.29914143293233836</v>
      </c>
      <c r="J17" s="30">
        <f t="shared" si="5"/>
        <v>152.51127675189409</v>
      </c>
      <c r="K17" s="30">
        <f t="shared" si="3"/>
        <v>8.9712515736408278</v>
      </c>
      <c r="L17" s="27">
        <v>84</v>
      </c>
      <c r="M17" s="31">
        <f t="shared" si="6"/>
        <v>0.20238095238095238</v>
      </c>
      <c r="N17" s="27">
        <v>18</v>
      </c>
      <c r="O17" s="32">
        <f t="shared" ref="O17:P17" si="25">D17/7</f>
        <v>2.4285714285714284</v>
      </c>
      <c r="P17" s="32">
        <f t="shared" si="25"/>
        <v>0</v>
      </c>
      <c r="Q17" s="27">
        <f t="shared" si="8"/>
        <v>7</v>
      </c>
      <c r="R17" s="27"/>
      <c r="S17" s="33">
        <v>4.2040816326530601</v>
      </c>
      <c r="T17" s="26">
        <v>1045</v>
      </c>
      <c r="U17" s="34">
        <v>545</v>
      </c>
      <c r="V17" s="35" t="s">
        <v>1167</v>
      </c>
      <c r="W17" s="26">
        <v>3</v>
      </c>
      <c r="X17" s="36">
        <f t="shared" si="9"/>
        <v>0.17647058823529413</v>
      </c>
      <c r="Y17" s="37">
        <f t="shared" si="10"/>
        <v>0.93666666666666665</v>
      </c>
      <c r="Z17" s="26">
        <v>0</v>
      </c>
      <c r="AA17" s="26" t="s">
        <v>37</v>
      </c>
      <c r="AB17" s="38">
        <f t="shared" si="11"/>
        <v>-0.69</v>
      </c>
      <c r="AC17" s="39">
        <v>0.39322743055555559</v>
      </c>
      <c r="AD17" s="37">
        <f t="shared" si="12"/>
        <v>-9.2251155208333326</v>
      </c>
      <c r="AE17" s="37">
        <v>-6.56</v>
      </c>
      <c r="AF17" s="37">
        <v>-9.2523004545454501</v>
      </c>
      <c r="AG17" s="37">
        <v>0</v>
      </c>
    </row>
    <row r="18" spans="1:33" ht="15.75" customHeight="1" x14ac:dyDescent="0.2">
      <c r="A18" s="26" t="s">
        <v>62</v>
      </c>
      <c r="B18" s="26" t="s">
        <v>684</v>
      </c>
      <c r="C18" s="14">
        <f t="shared" si="4"/>
        <v>29.755294117647065</v>
      </c>
      <c r="D18" s="27">
        <v>17</v>
      </c>
      <c r="E18" s="27">
        <v>0</v>
      </c>
      <c r="F18" s="30">
        <v>505.84000000000009</v>
      </c>
      <c r="G18" s="28">
        <v>-2.8899999999999997</v>
      </c>
      <c r="H18" s="29">
        <f t="shared" si="1"/>
        <v>5.7132690178712617E-3</v>
      </c>
      <c r="I18" s="29">
        <f t="shared" si="2"/>
        <v>0.294638179566452</v>
      </c>
      <c r="J18" s="30">
        <f t="shared" si="5"/>
        <v>149.0397767518941</v>
      </c>
      <c r="K18" s="30">
        <f t="shared" si="3"/>
        <v>8.7670456912878887</v>
      </c>
      <c r="L18" s="27">
        <v>95</v>
      </c>
      <c r="M18" s="31">
        <f t="shared" si="6"/>
        <v>0.17894736842105263</v>
      </c>
      <c r="N18" s="27">
        <v>8</v>
      </c>
      <c r="O18" s="32">
        <f t="shared" ref="O18:P18" si="26">D18/7</f>
        <v>2.4285714285714284</v>
      </c>
      <c r="P18" s="32">
        <f t="shared" si="26"/>
        <v>0</v>
      </c>
      <c r="Q18" s="27">
        <f t="shared" si="8"/>
        <v>3</v>
      </c>
      <c r="R18" s="27"/>
      <c r="S18" s="33">
        <v>2.87179487179487</v>
      </c>
      <c r="T18" s="26">
        <v>1045</v>
      </c>
      <c r="U18" s="34">
        <v>545</v>
      </c>
      <c r="V18" s="35" t="s">
        <v>1167</v>
      </c>
      <c r="W18" s="26">
        <v>3</v>
      </c>
      <c r="X18" s="36">
        <f t="shared" si="9"/>
        <v>0.17647058823529413</v>
      </c>
      <c r="Y18" s="37">
        <f t="shared" si="10"/>
        <v>0.96333333333333326</v>
      </c>
      <c r="Z18" s="26">
        <v>0</v>
      </c>
      <c r="AA18" s="26" t="s">
        <v>37</v>
      </c>
      <c r="AB18" s="38">
        <f t="shared" si="11"/>
        <v>-0.69</v>
      </c>
      <c r="AC18" s="39">
        <v>0.39322743055555559</v>
      </c>
      <c r="AD18" s="37">
        <f t="shared" si="12"/>
        <v>-9.2251155208333326</v>
      </c>
      <c r="AE18" s="37">
        <v>-6.56</v>
      </c>
      <c r="AF18" s="37">
        <v>-9.2523004545454501</v>
      </c>
      <c r="AG18" s="37">
        <v>0</v>
      </c>
    </row>
    <row r="19" spans="1:33" ht="15.75" customHeight="1" x14ac:dyDescent="0.2">
      <c r="A19" s="26" t="s">
        <v>64</v>
      </c>
      <c r="B19" s="26" t="s">
        <v>929</v>
      </c>
      <c r="C19" s="14">
        <f t="shared" si="4"/>
        <v>31.99</v>
      </c>
      <c r="D19" s="27">
        <v>4</v>
      </c>
      <c r="E19" s="27">
        <v>0</v>
      </c>
      <c r="F19" s="30">
        <v>127.96</v>
      </c>
      <c r="G19" s="28">
        <v>-0.63</v>
      </c>
      <c r="H19" s="29">
        <f t="shared" si="1"/>
        <v>4.9234135667396064E-3</v>
      </c>
      <c r="I19" s="29">
        <f t="shared" si="2"/>
        <v>0.33382449800837383</v>
      </c>
      <c r="J19" s="30">
        <f t="shared" si="5"/>
        <v>42.716182765151515</v>
      </c>
      <c r="K19" s="30">
        <f t="shared" si="3"/>
        <v>10.679045691287879</v>
      </c>
      <c r="L19" s="27">
        <v>49</v>
      </c>
      <c r="M19" s="31">
        <f t="shared" si="6"/>
        <v>8.1632653061224483E-2</v>
      </c>
      <c r="N19" s="27">
        <v>235</v>
      </c>
      <c r="O19" s="32">
        <f t="shared" ref="O19:P19" si="27">D19/7</f>
        <v>0.5714285714285714</v>
      </c>
      <c r="P19" s="32">
        <f t="shared" si="27"/>
        <v>0</v>
      </c>
      <c r="Q19" s="27">
        <f t="shared" si="8"/>
        <v>411</v>
      </c>
      <c r="R19" s="27"/>
      <c r="S19" s="33">
        <v>3.2163265306122399</v>
      </c>
      <c r="T19" s="26">
        <v>500</v>
      </c>
      <c r="U19" s="34" t="s">
        <v>34</v>
      </c>
      <c r="V19" s="35" t="s">
        <v>34</v>
      </c>
      <c r="W19" s="26">
        <v>2</v>
      </c>
      <c r="X19" s="36">
        <f t="shared" si="9"/>
        <v>0.5</v>
      </c>
      <c r="Y19" s="37">
        <f t="shared" si="10"/>
        <v>0.315</v>
      </c>
      <c r="Z19" s="26">
        <v>0</v>
      </c>
      <c r="AA19" s="26" t="s">
        <v>37</v>
      </c>
      <c r="AB19" s="38">
        <f t="shared" si="11"/>
        <v>-0.69</v>
      </c>
      <c r="AC19" s="39">
        <v>0.39322743055555559</v>
      </c>
      <c r="AD19" s="37">
        <f t="shared" si="12"/>
        <v>-2.1706154166666667</v>
      </c>
      <c r="AE19" s="37">
        <v>-6.56</v>
      </c>
      <c r="AF19" s="37">
        <v>-9.2523004545454555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28.884545454545457</v>
      </c>
      <c r="D20" s="27">
        <v>11</v>
      </c>
      <c r="E20" s="27">
        <v>0</v>
      </c>
      <c r="F20" s="30">
        <v>317.73</v>
      </c>
      <c r="G20" s="28">
        <v>-1.9000000000000001</v>
      </c>
      <c r="H20" s="29">
        <f t="shared" si="1"/>
        <v>5.9799200579108052E-3</v>
      </c>
      <c r="I20" s="29">
        <f t="shared" si="2"/>
        <v>0.2778019154759282</v>
      </c>
      <c r="J20" s="30">
        <f t="shared" si="5"/>
        <v>88.266002604166673</v>
      </c>
      <c r="K20" s="30">
        <f t="shared" si="3"/>
        <v>8.0241820549242426</v>
      </c>
      <c r="L20" s="27">
        <v>56</v>
      </c>
      <c r="M20" s="31">
        <f t="shared" si="6"/>
        <v>0.19642857142857142</v>
      </c>
      <c r="N20" s="27">
        <v>227</v>
      </c>
      <c r="O20" s="32">
        <f t="shared" ref="O20:P20" si="28">D20/7</f>
        <v>1.5714285714285714</v>
      </c>
      <c r="P20" s="32">
        <f t="shared" si="28"/>
        <v>0</v>
      </c>
      <c r="Q20" s="27">
        <f t="shared" si="8"/>
        <v>144</v>
      </c>
      <c r="R20" s="27"/>
      <c r="S20" s="33">
        <v>1.50819672131147</v>
      </c>
      <c r="T20" s="26">
        <v>500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1.9000000000000001</v>
      </c>
      <c r="Z20" s="26">
        <v>1</v>
      </c>
      <c r="AA20" s="26" t="s">
        <v>37</v>
      </c>
      <c r="AB20" s="38">
        <f t="shared" si="11"/>
        <v>-0.69</v>
      </c>
      <c r="AC20" s="39">
        <v>0.39322743055555559</v>
      </c>
      <c r="AD20" s="37">
        <f t="shared" si="12"/>
        <v>-5.9691923958333337</v>
      </c>
      <c r="AE20" s="37">
        <v>-6.56</v>
      </c>
      <c r="AF20" s="37">
        <v>-9.2523004545454555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27.990000000000002</v>
      </c>
      <c r="D21" s="27">
        <v>16</v>
      </c>
      <c r="E21" s="27">
        <v>0</v>
      </c>
      <c r="F21" s="30">
        <v>447.84000000000003</v>
      </c>
      <c r="G21" s="28">
        <v>-1.71</v>
      </c>
      <c r="H21" s="29">
        <f t="shared" si="1"/>
        <v>3.8183279742765269E-3</v>
      </c>
      <c r="I21" s="29">
        <f t="shared" si="2"/>
        <v>0.26186747735933841</v>
      </c>
      <c r="J21" s="30">
        <f t="shared" si="5"/>
        <v>117.27473106060611</v>
      </c>
      <c r="K21" s="30">
        <f t="shared" si="3"/>
        <v>7.3296706912878822</v>
      </c>
      <c r="L21" s="27">
        <v>40</v>
      </c>
      <c r="M21" s="31">
        <f t="shared" si="6"/>
        <v>0.4</v>
      </c>
      <c r="N21" s="27">
        <v>190</v>
      </c>
      <c r="O21" s="32">
        <f t="shared" ref="O21:P21" si="29">D21/7</f>
        <v>2.2857142857142856</v>
      </c>
      <c r="P21" s="32">
        <f t="shared" si="29"/>
        <v>0</v>
      </c>
      <c r="Q21" s="27">
        <f t="shared" si="8"/>
        <v>83</v>
      </c>
      <c r="R21" s="27"/>
      <c r="S21" s="33">
        <v>2.0418848167539201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0.39322743055555559</v>
      </c>
      <c r="AD21" s="37">
        <f t="shared" si="12"/>
        <v>-8.6824616666666667</v>
      </c>
      <c r="AE21" s="37">
        <v>-6.56</v>
      </c>
      <c r="AF21" s="37">
        <v>-9.2523004545454555</v>
      </c>
      <c r="AG21" s="37">
        <v>0</v>
      </c>
    </row>
    <row r="22" spans="1:33" ht="15.75" customHeight="1" x14ac:dyDescent="0.2">
      <c r="A22" s="26" t="s">
        <v>67</v>
      </c>
      <c r="B22" s="26" t="s">
        <v>1168</v>
      </c>
      <c r="C22" s="14">
        <f t="shared" si="4"/>
        <v>28.021666666666665</v>
      </c>
      <c r="D22" s="27">
        <v>48</v>
      </c>
      <c r="E22" s="27">
        <v>0</v>
      </c>
      <c r="F22" s="28">
        <v>1345.04</v>
      </c>
      <c r="G22" s="28">
        <v>-1.8200000000000003</v>
      </c>
      <c r="H22" s="29">
        <f t="shared" si="1"/>
        <v>1.3531196098257303E-3</v>
      </c>
      <c r="I22" s="29">
        <f t="shared" si="2"/>
        <v>0.26499300629112743</v>
      </c>
      <c r="J22" s="30">
        <f t="shared" si="5"/>
        <v>356.42619318181806</v>
      </c>
      <c r="K22" s="30">
        <f t="shared" si="3"/>
        <v>7.4255456912878763</v>
      </c>
      <c r="L22" s="27">
        <v>73</v>
      </c>
      <c r="M22" s="31">
        <f t="shared" si="6"/>
        <v>0.65753424657534243</v>
      </c>
      <c r="N22" s="27">
        <v>164</v>
      </c>
      <c r="O22" s="32">
        <f t="shared" ref="O22:P22" si="30">D22/7</f>
        <v>6.8571428571428568</v>
      </c>
      <c r="P22" s="32">
        <f t="shared" si="30"/>
        <v>0</v>
      </c>
      <c r="Q22" s="27">
        <f t="shared" si="8"/>
        <v>23</v>
      </c>
      <c r="R22" s="27"/>
      <c r="S22" s="33">
        <v>2.8349514563106699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2.0833333333333332E-2</v>
      </c>
      <c r="Y22" s="37">
        <f t="shared" si="10"/>
        <v>1.8200000000000003</v>
      </c>
      <c r="Z22" s="26">
        <v>0</v>
      </c>
      <c r="AA22" s="26" t="s">
        <v>37</v>
      </c>
      <c r="AB22" s="38">
        <f t="shared" si="11"/>
        <v>-0.69</v>
      </c>
      <c r="AC22" s="39">
        <v>0.39322743055555559</v>
      </c>
      <c r="AD22" s="37">
        <f t="shared" si="12"/>
        <v>-26.047384999999998</v>
      </c>
      <c r="AE22" s="37">
        <v>-6.56</v>
      </c>
      <c r="AF22" s="37">
        <v>-9.2523004545454555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28.232068965517239</v>
      </c>
      <c r="D23" s="27">
        <v>29</v>
      </c>
      <c r="E23" s="27">
        <v>0</v>
      </c>
      <c r="F23" s="30">
        <v>818.7299999999999</v>
      </c>
      <c r="G23" s="28">
        <v>-2.0799999999999996</v>
      </c>
      <c r="H23" s="29">
        <f t="shared" si="1"/>
        <v>2.5405200737727944E-3</v>
      </c>
      <c r="I23" s="29">
        <f t="shared" si="2"/>
        <v>0.26815534431051552</v>
      </c>
      <c r="J23" s="30">
        <f t="shared" si="5"/>
        <v>219.54682504734836</v>
      </c>
      <c r="K23" s="30">
        <f t="shared" si="3"/>
        <v>7.5705801740464951</v>
      </c>
      <c r="L23" s="27">
        <v>77</v>
      </c>
      <c r="M23" s="31">
        <f t="shared" si="6"/>
        <v>0.37662337662337664</v>
      </c>
      <c r="N23" s="27">
        <v>139</v>
      </c>
      <c r="O23" s="32">
        <f t="shared" ref="O23:P23" si="31">D23/7</f>
        <v>4.1428571428571432</v>
      </c>
      <c r="P23" s="32">
        <f t="shared" si="31"/>
        <v>0</v>
      </c>
      <c r="Q23" s="27">
        <f t="shared" si="8"/>
        <v>33</v>
      </c>
      <c r="R23" s="27"/>
      <c r="S23" s="33">
        <v>3.65625</v>
      </c>
      <c r="T23" s="26">
        <v>500</v>
      </c>
      <c r="U23" s="34" t="s">
        <v>34</v>
      </c>
      <c r="V23" s="35" t="s">
        <v>34</v>
      </c>
      <c r="W23" s="26">
        <v>3</v>
      </c>
      <c r="X23" s="36">
        <f t="shared" si="9"/>
        <v>0.10344827586206896</v>
      </c>
      <c r="Y23" s="37">
        <f t="shared" si="10"/>
        <v>0.51999999999999991</v>
      </c>
      <c r="Z23" s="26">
        <v>1</v>
      </c>
      <c r="AA23" s="26" t="s">
        <v>37</v>
      </c>
      <c r="AB23" s="38">
        <f t="shared" si="11"/>
        <v>-0.69</v>
      </c>
      <c r="AC23" s="39">
        <v>0.39322743055555559</v>
      </c>
      <c r="AD23" s="37">
        <f t="shared" si="12"/>
        <v>-15.736961770833334</v>
      </c>
      <c r="AE23" s="37">
        <v>-6.56</v>
      </c>
      <c r="AF23" s="37">
        <v>-9.2523004545454555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26.240625000000001</v>
      </c>
      <c r="D24" s="27">
        <v>16</v>
      </c>
      <c r="E24" s="27">
        <v>0</v>
      </c>
      <c r="F24" s="30">
        <v>419.85</v>
      </c>
      <c r="G24" s="30">
        <v>-1.2000000000000002</v>
      </c>
      <c r="H24" s="29">
        <f t="shared" si="1"/>
        <v>2.8581636298678102E-3</v>
      </c>
      <c r="I24" s="29">
        <f t="shared" si="2"/>
        <v>0.22387336205932132</v>
      </c>
      <c r="J24" s="30">
        <f t="shared" si="5"/>
        <v>93.993231060606064</v>
      </c>
      <c r="K24" s="30">
        <f t="shared" si="3"/>
        <v>5.874576941287879</v>
      </c>
      <c r="L24" s="27">
        <v>86</v>
      </c>
      <c r="M24" s="31">
        <f t="shared" si="6"/>
        <v>0.18604651162790697</v>
      </c>
      <c r="N24" s="27">
        <v>121</v>
      </c>
      <c r="O24" s="32">
        <f t="shared" ref="O24:P24" si="32">D24/7</f>
        <v>2.2857142857142856</v>
      </c>
      <c r="P24" s="32">
        <f t="shared" si="32"/>
        <v>0</v>
      </c>
      <c r="Q24" s="27">
        <f t="shared" si="8"/>
        <v>52</v>
      </c>
      <c r="R24" s="27"/>
      <c r="S24" s="33">
        <v>1.9370078740157399</v>
      </c>
      <c r="T24" s="26">
        <v>500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0.39322743055555559</v>
      </c>
      <c r="AD24" s="37">
        <f t="shared" si="12"/>
        <v>-8.6824616666666667</v>
      </c>
      <c r="AE24" s="37">
        <v>-6.56</v>
      </c>
      <c r="AF24" s="37">
        <v>-9.2523004545454555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27.059310344827583</v>
      </c>
      <c r="D25" s="15">
        <v>29</v>
      </c>
      <c r="E25" s="15">
        <v>0</v>
      </c>
      <c r="F25" s="16">
        <v>784.71999999999991</v>
      </c>
      <c r="G25" s="16">
        <v>-1.6</v>
      </c>
      <c r="H25" s="29">
        <f t="shared" si="1"/>
        <v>2.0389438270975637E-3</v>
      </c>
      <c r="I25" s="29">
        <f t="shared" si="2"/>
        <v>0.24363472095673186</v>
      </c>
      <c r="J25" s="30">
        <f t="shared" si="5"/>
        <v>191.18503822916659</v>
      </c>
      <c r="K25" s="30">
        <f t="shared" si="3"/>
        <v>6.5925875251436761</v>
      </c>
      <c r="L25" s="15">
        <v>66</v>
      </c>
      <c r="M25" s="31">
        <f t="shared" si="6"/>
        <v>0.43939393939393939</v>
      </c>
      <c r="N25" s="15">
        <v>89</v>
      </c>
      <c r="O25" s="32">
        <f t="shared" ref="O25:P25" si="33">D25/7</f>
        <v>4.1428571428571432</v>
      </c>
      <c r="P25" s="32">
        <f t="shared" si="33"/>
        <v>0</v>
      </c>
      <c r="Q25" s="27">
        <f t="shared" si="8"/>
        <v>21</v>
      </c>
      <c r="R25" s="27"/>
      <c r="S25" s="41">
        <v>2.3942307692307692</v>
      </c>
      <c r="T25" s="26">
        <v>500</v>
      </c>
      <c r="U25" s="34" t="s">
        <v>34</v>
      </c>
      <c r="V25" s="35" t="s">
        <v>34</v>
      </c>
      <c r="W25" s="40">
        <v>1</v>
      </c>
      <c r="X25" s="36">
        <f t="shared" si="9"/>
        <v>3.4482758620689655E-2</v>
      </c>
      <c r="Y25" s="37">
        <f t="shared" si="10"/>
        <v>0.53333333333333333</v>
      </c>
      <c r="Z25" s="40">
        <v>2</v>
      </c>
      <c r="AA25" s="26" t="s">
        <v>37</v>
      </c>
      <c r="AB25" s="38">
        <f t="shared" si="11"/>
        <v>-0.69</v>
      </c>
      <c r="AC25" s="39">
        <v>0.39322743055555559</v>
      </c>
      <c r="AD25" s="37">
        <f t="shared" si="12"/>
        <v>-15.736961770833334</v>
      </c>
      <c r="AE25" s="42">
        <v>-6.56</v>
      </c>
      <c r="AF25" s="42">
        <v>-9.25</v>
      </c>
      <c r="AG25" s="42">
        <v>0</v>
      </c>
    </row>
    <row r="26" spans="1:33" ht="15.75" customHeight="1" x14ac:dyDescent="0.2">
      <c r="A26" s="40" t="s">
        <v>75</v>
      </c>
      <c r="B26" s="40" t="s">
        <v>1169</v>
      </c>
      <c r="C26" s="14">
        <f t="shared" si="4"/>
        <v>28.027999999999999</v>
      </c>
      <c r="D26" s="15">
        <v>25</v>
      </c>
      <c r="E26" s="15">
        <v>1</v>
      </c>
      <c r="F26" s="16">
        <v>700.69999999999993</v>
      </c>
      <c r="G26" s="16">
        <v>-1.41</v>
      </c>
      <c r="H26" s="29">
        <f t="shared" si="1"/>
        <v>2.0122734408448695E-3</v>
      </c>
      <c r="I26" s="29">
        <f t="shared" si="2"/>
        <v>0.27445574751276874</v>
      </c>
      <c r="J26" s="30">
        <f t="shared" si="5"/>
        <v>192.31114228219704</v>
      </c>
      <c r="K26" s="30">
        <f t="shared" si="3"/>
        <v>7.6924456912878814</v>
      </c>
      <c r="L26" s="15">
        <v>77</v>
      </c>
      <c r="M26" s="31">
        <f t="shared" si="6"/>
        <v>0.32467532467532467</v>
      </c>
      <c r="N26" s="15">
        <v>65</v>
      </c>
      <c r="O26" s="32">
        <f t="shared" ref="O26:P26" si="34">D26/7</f>
        <v>3.5714285714285716</v>
      </c>
      <c r="P26" s="32">
        <f t="shared" si="34"/>
        <v>0.14285714285714285</v>
      </c>
      <c r="Q26" s="27">
        <f t="shared" si="8"/>
        <v>17</v>
      </c>
      <c r="R26" s="27"/>
      <c r="S26" s="41">
        <v>3.378640776699029</v>
      </c>
      <c r="T26" s="26">
        <v>500</v>
      </c>
      <c r="U26" s="34" t="s">
        <v>34</v>
      </c>
      <c r="V26" s="35" t="s">
        <v>34</v>
      </c>
      <c r="W26" s="40">
        <v>1</v>
      </c>
      <c r="X26" s="36">
        <f t="shared" si="9"/>
        <v>0.04</v>
      </c>
      <c r="Y26" s="37">
        <f t="shared" si="10"/>
        <v>1.41</v>
      </c>
      <c r="Z26" s="40">
        <v>0</v>
      </c>
      <c r="AA26" s="26" t="s">
        <v>37</v>
      </c>
      <c r="AB26" s="38">
        <f t="shared" si="11"/>
        <v>-0.69</v>
      </c>
      <c r="AC26" s="40">
        <v>0.39322743055555559</v>
      </c>
      <c r="AD26" s="37">
        <f t="shared" si="12"/>
        <v>-13.566346354166667</v>
      </c>
      <c r="AE26" s="42">
        <v>-6.28</v>
      </c>
      <c r="AF26" s="42">
        <v>-9.2523004545454501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29.41764705882353</v>
      </c>
      <c r="D27" s="15">
        <v>17</v>
      </c>
      <c r="E27" s="15">
        <v>0</v>
      </c>
      <c r="F27" s="16">
        <v>500.1</v>
      </c>
      <c r="G27" s="16">
        <v>-1.08</v>
      </c>
      <c r="H27" s="29">
        <f t="shared" si="1"/>
        <v>2.1595680863827236E-3</v>
      </c>
      <c r="I27" s="29">
        <f t="shared" si="2"/>
        <v>0.30140127324913829</v>
      </c>
      <c r="J27" s="30">
        <f t="shared" si="5"/>
        <v>150.73077675189407</v>
      </c>
      <c r="K27" s="30">
        <f t="shared" si="3"/>
        <v>8.8665162795231804</v>
      </c>
      <c r="L27" s="15">
        <v>61</v>
      </c>
      <c r="M27" s="31">
        <f t="shared" si="6"/>
        <v>0.27868852459016391</v>
      </c>
      <c r="N27" s="15">
        <v>50</v>
      </c>
      <c r="O27" s="32">
        <f t="shared" ref="O27:P27" si="35">D27/7</f>
        <v>2.4285714285714284</v>
      </c>
      <c r="P27" s="32">
        <f t="shared" si="35"/>
        <v>0</v>
      </c>
      <c r="Q27" s="27">
        <f t="shared" si="8"/>
        <v>20</v>
      </c>
      <c r="R27" s="27"/>
      <c r="S27" s="41">
        <v>4.4705882352941178</v>
      </c>
      <c r="T27" s="26">
        <v>500</v>
      </c>
      <c r="U27" s="34" t="s">
        <v>34</v>
      </c>
      <c r="V27" s="35" t="s">
        <v>34</v>
      </c>
      <c r="W27" s="40">
        <v>1</v>
      </c>
      <c r="X27" s="36">
        <f t="shared" si="9"/>
        <v>5.8823529411764705E-2</v>
      </c>
      <c r="Y27" s="37">
        <f t="shared" si="10"/>
        <v>0.54</v>
      </c>
      <c r="Z27" s="40">
        <v>1</v>
      </c>
      <c r="AA27" s="26" t="s">
        <v>37</v>
      </c>
      <c r="AB27" s="38">
        <f t="shared" si="11"/>
        <v>-0.69</v>
      </c>
      <c r="AC27" s="39">
        <v>0.39322743055555559</v>
      </c>
      <c r="AD27" s="37">
        <f t="shared" si="12"/>
        <v>-9.2251155208333326</v>
      </c>
      <c r="AE27" s="42">
        <v>-6.28</v>
      </c>
      <c r="AF27" s="42">
        <v>-9.2523004545454501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29.99</v>
      </c>
      <c r="D28" s="15">
        <v>8</v>
      </c>
      <c r="E28" s="15">
        <v>0</v>
      </c>
      <c r="F28" s="16">
        <v>239.92</v>
      </c>
      <c r="G28" s="16">
        <v>-1.76</v>
      </c>
      <c r="H28" s="29">
        <f t="shared" si="1"/>
        <v>7.3357785928642883E-3</v>
      </c>
      <c r="I28" s="29">
        <f t="shared" si="2"/>
        <v>0.30665374095658154</v>
      </c>
      <c r="J28" s="30">
        <f t="shared" si="5"/>
        <v>73.572365530303045</v>
      </c>
      <c r="K28" s="30">
        <f t="shared" si="3"/>
        <v>9.1965456912878807</v>
      </c>
      <c r="L28" s="15">
        <v>53</v>
      </c>
      <c r="M28" s="31">
        <f t="shared" si="6"/>
        <v>0.15094339622641509</v>
      </c>
      <c r="N28" s="15">
        <v>46</v>
      </c>
      <c r="O28" s="32">
        <f t="shared" ref="O28:P28" si="36">D28/7</f>
        <v>1.1428571428571428</v>
      </c>
      <c r="P28" s="32">
        <f t="shared" si="36"/>
        <v>0</v>
      </c>
      <c r="Q28" s="27">
        <f t="shared" si="8"/>
        <v>40</v>
      </c>
      <c r="R28" s="27"/>
      <c r="S28" s="41">
        <v>2.037267080745341</v>
      </c>
      <c r="T28" s="40" t="s">
        <v>34</v>
      </c>
      <c r="U28" s="22" t="s">
        <v>34</v>
      </c>
      <c r="V28" s="1" t="s">
        <v>505</v>
      </c>
      <c r="W28" s="40">
        <v>1</v>
      </c>
      <c r="X28" s="36">
        <f t="shared" si="9"/>
        <v>0.125</v>
      </c>
      <c r="Y28" s="37">
        <f t="shared" si="10"/>
        <v>1.76</v>
      </c>
      <c r="Z28" s="40">
        <v>0</v>
      </c>
      <c r="AA28" s="26" t="s">
        <v>37</v>
      </c>
      <c r="AB28" s="38">
        <f t="shared" si="11"/>
        <v>-0.69</v>
      </c>
      <c r="AC28" s="39">
        <v>0.39322743055555559</v>
      </c>
      <c r="AD28" s="37">
        <f t="shared" si="12"/>
        <v>-4.3412308333333334</v>
      </c>
      <c r="AE28" s="42">
        <v>-6.28</v>
      </c>
      <c r="AF28" s="42">
        <v>-9.2523004545454501</v>
      </c>
      <c r="AG28" s="42">
        <v>0</v>
      </c>
    </row>
    <row r="29" spans="1:33" ht="15.75" customHeight="1" x14ac:dyDescent="0.2">
      <c r="A29" s="26" t="s">
        <v>82</v>
      </c>
      <c r="B29" s="26" t="s">
        <v>1170</v>
      </c>
      <c r="C29" s="14">
        <f t="shared" si="4"/>
        <v>29.200789473684214</v>
      </c>
      <c r="D29" s="27">
        <v>38</v>
      </c>
      <c r="E29" s="27">
        <v>0</v>
      </c>
      <c r="F29" s="30">
        <v>1109.6300000000001</v>
      </c>
      <c r="G29" s="30">
        <v>-1.1000000000000001</v>
      </c>
      <c r="H29" s="29">
        <f t="shared" si="1"/>
        <v>9.913214314681471E-4</v>
      </c>
      <c r="I29" s="29">
        <f t="shared" si="2"/>
        <v>0.29851142837607092</v>
      </c>
      <c r="J29" s="30">
        <f t="shared" si="5"/>
        <v>331.23723626893963</v>
      </c>
      <c r="K29" s="30">
        <f t="shared" si="3"/>
        <v>8.7167693754984104</v>
      </c>
      <c r="L29" s="27">
        <v>68</v>
      </c>
      <c r="M29" s="31">
        <f t="shared" si="6"/>
        <v>0.55882352941176472</v>
      </c>
      <c r="N29" s="15">
        <v>20</v>
      </c>
      <c r="O29" s="32">
        <f t="shared" ref="O29:P29" si="37">D29/7</f>
        <v>5.4285714285714288</v>
      </c>
      <c r="P29" s="32">
        <f t="shared" si="37"/>
        <v>0</v>
      </c>
      <c r="Q29" s="27">
        <f t="shared" si="8"/>
        <v>3</v>
      </c>
      <c r="R29" s="27"/>
      <c r="S29" s="41">
        <v>2.5170731707317069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0.39322743055555559</v>
      </c>
      <c r="AD29" s="37">
        <f t="shared" si="12"/>
        <v>-20.620846458333332</v>
      </c>
      <c r="AE29" s="37">
        <v>-6.28</v>
      </c>
      <c r="AF29" s="42">
        <v>-9.2523004545454501</v>
      </c>
      <c r="AG29" s="37">
        <v>0</v>
      </c>
    </row>
    <row r="30" spans="1:33" ht="15.75" customHeight="1" x14ac:dyDescent="0.2">
      <c r="A30" s="40" t="s">
        <v>84</v>
      </c>
      <c r="B30" s="40" t="s">
        <v>76</v>
      </c>
      <c r="C30" s="14">
        <f t="shared" si="4"/>
        <v>29.990000000000002</v>
      </c>
      <c r="D30" s="15">
        <v>8</v>
      </c>
      <c r="E30" s="15">
        <v>0</v>
      </c>
      <c r="F30" s="16">
        <v>239.92000000000002</v>
      </c>
      <c r="G30" s="16">
        <v>-0.68</v>
      </c>
      <c r="H30" s="29">
        <f t="shared" si="1"/>
        <v>2.8342780926975657E-3</v>
      </c>
      <c r="I30" s="29">
        <f t="shared" si="2"/>
        <v>0.31865424941925086</v>
      </c>
      <c r="J30" s="30">
        <f t="shared" si="5"/>
        <v>76.451527520666673</v>
      </c>
      <c r="K30" s="30">
        <f t="shared" si="3"/>
        <v>9.5564409400833341</v>
      </c>
      <c r="L30" s="15">
        <v>48</v>
      </c>
      <c r="M30" s="31">
        <f t="shared" si="6"/>
        <v>0.16666666666666666</v>
      </c>
      <c r="N30" s="15">
        <v>5</v>
      </c>
      <c r="O30" s="32">
        <f t="shared" ref="O30:P30" si="38">D30/7</f>
        <v>1.1428571428571428</v>
      </c>
      <c r="P30" s="32">
        <f t="shared" si="38"/>
        <v>0</v>
      </c>
      <c r="Q30" s="27">
        <f t="shared" si="8"/>
        <v>4</v>
      </c>
      <c r="R30" s="27"/>
      <c r="S30" s="41">
        <v>3.2852664576802511</v>
      </c>
      <c r="T30" s="26">
        <v>1250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0.39322743055555559</v>
      </c>
      <c r="AD30" s="37">
        <f t="shared" si="12"/>
        <v>-4.3412308333333334</v>
      </c>
      <c r="AE30" s="42">
        <v>-6.28</v>
      </c>
      <c r="AF30" s="42">
        <v>-9.0274052057500001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29.99</v>
      </c>
      <c r="D31" s="15">
        <v>2</v>
      </c>
      <c r="E31" s="15">
        <v>0</v>
      </c>
      <c r="F31" s="16">
        <v>59.98</v>
      </c>
      <c r="G31" s="43">
        <v>0</v>
      </c>
      <c r="H31" s="29">
        <f t="shared" si="1"/>
        <v>0</v>
      </c>
      <c r="I31" s="29">
        <f t="shared" si="2"/>
        <v>0.3214885275119484</v>
      </c>
      <c r="J31" s="30">
        <f t="shared" si="5"/>
        <v>19.282881880166663</v>
      </c>
      <c r="K31" s="30">
        <f t="shared" si="3"/>
        <v>9.6414409400833314</v>
      </c>
      <c r="L31" s="15">
        <v>12</v>
      </c>
      <c r="M31" s="31">
        <f t="shared" si="6"/>
        <v>0.16666666666666666</v>
      </c>
      <c r="N31" s="15">
        <v>0</v>
      </c>
      <c r="O31" s="32">
        <f t="shared" ref="O31:P31" si="39">D31/7</f>
        <v>0.2857142857142857</v>
      </c>
      <c r="P31" s="32">
        <f t="shared" si="39"/>
        <v>0</v>
      </c>
      <c r="Q31" s="27">
        <f t="shared" si="8"/>
        <v>0</v>
      </c>
      <c r="R31" s="27"/>
      <c r="S31" s="41">
        <v>3.9844357976653599</v>
      </c>
      <c r="T31" s="40">
        <v>750</v>
      </c>
      <c r="U31" s="22" t="s">
        <v>34</v>
      </c>
      <c r="V31" s="1" t="s">
        <v>505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0.39322743055555559</v>
      </c>
      <c r="AD31" s="37">
        <f t="shared" si="12"/>
        <v>-1.0853077083333333</v>
      </c>
      <c r="AE31" s="45">
        <v>-6.28</v>
      </c>
      <c r="AF31" s="45">
        <v>-9.0274052057500001</v>
      </c>
      <c r="AG31" s="42">
        <v>0</v>
      </c>
    </row>
    <row r="32" spans="1:33" ht="15.75" customHeight="1" x14ac:dyDescent="0.2">
      <c r="A32" s="40" t="s">
        <v>90</v>
      </c>
      <c r="B32" s="50" t="s">
        <v>53</v>
      </c>
      <c r="C32" s="14">
        <f t="shared" si="4"/>
        <v>29.99</v>
      </c>
      <c r="D32" s="15">
        <v>10</v>
      </c>
      <c r="E32" s="15">
        <v>0</v>
      </c>
      <c r="F32" s="16">
        <v>299.89999999999998</v>
      </c>
      <c r="G32" s="16">
        <v>-0.37</v>
      </c>
      <c r="H32" s="29">
        <f t="shared" si="1"/>
        <v>1.2337445815271757E-3</v>
      </c>
      <c r="I32" s="29">
        <f t="shared" si="2"/>
        <v>0.32025478293042109</v>
      </c>
      <c r="J32" s="30">
        <f t="shared" si="5"/>
        <v>96.044409400833274</v>
      </c>
      <c r="K32" s="30">
        <f t="shared" si="3"/>
        <v>9.604440940083327</v>
      </c>
      <c r="L32" s="15">
        <v>31</v>
      </c>
      <c r="M32" s="31">
        <f t="shared" si="6"/>
        <v>0.32258064516129031</v>
      </c>
      <c r="N32" s="15">
        <v>119</v>
      </c>
      <c r="O32" s="32">
        <f t="shared" ref="O32:P32" si="40">D32/7</f>
        <v>1.4285714285714286</v>
      </c>
      <c r="P32" s="32">
        <f t="shared" si="40"/>
        <v>0</v>
      </c>
      <c r="Q32" s="27">
        <f t="shared" si="8"/>
        <v>83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1.7674418604651161</v>
      </c>
      <c r="T32" s="40">
        <f ca="1">IFERROR(__xludf.DUMMYFUNCTION("IFERROR(VLOOKUP($B$2,IMPORTRANGE(""https://docs.google.com/spreadsheets/d/1KiWZV1ko8G7lnRucBRBd29jj3Be6ltMfljMDqzOkQmI/edit#gid=1381463014"",""Lookup!A:D""),4,FALSE),"""")"),750)</f>
        <v>750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750 At Factory 50-75 days from Earliest Arrival")</f>
        <v>No Transit, But 750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0.39322743055555559</v>
      </c>
      <c r="AD32" s="37">
        <f t="shared" si="12"/>
        <v>-5.4265385416666669</v>
      </c>
      <c r="AE32" s="42">
        <v>-6.28</v>
      </c>
      <c r="AF32" s="42">
        <v>-9.0274052057500001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Info!B1:BJ5000""),3,FALSE),"""")"),"3 Tier Serving Tray Platter - Galvanized Tiered Metal Stand for Cake, Dessert, Shrimp, Appetizers &amp; More")</f>
        <v>3 Tier Serving Tray Platter - Galvanized Tiered Metal Stand for Cake, Dessert, Shrimp, Appetizers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Info!B1:BJ5000""),2,FALSE),"""")"),"B07SVM8WQQ")</f>
        <v>B07SVM8WQQ</v>
      </c>
      <c r="B2" s="3" t="s">
        <v>1171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2" customHeight="1" x14ac:dyDescent="0.2">
      <c r="A3" s="68" t="s">
        <v>31</v>
      </c>
      <c r="B3" s="69"/>
      <c r="C3" s="48">
        <f>((AE32+AF32)/0.85)*-1</f>
        <v>22.411937355441175</v>
      </c>
      <c r="D3" s="5">
        <f>SUM(D4:D99767)</f>
        <v>816</v>
      </c>
      <c r="E3" s="5"/>
      <c r="F3" s="6">
        <f t="shared" ref="F3:G3" si="0">SUM(F4:F99767)</f>
        <v>29534.480000000003</v>
      </c>
      <c r="G3" s="6">
        <f t="shared" si="0"/>
        <v>-47.09</v>
      </c>
      <c r="H3" s="7">
        <f t="shared" ref="H3:H32" si="1">G3/F3*-1</f>
        <v>1.59440762119394E-3</v>
      </c>
      <c r="I3" s="8">
        <f t="shared" ref="I3:I32" si="2">J3/F3</f>
        <v>0.29722440198703726</v>
      </c>
      <c r="J3" s="6">
        <f>SUM(J4:J99767)</f>
        <v>8778.3681559981123</v>
      </c>
      <c r="K3" s="6">
        <f t="shared" ref="K3:K32" si="3">J3/D3</f>
        <v>10.757804112742784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Sheet!a1:g5000""),2,FALSE),"""")"),"8.0 - March
8.0 - April
8.0 - May
8.0 - June
8.0 - July
8.0 - Aug
8.0 - Sept
8.0 - Oct
8.0 - Nov
8.0 - Dec
8.0 - Jan
8.0 - Feb")</f>
        <v>8.0 - March
8.0 - April
8.0 - May
8.0 - June
8.0 - July
8.0 - Aug
8.0 - Sept
8.0 - Oct
8.0 - Nov
8.0 - Dec
8.0 - Jan
8.0 -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QTY-160")</f>
        <v>US QTY-160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19</v>
      </c>
      <c r="X3" s="7">
        <f>W3/D3</f>
        <v>2.3284313725490197E-2</v>
      </c>
      <c r="Y3" s="6"/>
      <c r="Z3" s="5"/>
      <c r="AA3" s="5"/>
      <c r="AB3" s="5"/>
      <c r="AC3" s="5"/>
      <c r="AD3" s="6">
        <f>SUM(AD4:AD99767)</f>
        <v>-447.34467682663825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Info!B2:BZ3000""),37,FALSE)),"""")*-1"),-12.770146752125)</f>
        <v>-12.770146752124999</v>
      </c>
      <c r="AG3" s="6">
        <f>SUM(AG4:AG99767)</f>
        <v>0</v>
      </c>
    </row>
    <row r="4" spans="1:33" x14ac:dyDescent="0.2">
      <c r="A4" s="1" t="s">
        <v>32</v>
      </c>
      <c r="B4" s="2" t="s">
        <v>53</v>
      </c>
      <c r="C4" s="14">
        <f t="shared" ref="C4:C32" si="4">IFERROR(F4/D4," - ")</f>
        <v>37.508235294117654</v>
      </c>
      <c r="D4" s="15">
        <v>34</v>
      </c>
      <c r="E4" s="15">
        <v>0</v>
      </c>
      <c r="F4" s="16">
        <v>1275.2800000000002</v>
      </c>
      <c r="G4" s="16">
        <v>-1.8000000000000003</v>
      </c>
      <c r="H4" s="17">
        <f t="shared" si="1"/>
        <v>1.4114547393513581E-3</v>
      </c>
      <c r="I4" s="17">
        <f t="shared" si="2"/>
        <v>0.32744798642753997</v>
      </c>
      <c r="J4" s="16">
        <f t="shared" ref="J4:J32" si="5">F4*0.85+G4+AF4*D4+D4*AE4+AG4+AD4</f>
        <v>417.58786813131326</v>
      </c>
      <c r="K4" s="16">
        <f t="shared" si="3"/>
        <v>12.281996121509213</v>
      </c>
      <c r="L4" s="15">
        <v>150</v>
      </c>
      <c r="M4" s="18">
        <f t="shared" ref="M4:M32" si="6">IFERROR(D4/L4,"-")</f>
        <v>0.22666666666666666</v>
      </c>
      <c r="N4" s="15">
        <v>367</v>
      </c>
      <c r="O4" s="19">
        <f t="shared" ref="O4:P4" si="7">D4/7</f>
        <v>4.8571428571428568</v>
      </c>
      <c r="P4" s="19">
        <f t="shared" si="7"/>
        <v>0</v>
      </c>
      <c r="Q4" s="15">
        <f t="shared" ref="Q4:Q32" si="8">ROUNDDOWN(N4/(O4+P4),0)</f>
        <v>75</v>
      </c>
      <c r="R4" s="15"/>
      <c r="S4" s="20">
        <v>0.79429735234215804</v>
      </c>
      <c r="T4" s="2">
        <v>800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5.8823529411764705E-2</v>
      </c>
      <c r="Y4" s="24">
        <f t="shared" ref="Y4:Y32" si="10">IFERROR(G4/(W4+Z4)*-1,0)</f>
        <v>0.90000000000000013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0.39724537037037033</v>
      </c>
      <c r="AD4" s="24">
        <f t="shared" ref="AD4:AD32" si="12">IFERROR(AB4*AC4*D4*2,0)</f>
        <v>-18.638752777777775</v>
      </c>
      <c r="AE4" s="24">
        <v>-6.56</v>
      </c>
      <c r="AF4" s="24">
        <v>-12.438864090909092</v>
      </c>
      <c r="AG4" s="24">
        <v>0</v>
      </c>
    </row>
    <row r="5" spans="1:33" ht="15.75" customHeight="1" x14ac:dyDescent="0.2">
      <c r="A5" s="26" t="s">
        <v>35</v>
      </c>
      <c r="B5" s="2" t="s">
        <v>53</v>
      </c>
      <c r="C5" s="14">
        <f t="shared" si="4"/>
        <v>36.326956521739135</v>
      </c>
      <c r="D5" s="27">
        <v>23</v>
      </c>
      <c r="E5" s="27">
        <v>0</v>
      </c>
      <c r="F5" s="28">
        <v>835.5200000000001</v>
      </c>
      <c r="G5" s="28">
        <v>-1.9500000000000002</v>
      </c>
      <c r="H5" s="29">
        <f t="shared" si="1"/>
        <v>2.3338759096131752E-3</v>
      </c>
      <c r="I5" s="29">
        <f t="shared" si="2"/>
        <v>0.3095616474693168</v>
      </c>
      <c r="J5" s="30">
        <f t="shared" si="5"/>
        <v>258.64494769356361</v>
      </c>
      <c r="K5" s="30">
        <f t="shared" si="3"/>
        <v>11.245432508415808</v>
      </c>
      <c r="L5" s="27">
        <v>187</v>
      </c>
      <c r="M5" s="31">
        <f t="shared" si="6"/>
        <v>0.12299465240641712</v>
      </c>
      <c r="N5" s="27">
        <v>342</v>
      </c>
      <c r="O5" s="32">
        <f t="shared" ref="O5:P5" si="13">D5/7</f>
        <v>3.2857142857142856</v>
      </c>
      <c r="P5" s="32">
        <f t="shared" si="13"/>
        <v>0</v>
      </c>
      <c r="Q5" s="27">
        <f t="shared" si="8"/>
        <v>104</v>
      </c>
      <c r="R5" s="27"/>
      <c r="S5" s="33">
        <v>0.92473118279569799</v>
      </c>
      <c r="T5" s="26">
        <v>800</v>
      </c>
      <c r="U5" s="34" t="s">
        <v>34</v>
      </c>
      <c r="V5" s="35" t="s">
        <v>34</v>
      </c>
      <c r="W5" s="26">
        <v>1</v>
      </c>
      <c r="X5" s="36">
        <f t="shared" si="9"/>
        <v>4.3478260869565216E-2</v>
      </c>
      <c r="Y5" s="37">
        <f t="shared" si="10"/>
        <v>1.9500000000000002</v>
      </c>
      <c r="Z5" s="26">
        <v>0</v>
      </c>
      <c r="AA5" s="26" t="s">
        <v>37</v>
      </c>
      <c r="AB5" s="38">
        <f t="shared" si="11"/>
        <v>-0.69</v>
      </c>
      <c r="AC5" s="39">
        <v>0.39770567786790262</v>
      </c>
      <c r="AD5" s="37">
        <f t="shared" si="12"/>
        <v>-12.623178215527229</v>
      </c>
      <c r="AE5" s="37">
        <v>-6.56</v>
      </c>
      <c r="AF5" s="37">
        <v>-12.438864090909092</v>
      </c>
      <c r="AG5" s="37">
        <v>0</v>
      </c>
    </row>
    <row r="6" spans="1:33" ht="15.75" customHeight="1" x14ac:dyDescent="0.2">
      <c r="A6" s="26" t="s">
        <v>38</v>
      </c>
      <c r="B6" s="2" t="s">
        <v>53</v>
      </c>
      <c r="C6" s="14">
        <f t="shared" si="4"/>
        <v>37.374800000000008</v>
      </c>
      <c r="D6" s="27">
        <v>25</v>
      </c>
      <c r="E6" s="27">
        <v>0</v>
      </c>
      <c r="F6" s="28">
        <v>934.37000000000023</v>
      </c>
      <c r="G6" s="28">
        <v>-1.65</v>
      </c>
      <c r="H6" s="29">
        <f t="shared" si="1"/>
        <v>1.7658957372347138E-3</v>
      </c>
      <c r="I6" s="29">
        <f t="shared" si="2"/>
        <v>0.32523297243008126</v>
      </c>
      <c r="J6" s="30">
        <f t="shared" si="5"/>
        <v>303.88793244949511</v>
      </c>
      <c r="K6" s="30">
        <f t="shared" si="3"/>
        <v>12.155517297979804</v>
      </c>
      <c r="L6" s="27">
        <v>195</v>
      </c>
      <c r="M6" s="31">
        <f t="shared" si="6"/>
        <v>0.12820512820512819</v>
      </c>
      <c r="N6" s="27">
        <v>307</v>
      </c>
      <c r="O6" s="32">
        <f t="shared" ref="O6:P6" si="14">D6/7</f>
        <v>3.5714285714285716</v>
      </c>
      <c r="P6" s="32">
        <f t="shared" si="14"/>
        <v>0</v>
      </c>
      <c r="Q6" s="27">
        <f t="shared" si="8"/>
        <v>85</v>
      </c>
      <c r="R6" s="27"/>
      <c r="S6" s="33">
        <v>1.18590522478736</v>
      </c>
      <c r="T6" s="26">
        <v>800</v>
      </c>
      <c r="U6" s="34">
        <v>25</v>
      </c>
      <c r="V6" s="49" t="s">
        <v>1172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0.39724537037037033</v>
      </c>
      <c r="AD6" s="37">
        <f t="shared" si="12"/>
        <v>-13.704965277777776</v>
      </c>
      <c r="AE6" s="37">
        <v>-6.56</v>
      </c>
      <c r="AF6" s="37">
        <v>-12.438864090909092</v>
      </c>
      <c r="AG6" s="37">
        <v>0</v>
      </c>
    </row>
    <row r="7" spans="1:33" ht="15.75" customHeight="1" x14ac:dyDescent="0.2">
      <c r="A7" s="26" t="s">
        <v>41</v>
      </c>
      <c r="B7" s="2" t="s">
        <v>53</v>
      </c>
      <c r="C7" s="14">
        <f t="shared" si="4"/>
        <v>35.53263157894736</v>
      </c>
      <c r="D7" s="27">
        <v>19</v>
      </c>
      <c r="E7" s="27">
        <v>0</v>
      </c>
      <c r="F7" s="28">
        <v>675.11999999999989</v>
      </c>
      <c r="G7" s="28">
        <v>-1.1300000000000001</v>
      </c>
      <c r="H7" s="29">
        <f t="shared" si="1"/>
        <v>1.6737765138049535E-3</v>
      </c>
      <c r="I7" s="29">
        <f t="shared" si="2"/>
        <v>0.29821040505631002</v>
      </c>
      <c r="J7" s="30">
        <f t="shared" si="5"/>
        <v>201.32780866161599</v>
      </c>
      <c r="K7" s="30">
        <f t="shared" si="3"/>
        <v>10.596200455874525</v>
      </c>
      <c r="L7" s="27">
        <v>171</v>
      </c>
      <c r="M7" s="31">
        <f t="shared" si="6"/>
        <v>0.1111111111111111</v>
      </c>
      <c r="N7" s="27">
        <v>286</v>
      </c>
      <c r="O7" s="32">
        <f t="shared" ref="O7:P7" si="15">D7/7</f>
        <v>2.7142857142857144</v>
      </c>
      <c r="P7" s="32">
        <f t="shared" si="15"/>
        <v>0</v>
      </c>
      <c r="Q7" s="27">
        <f t="shared" si="8"/>
        <v>105</v>
      </c>
      <c r="R7" s="27"/>
      <c r="S7" s="33">
        <v>1.4965612104539201</v>
      </c>
      <c r="T7" s="26">
        <v>800</v>
      </c>
      <c r="U7" s="34">
        <v>25</v>
      </c>
      <c r="V7" s="49" t="s">
        <v>1172</v>
      </c>
      <c r="W7" s="26">
        <v>0</v>
      </c>
      <c r="X7" s="36">
        <f t="shared" si="9"/>
        <v>0</v>
      </c>
      <c r="Y7" s="37">
        <f t="shared" si="10"/>
        <v>1.1300000000000001</v>
      </c>
      <c r="Z7" s="26">
        <v>1</v>
      </c>
      <c r="AA7" s="26" t="s">
        <v>37</v>
      </c>
      <c r="AB7" s="38">
        <f t="shared" si="11"/>
        <v>-0.69</v>
      </c>
      <c r="AC7" s="39">
        <v>0.39724537037037033</v>
      </c>
      <c r="AD7" s="37">
        <f t="shared" si="12"/>
        <v>-10.41577361111111</v>
      </c>
      <c r="AE7" s="37">
        <v>-6.56</v>
      </c>
      <c r="AF7" s="37">
        <v>-12.438864090909092</v>
      </c>
      <c r="AG7" s="37">
        <v>0</v>
      </c>
    </row>
    <row r="8" spans="1:33" ht="15.75" customHeight="1" x14ac:dyDescent="0.2">
      <c r="A8" s="26" t="s">
        <v>43</v>
      </c>
      <c r="B8" s="2" t="s">
        <v>53</v>
      </c>
      <c r="C8" s="14">
        <f t="shared" si="4"/>
        <v>35.99</v>
      </c>
      <c r="D8" s="27">
        <v>26</v>
      </c>
      <c r="E8" s="27">
        <v>1</v>
      </c>
      <c r="F8" s="28">
        <v>935.74000000000012</v>
      </c>
      <c r="G8" s="28">
        <v>-1</v>
      </c>
      <c r="H8" s="29">
        <f t="shared" si="1"/>
        <v>1.0686729219655032E-3</v>
      </c>
      <c r="I8" s="29">
        <f t="shared" si="2"/>
        <v>0.30577493332668393</v>
      </c>
      <c r="J8" s="30">
        <f t="shared" si="5"/>
        <v>286.12583611111125</v>
      </c>
      <c r="K8" s="30">
        <f t="shared" si="3"/>
        <v>11.004839850427356</v>
      </c>
      <c r="L8" s="27">
        <v>147</v>
      </c>
      <c r="M8" s="31">
        <f t="shared" si="6"/>
        <v>0.17687074829931973</v>
      </c>
      <c r="N8" s="27">
        <v>266</v>
      </c>
      <c r="O8" s="32">
        <f t="shared" ref="O8:P8" si="16">D8/7</f>
        <v>3.7142857142857144</v>
      </c>
      <c r="P8" s="32">
        <f t="shared" si="16"/>
        <v>0.14285714285714285</v>
      </c>
      <c r="Q8" s="27">
        <f t="shared" si="8"/>
        <v>68</v>
      </c>
      <c r="R8" s="27"/>
      <c r="S8" s="33">
        <v>0.94173982442138804</v>
      </c>
      <c r="T8" s="26">
        <v>800</v>
      </c>
      <c r="U8" s="34">
        <v>25</v>
      </c>
      <c r="V8" s="35" t="s">
        <v>1173</v>
      </c>
      <c r="W8" s="26">
        <v>1</v>
      </c>
      <c r="X8" s="36">
        <f t="shared" si="9"/>
        <v>3.8461538461538464E-2</v>
      </c>
      <c r="Y8" s="37">
        <f t="shared" si="10"/>
        <v>1</v>
      </c>
      <c r="Z8" s="26">
        <v>0</v>
      </c>
      <c r="AA8" s="26" t="s">
        <v>37</v>
      </c>
      <c r="AB8" s="38">
        <f t="shared" si="11"/>
        <v>-0.69</v>
      </c>
      <c r="AC8" s="39">
        <v>0.39724537037037033</v>
      </c>
      <c r="AD8" s="37">
        <f t="shared" si="12"/>
        <v>-14.253163888888887</v>
      </c>
      <c r="AE8" s="37">
        <v>-6.56</v>
      </c>
      <c r="AF8" s="37">
        <v>-12.44</v>
      </c>
      <c r="AG8" s="37">
        <v>0</v>
      </c>
    </row>
    <row r="9" spans="1:33" ht="15.75" customHeight="1" x14ac:dyDescent="0.2">
      <c r="A9" s="26" t="s">
        <v>45</v>
      </c>
      <c r="B9" s="26" t="s">
        <v>1174</v>
      </c>
      <c r="C9" s="14">
        <f t="shared" si="4"/>
        <v>35.99</v>
      </c>
      <c r="D9" s="27">
        <v>25</v>
      </c>
      <c r="E9" s="27">
        <v>0</v>
      </c>
      <c r="F9" s="28">
        <v>899.75000000000011</v>
      </c>
      <c r="G9" s="28">
        <v>-1.8</v>
      </c>
      <c r="H9" s="29">
        <f t="shared" si="1"/>
        <v>2.0005557099194221E-3</v>
      </c>
      <c r="I9" s="29">
        <f t="shared" si="2"/>
        <v>0.29459232432690446</v>
      </c>
      <c r="J9" s="30">
        <f t="shared" si="5"/>
        <v>265.0594438131323</v>
      </c>
      <c r="K9" s="30">
        <f t="shared" si="3"/>
        <v>10.602377752525292</v>
      </c>
      <c r="L9" s="27">
        <v>168</v>
      </c>
      <c r="M9" s="31">
        <f t="shared" si="6"/>
        <v>0.14880952380952381</v>
      </c>
      <c r="N9" s="27">
        <v>237</v>
      </c>
      <c r="O9" s="32">
        <f t="shared" ref="O9:P9" si="17">D9/7</f>
        <v>3.5714285714285716</v>
      </c>
      <c r="P9" s="32">
        <f t="shared" si="17"/>
        <v>0</v>
      </c>
      <c r="Q9" s="27">
        <f t="shared" si="8"/>
        <v>66</v>
      </c>
      <c r="R9" s="27"/>
      <c r="S9" s="33">
        <v>1.0798990748528099</v>
      </c>
      <c r="T9" s="26">
        <v>800</v>
      </c>
      <c r="U9" s="34">
        <v>25</v>
      </c>
      <c r="V9" s="35" t="s">
        <v>1175</v>
      </c>
      <c r="W9" s="26">
        <v>0</v>
      </c>
      <c r="X9" s="36">
        <f t="shared" si="9"/>
        <v>0</v>
      </c>
      <c r="Y9" s="37">
        <f t="shared" si="10"/>
        <v>1.8</v>
      </c>
      <c r="Z9" s="26">
        <v>1</v>
      </c>
      <c r="AA9" s="26" t="s">
        <v>37</v>
      </c>
      <c r="AB9" s="38">
        <f t="shared" si="11"/>
        <v>-0.69</v>
      </c>
      <c r="AC9" s="39">
        <v>0.39724537037037033</v>
      </c>
      <c r="AD9" s="37">
        <f t="shared" si="12"/>
        <v>-13.704965277777776</v>
      </c>
      <c r="AE9" s="37">
        <v>-6.56</v>
      </c>
      <c r="AF9" s="37">
        <v>-12.8089236363636</v>
      </c>
      <c r="AG9" s="37">
        <v>0</v>
      </c>
    </row>
    <row r="10" spans="1:33" ht="15.75" customHeight="1" x14ac:dyDescent="0.2">
      <c r="A10" s="26" t="s">
        <v>48</v>
      </c>
      <c r="B10" s="26" t="s">
        <v>666</v>
      </c>
      <c r="C10" s="14">
        <f t="shared" si="4"/>
        <v>39.44380952380952</v>
      </c>
      <c r="D10" s="27">
        <v>21</v>
      </c>
      <c r="E10" s="27">
        <v>0</v>
      </c>
      <c r="F10" s="28">
        <v>828.31999999999994</v>
      </c>
      <c r="G10" s="28">
        <v>-1.3900000000000001</v>
      </c>
      <c r="H10" s="29">
        <f t="shared" si="1"/>
        <v>1.6780954220591078E-3</v>
      </c>
      <c r="I10" s="29">
        <f t="shared" si="2"/>
        <v>0.34337264922135285</v>
      </c>
      <c r="J10" s="30">
        <f t="shared" si="5"/>
        <v>284.42243280303097</v>
      </c>
      <c r="K10" s="30">
        <f t="shared" si="3"/>
        <v>13.543925371572904</v>
      </c>
      <c r="L10" s="27">
        <v>103</v>
      </c>
      <c r="M10" s="31">
        <f t="shared" si="6"/>
        <v>0.20388349514563106</v>
      </c>
      <c r="N10" s="27">
        <v>212</v>
      </c>
      <c r="O10" s="32">
        <f t="shared" ref="O10:P10" si="18">D10/7</f>
        <v>3</v>
      </c>
      <c r="P10" s="32">
        <f t="shared" si="18"/>
        <v>0</v>
      </c>
      <c r="Q10" s="27">
        <f t="shared" si="8"/>
        <v>70</v>
      </c>
      <c r="R10" s="27"/>
      <c r="S10" s="33">
        <v>1.3054234062797301</v>
      </c>
      <c r="T10" s="26">
        <v>800</v>
      </c>
      <c r="U10" s="34">
        <v>25</v>
      </c>
      <c r="V10" s="35" t="s">
        <v>1175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0.39724537037037033</v>
      </c>
      <c r="AD10" s="37">
        <f t="shared" si="12"/>
        <v>-11.512170833333331</v>
      </c>
      <c r="AE10" s="37">
        <v>-6.56</v>
      </c>
      <c r="AF10" s="37">
        <v>-12.8089236363636</v>
      </c>
      <c r="AG10" s="37">
        <v>0</v>
      </c>
    </row>
    <row r="11" spans="1:33" ht="15.75" customHeight="1" x14ac:dyDescent="0.2">
      <c r="A11" s="26" t="s">
        <v>50</v>
      </c>
      <c r="B11" s="26" t="s">
        <v>1176</v>
      </c>
      <c r="C11" s="14">
        <f t="shared" si="4"/>
        <v>37.942352941176466</v>
      </c>
      <c r="D11" s="27">
        <v>17</v>
      </c>
      <c r="E11" s="27">
        <v>1</v>
      </c>
      <c r="F11" s="28">
        <v>645.02</v>
      </c>
      <c r="G11" s="28">
        <v>-1.02</v>
      </c>
      <c r="H11" s="29">
        <f t="shared" si="1"/>
        <v>1.5813463148429507E-3</v>
      </c>
      <c r="I11" s="29">
        <f t="shared" si="2"/>
        <v>0.32348752254647894</v>
      </c>
      <c r="J11" s="30">
        <f t="shared" si="5"/>
        <v>208.65592179292986</v>
      </c>
      <c r="K11" s="30">
        <f t="shared" si="3"/>
        <v>12.273877752525285</v>
      </c>
      <c r="L11" s="27">
        <v>79</v>
      </c>
      <c r="M11" s="31">
        <f t="shared" si="6"/>
        <v>0.21518987341772153</v>
      </c>
      <c r="N11" s="27">
        <v>196</v>
      </c>
      <c r="O11" s="32">
        <f t="shared" ref="O11:P11" si="19">D11/7</f>
        <v>2.4285714285714284</v>
      </c>
      <c r="P11" s="32">
        <f t="shared" si="19"/>
        <v>0.14285714285714285</v>
      </c>
      <c r="Q11" s="27">
        <f t="shared" si="8"/>
        <v>76</v>
      </c>
      <c r="R11" s="27"/>
      <c r="S11" s="33">
        <v>1.54632587859424</v>
      </c>
      <c r="T11" s="26">
        <v>800</v>
      </c>
      <c r="U11" s="34">
        <v>25</v>
      </c>
      <c r="V11" s="35" t="s">
        <v>1177</v>
      </c>
      <c r="W11" s="26">
        <v>1</v>
      </c>
      <c r="X11" s="36">
        <f t="shared" si="9"/>
        <v>5.8823529411764705E-2</v>
      </c>
      <c r="Y11" s="37">
        <f t="shared" si="10"/>
        <v>1.02</v>
      </c>
      <c r="Z11" s="26">
        <v>0</v>
      </c>
      <c r="AA11" s="26" t="s">
        <v>37</v>
      </c>
      <c r="AB11" s="38">
        <f t="shared" si="11"/>
        <v>-0.69</v>
      </c>
      <c r="AC11" s="39">
        <v>0.39724537037037033</v>
      </c>
      <c r="AD11" s="37">
        <f t="shared" si="12"/>
        <v>-9.3193763888888874</v>
      </c>
      <c r="AE11" s="37">
        <v>-6.56</v>
      </c>
      <c r="AF11" s="37">
        <v>-12.8089236363636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34.12136363636364</v>
      </c>
      <c r="D12" s="27">
        <v>22</v>
      </c>
      <c r="E12" s="27">
        <v>0</v>
      </c>
      <c r="F12" s="28">
        <v>750.67000000000007</v>
      </c>
      <c r="G12" s="28">
        <v>-1.32</v>
      </c>
      <c r="H12" s="29">
        <f t="shared" si="1"/>
        <v>1.7584291366379366E-3</v>
      </c>
      <c r="I12" s="29">
        <f t="shared" si="2"/>
        <v>0.26452743623104213</v>
      </c>
      <c r="J12" s="30">
        <f t="shared" si="5"/>
        <v>198.5728105555564</v>
      </c>
      <c r="K12" s="30">
        <f t="shared" si="3"/>
        <v>9.0260368434343814</v>
      </c>
      <c r="L12" s="27">
        <v>116</v>
      </c>
      <c r="M12" s="31">
        <f t="shared" si="6"/>
        <v>0.18965517241379309</v>
      </c>
      <c r="N12" s="27">
        <v>170</v>
      </c>
      <c r="O12" s="32">
        <f t="shared" ref="O12:P12" si="20">D12/7</f>
        <v>3.1428571428571428</v>
      </c>
      <c r="P12" s="32">
        <f t="shared" si="20"/>
        <v>0</v>
      </c>
      <c r="Q12" s="27">
        <f t="shared" si="8"/>
        <v>54</v>
      </c>
      <c r="R12" s="27"/>
      <c r="S12" s="33">
        <v>1.0642458100558601</v>
      </c>
      <c r="T12" s="26">
        <v>800</v>
      </c>
      <c r="U12" s="34">
        <v>25</v>
      </c>
      <c r="V12" s="35" t="s">
        <v>1178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0.39724537037037033</v>
      </c>
      <c r="AD12" s="37">
        <f t="shared" si="12"/>
        <v>-12.060369444444442</v>
      </c>
      <c r="AE12" s="37">
        <v>-6.56</v>
      </c>
      <c r="AF12" s="37">
        <v>-12.8089236363636</v>
      </c>
      <c r="AG12" s="37">
        <v>0</v>
      </c>
    </row>
    <row r="13" spans="1:33" ht="15.75" customHeight="1" x14ac:dyDescent="0.2">
      <c r="A13" s="26" t="s">
        <v>54</v>
      </c>
      <c r="B13" s="26" t="s">
        <v>239</v>
      </c>
      <c r="C13" s="14">
        <f t="shared" si="4"/>
        <v>33.99</v>
      </c>
      <c r="D13" s="27">
        <v>44</v>
      </c>
      <c r="E13" s="27">
        <v>2</v>
      </c>
      <c r="F13" s="30">
        <v>1495.5600000000002</v>
      </c>
      <c r="G13" s="28">
        <v>-2.1500000000000004</v>
      </c>
      <c r="H13" s="29">
        <f t="shared" si="1"/>
        <v>1.437588595576239E-3</v>
      </c>
      <c r="I13" s="29">
        <f t="shared" si="2"/>
        <v>0.25686219283152262</v>
      </c>
      <c r="J13" s="30">
        <f t="shared" si="5"/>
        <v>384.15282111111202</v>
      </c>
      <c r="K13" s="30">
        <f t="shared" si="3"/>
        <v>8.7307459343434548</v>
      </c>
      <c r="L13" s="27">
        <v>98</v>
      </c>
      <c r="M13" s="31">
        <f t="shared" si="6"/>
        <v>0.44897959183673469</v>
      </c>
      <c r="N13" s="27">
        <v>118</v>
      </c>
      <c r="O13" s="32">
        <f t="shared" ref="O13:P13" si="21">D13/7</f>
        <v>6.2857142857142856</v>
      </c>
      <c r="P13" s="32">
        <f t="shared" si="21"/>
        <v>0.2857142857142857</v>
      </c>
      <c r="Q13" s="27">
        <f t="shared" si="8"/>
        <v>17</v>
      </c>
      <c r="R13" s="27"/>
      <c r="S13" s="33">
        <v>1.1302491103202801</v>
      </c>
      <c r="T13" s="26">
        <v>800</v>
      </c>
      <c r="U13" s="34">
        <v>25</v>
      </c>
      <c r="V13" s="35" t="s">
        <v>1179</v>
      </c>
      <c r="W13" s="26">
        <v>1</v>
      </c>
      <c r="X13" s="36">
        <f t="shared" si="9"/>
        <v>2.2727272727272728E-2</v>
      </c>
      <c r="Y13" s="37">
        <f t="shared" si="10"/>
        <v>1.0750000000000002</v>
      </c>
      <c r="Z13" s="26">
        <v>1</v>
      </c>
      <c r="AA13" s="26" t="s">
        <v>37</v>
      </c>
      <c r="AB13" s="38">
        <f t="shared" si="11"/>
        <v>-0.69</v>
      </c>
      <c r="AC13" s="39">
        <v>0.39724537037037033</v>
      </c>
      <c r="AD13" s="37">
        <f t="shared" si="12"/>
        <v>-24.120738888888884</v>
      </c>
      <c r="AE13" s="37">
        <v>-6.56</v>
      </c>
      <c r="AF13" s="37">
        <v>-13.0036918181818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34.963600000000014</v>
      </c>
      <c r="D14" s="27">
        <v>50</v>
      </c>
      <c r="E14" s="27">
        <v>2</v>
      </c>
      <c r="F14" s="30">
        <v>1748.1800000000007</v>
      </c>
      <c r="G14" s="28">
        <v>-1.7700000000000002</v>
      </c>
      <c r="H14" s="29">
        <f t="shared" si="1"/>
        <v>1.0124815522429037E-3</v>
      </c>
      <c r="I14" s="29">
        <f t="shared" si="2"/>
        <v>0.27376384499042145</v>
      </c>
      <c r="J14" s="30">
        <f t="shared" si="5"/>
        <v>478.58847853535519</v>
      </c>
      <c r="K14" s="30">
        <f t="shared" si="3"/>
        <v>9.5717695707071044</v>
      </c>
      <c r="L14" s="27">
        <v>160</v>
      </c>
      <c r="M14" s="31">
        <f t="shared" si="6"/>
        <v>0.3125</v>
      </c>
      <c r="N14" s="27">
        <v>69</v>
      </c>
      <c r="O14" s="32">
        <f t="shared" ref="O14:P14" si="22">D14/7</f>
        <v>7.1428571428571432</v>
      </c>
      <c r="P14" s="32">
        <f t="shared" si="22"/>
        <v>0.2857142857142857</v>
      </c>
      <c r="Q14" s="27">
        <f t="shared" si="8"/>
        <v>9</v>
      </c>
      <c r="R14" s="27"/>
      <c r="S14" s="33">
        <v>1.4297729184188299</v>
      </c>
      <c r="T14" s="26">
        <v>1395</v>
      </c>
      <c r="U14" s="34">
        <v>775</v>
      </c>
      <c r="V14" s="35" t="s">
        <v>1180</v>
      </c>
      <c r="W14" s="26">
        <v>1</v>
      </c>
      <c r="X14" s="36">
        <f t="shared" si="9"/>
        <v>0.02</v>
      </c>
      <c r="Y14" s="37">
        <f t="shared" si="10"/>
        <v>1.7700000000000002</v>
      </c>
      <c r="Z14" s="26">
        <v>0</v>
      </c>
      <c r="AA14" s="26" t="s">
        <v>37</v>
      </c>
      <c r="AB14" s="38">
        <f t="shared" si="11"/>
        <v>-0.69</v>
      </c>
      <c r="AC14" s="39">
        <v>0.39724537037037033</v>
      </c>
      <c r="AD14" s="37">
        <f t="shared" si="12"/>
        <v>-27.409930555555551</v>
      </c>
      <c r="AE14" s="37">
        <v>-6.56</v>
      </c>
      <c r="AF14" s="37">
        <v>-13.0036918181818</v>
      </c>
      <c r="AG14" s="37">
        <v>0</v>
      </c>
    </row>
    <row r="15" spans="1:33" ht="15.75" customHeight="1" x14ac:dyDescent="0.2">
      <c r="A15" s="26" t="s">
        <v>58</v>
      </c>
      <c r="B15" s="26" t="s">
        <v>1018</v>
      </c>
      <c r="C15" s="14">
        <f t="shared" si="4"/>
        <v>35.038837209302336</v>
      </c>
      <c r="D15" s="27">
        <v>43</v>
      </c>
      <c r="E15" s="27">
        <v>1</v>
      </c>
      <c r="F15" s="30">
        <v>1506.6700000000005</v>
      </c>
      <c r="G15" s="28">
        <v>-2.04</v>
      </c>
      <c r="H15" s="29">
        <f t="shared" si="1"/>
        <v>1.3539793053555186E-3</v>
      </c>
      <c r="I15" s="29">
        <f t="shared" si="2"/>
        <v>0.27465749735536327</v>
      </c>
      <c r="J15" s="30">
        <f t="shared" si="5"/>
        <v>413.81821154040534</v>
      </c>
      <c r="K15" s="30">
        <f t="shared" si="3"/>
        <v>9.6236793381489623</v>
      </c>
      <c r="L15" s="27">
        <v>153</v>
      </c>
      <c r="M15" s="31">
        <f t="shared" si="6"/>
        <v>0.28104575163398693</v>
      </c>
      <c r="N15" s="27">
        <v>48</v>
      </c>
      <c r="O15" s="32">
        <f t="shared" ref="O15:P15" si="23">D15/7</f>
        <v>6.1428571428571432</v>
      </c>
      <c r="P15" s="32">
        <f t="shared" si="23"/>
        <v>0.14285714285714285</v>
      </c>
      <c r="Q15" s="27">
        <f t="shared" si="8"/>
        <v>7</v>
      </c>
      <c r="R15" s="27"/>
      <c r="S15" s="33">
        <v>1.51684311838306</v>
      </c>
      <c r="T15" s="26">
        <v>1395</v>
      </c>
      <c r="U15" s="34">
        <v>775</v>
      </c>
      <c r="V15" s="35" t="s">
        <v>1181</v>
      </c>
      <c r="W15" s="26">
        <v>2</v>
      </c>
      <c r="X15" s="36">
        <f t="shared" si="9"/>
        <v>4.6511627906976744E-2</v>
      </c>
      <c r="Y15" s="37">
        <f t="shared" si="10"/>
        <v>1.02</v>
      </c>
      <c r="Z15" s="26">
        <v>0</v>
      </c>
      <c r="AA15" s="26" t="s">
        <v>37</v>
      </c>
      <c r="AB15" s="38">
        <f t="shared" si="11"/>
        <v>-0.69</v>
      </c>
      <c r="AC15" s="39">
        <v>0.39724537037037033</v>
      </c>
      <c r="AD15" s="37">
        <f t="shared" si="12"/>
        <v>-23.572540277777772</v>
      </c>
      <c r="AE15" s="37">
        <v>-6.56</v>
      </c>
      <c r="AF15" s="37">
        <v>-13.0036918181818</v>
      </c>
      <c r="AG15" s="37">
        <v>0</v>
      </c>
    </row>
    <row r="16" spans="1:33" ht="15.75" customHeight="1" x14ac:dyDescent="0.2">
      <c r="A16" s="26" t="s">
        <v>60</v>
      </c>
      <c r="B16" s="26" t="s">
        <v>1182</v>
      </c>
      <c r="C16" s="14">
        <f t="shared" si="4"/>
        <v>35.865000000000002</v>
      </c>
      <c r="D16" s="27">
        <v>24</v>
      </c>
      <c r="E16" s="27">
        <v>1</v>
      </c>
      <c r="F16" s="30">
        <v>860.7600000000001</v>
      </c>
      <c r="G16" s="28">
        <v>-4.03</v>
      </c>
      <c r="H16" s="29">
        <f t="shared" si="1"/>
        <v>4.681909010641758E-3</v>
      </c>
      <c r="I16" s="29">
        <f t="shared" si="2"/>
        <v>0.28455159358818977</v>
      </c>
      <c r="J16" s="30">
        <f t="shared" si="5"/>
        <v>244.93062969697024</v>
      </c>
      <c r="K16" s="30">
        <f t="shared" si="3"/>
        <v>10.205442904040426</v>
      </c>
      <c r="L16" s="27">
        <v>133</v>
      </c>
      <c r="M16" s="31">
        <f t="shared" si="6"/>
        <v>0.18045112781954886</v>
      </c>
      <c r="N16" s="27">
        <v>18</v>
      </c>
      <c r="O16" s="32">
        <f t="shared" ref="O16:P16" si="24">D16/7</f>
        <v>3.4285714285714284</v>
      </c>
      <c r="P16" s="32">
        <f t="shared" si="24"/>
        <v>0.14285714285714285</v>
      </c>
      <c r="Q16" s="27">
        <f t="shared" si="8"/>
        <v>5</v>
      </c>
      <c r="R16" s="27"/>
      <c r="S16" s="33">
        <v>1.6732026143790799</v>
      </c>
      <c r="T16" s="26">
        <v>1395</v>
      </c>
      <c r="U16" s="34">
        <v>775</v>
      </c>
      <c r="V16" s="35" t="s">
        <v>1183</v>
      </c>
      <c r="W16" s="26">
        <v>2</v>
      </c>
      <c r="X16" s="36">
        <f t="shared" si="9"/>
        <v>8.3333333333333329E-2</v>
      </c>
      <c r="Y16" s="37">
        <f t="shared" si="10"/>
        <v>1.0075000000000001</v>
      </c>
      <c r="Z16" s="26">
        <v>2</v>
      </c>
      <c r="AA16" s="26" t="s">
        <v>37</v>
      </c>
      <c r="AB16" s="38">
        <f t="shared" si="11"/>
        <v>-0.69</v>
      </c>
      <c r="AC16" s="39">
        <v>0.39724537037037033</v>
      </c>
      <c r="AD16" s="37">
        <f t="shared" si="12"/>
        <v>-13.156766666666664</v>
      </c>
      <c r="AE16" s="37">
        <v>-6.56</v>
      </c>
      <c r="AF16" s="37">
        <v>-13.0036918181818</v>
      </c>
      <c r="AG16" s="37">
        <v>0</v>
      </c>
    </row>
    <row r="17" spans="1:33" ht="15.75" customHeight="1" x14ac:dyDescent="0.2">
      <c r="A17" s="26" t="s">
        <v>61</v>
      </c>
      <c r="B17" s="26" t="s">
        <v>76</v>
      </c>
      <c r="C17" s="14">
        <f t="shared" si="4"/>
        <v>37.444545454545455</v>
      </c>
      <c r="D17" s="27">
        <v>11</v>
      </c>
      <c r="E17" s="27">
        <v>0</v>
      </c>
      <c r="F17" s="30">
        <v>411.89000000000004</v>
      </c>
      <c r="G17" s="28">
        <v>-3.3600000000000003</v>
      </c>
      <c r="H17" s="29">
        <f t="shared" si="1"/>
        <v>8.1575177838743348E-3</v>
      </c>
      <c r="I17" s="29">
        <f t="shared" si="2"/>
        <v>0.30473113034494165</v>
      </c>
      <c r="J17" s="30">
        <f t="shared" si="5"/>
        <v>125.51570527777803</v>
      </c>
      <c r="K17" s="30">
        <f t="shared" si="3"/>
        <v>11.410518661616184</v>
      </c>
      <c r="L17" s="27">
        <v>97</v>
      </c>
      <c r="M17" s="31">
        <f t="shared" si="6"/>
        <v>0.1134020618556701</v>
      </c>
      <c r="N17" s="27">
        <v>0</v>
      </c>
      <c r="O17" s="32">
        <f t="shared" ref="O17:P17" si="25">D17/7</f>
        <v>1.5714285714285714</v>
      </c>
      <c r="P17" s="32">
        <f t="shared" si="25"/>
        <v>0</v>
      </c>
      <c r="Q17" s="27">
        <f t="shared" si="8"/>
        <v>0</v>
      </c>
      <c r="R17" s="27"/>
      <c r="S17" s="33">
        <v>1.7854500616522799</v>
      </c>
      <c r="T17" s="26">
        <v>1395</v>
      </c>
      <c r="U17" s="34">
        <v>775</v>
      </c>
      <c r="V17" s="35" t="s">
        <v>1183</v>
      </c>
      <c r="W17" s="26">
        <v>1</v>
      </c>
      <c r="X17" s="36">
        <f t="shared" si="9"/>
        <v>9.0909090909090912E-2</v>
      </c>
      <c r="Y17" s="37">
        <f t="shared" si="10"/>
        <v>1.6800000000000002</v>
      </c>
      <c r="Z17" s="26">
        <v>1</v>
      </c>
      <c r="AA17" s="26" t="s">
        <v>37</v>
      </c>
      <c r="AB17" s="38">
        <f t="shared" si="11"/>
        <v>-0.69</v>
      </c>
      <c r="AC17" s="39">
        <v>0.39724537037037033</v>
      </c>
      <c r="AD17" s="37">
        <f t="shared" si="12"/>
        <v>-6.0301847222222209</v>
      </c>
      <c r="AE17" s="37">
        <v>-6.56</v>
      </c>
      <c r="AF17" s="37">
        <v>-13.0036918181818</v>
      </c>
      <c r="AG17" s="37">
        <v>0</v>
      </c>
    </row>
    <row r="18" spans="1:33" ht="15.75" customHeight="1" x14ac:dyDescent="0.2">
      <c r="A18" s="26" t="s">
        <v>62</v>
      </c>
      <c r="B18" s="26" t="s">
        <v>76</v>
      </c>
      <c r="C18" s="14">
        <f t="shared" si="4"/>
        <v>37.99</v>
      </c>
      <c r="D18" s="27">
        <v>3</v>
      </c>
      <c r="E18" s="27">
        <v>0</v>
      </c>
      <c r="F18" s="30">
        <v>113.97</v>
      </c>
      <c r="G18" s="28">
        <v>-1.1200000000000001</v>
      </c>
      <c r="H18" s="29">
        <f t="shared" si="1"/>
        <v>9.8271474949548129E-3</v>
      </c>
      <c r="I18" s="29">
        <f t="shared" si="2"/>
        <v>0.31077326236835362</v>
      </c>
      <c r="J18" s="30">
        <f t="shared" si="5"/>
        <v>35.418828712121261</v>
      </c>
      <c r="K18" s="30">
        <f t="shared" si="3"/>
        <v>11.806276237373753</v>
      </c>
      <c r="L18" s="27">
        <v>44</v>
      </c>
      <c r="M18" s="31">
        <f t="shared" si="6"/>
        <v>6.8181818181818177E-2</v>
      </c>
      <c r="N18" s="27">
        <v>1</v>
      </c>
      <c r="O18" s="32">
        <f t="shared" ref="O18:P18" si="26">D18/7</f>
        <v>0.42857142857142855</v>
      </c>
      <c r="P18" s="32">
        <f t="shared" si="26"/>
        <v>0</v>
      </c>
      <c r="Q18" s="27">
        <f t="shared" si="8"/>
        <v>2</v>
      </c>
      <c r="R18" s="27"/>
      <c r="S18" s="33">
        <v>1.98847262247838</v>
      </c>
      <c r="T18" s="26">
        <v>1395</v>
      </c>
      <c r="U18" s="34">
        <v>775</v>
      </c>
      <c r="V18" s="35" t="s">
        <v>1183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0.39724537037037033</v>
      </c>
      <c r="AD18" s="37">
        <f t="shared" si="12"/>
        <v>-1.644595833333333</v>
      </c>
      <c r="AE18" s="37">
        <v>-6.56</v>
      </c>
      <c r="AF18" s="37">
        <v>-13.0036918181818</v>
      </c>
      <c r="AG18" s="37">
        <v>0</v>
      </c>
    </row>
    <row r="19" spans="1:33" ht="15.75" customHeight="1" x14ac:dyDescent="0.2">
      <c r="A19" s="26" t="s">
        <v>64</v>
      </c>
      <c r="B19" s="26" t="s">
        <v>1110</v>
      </c>
      <c r="C19" s="14">
        <f t="shared" si="4"/>
        <v>37.99</v>
      </c>
      <c r="D19" s="27">
        <v>3</v>
      </c>
      <c r="E19" s="27">
        <v>0</v>
      </c>
      <c r="F19" s="30">
        <v>113.97</v>
      </c>
      <c r="G19" s="28">
        <v>-0.28000000000000003</v>
      </c>
      <c r="H19" s="29">
        <f t="shared" si="1"/>
        <v>2.4567868737387032E-3</v>
      </c>
      <c r="I19" s="29">
        <f t="shared" si="2"/>
        <v>0.31814362298956927</v>
      </c>
      <c r="J19" s="30">
        <f t="shared" si="5"/>
        <v>36.258828712121208</v>
      </c>
      <c r="K19" s="30">
        <f t="shared" si="3"/>
        <v>12.086276237373736</v>
      </c>
      <c r="L19" s="27">
        <v>14</v>
      </c>
      <c r="M19" s="31">
        <f t="shared" si="6"/>
        <v>0.21428571428571427</v>
      </c>
      <c r="N19" s="27">
        <v>403</v>
      </c>
      <c r="O19" s="32">
        <f t="shared" ref="O19:P19" si="27">D19/7</f>
        <v>0.42857142857142855</v>
      </c>
      <c r="P19" s="32">
        <f t="shared" si="27"/>
        <v>0</v>
      </c>
      <c r="Q19" s="27">
        <f t="shared" si="8"/>
        <v>940</v>
      </c>
      <c r="R19" s="27"/>
      <c r="S19" s="33">
        <v>2.1333333333333302</v>
      </c>
      <c r="T19" s="26">
        <v>620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0.39724537037037033</v>
      </c>
      <c r="AD19" s="37">
        <f t="shared" si="12"/>
        <v>-1.644595833333333</v>
      </c>
      <c r="AE19" s="37">
        <v>-6.56</v>
      </c>
      <c r="AF19" s="37">
        <v>-13.003691818181819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36.190000000000005</v>
      </c>
      <c r="D20" s="27">
        <v>38</v>
      </c>
      <c r="E20" s="27">
        <v>0</v>
      </c>
      <c r="F20" s="30">
        <v>1375.2200000000003</v>
      </c>
      <c r="G20" s="28">
        <v>-2.4500000000000002</v>
      </c>
      <c r="H20" s="29">
        <f t="shared" si="1"/>
        <v>1.7815331365163391E-3</v>
      </c>
      <c r="I20" s="29">
        <f t="shared" si="2"/>
        <v>0.29248786644091029</v>
      </c>
      <c r="J20" s="30">
        <f t="shared" si="5"/>
        <v>402.2351636868687</v>
      </c>
      <c r="K20" s="30">
        <f t="shared" si="3"/>
        <v>10.585135886496545</v>
      </c>
      <c r="L20" s="27">
        <v>119</v>
      </c>
      <c r="M20" s="31">
        <f t="shared" si="6"/>
        <v>0.31932773109243695</v>
      </c>
      <c r="N20" s="27">
        <v>369</v>
      </c>
      <c r="O20" s="32">
        <f t="shared" ref="O20:P20" si="28">D20/7</f>
        <v>5.4285714285714288</v>
      </c>
      <c r="P20" s="32">
        <f t="shared" si="28"/>
        <v>0</v>
      </c>
      <c r="Q20" s="27">
        <f t="shared" si="8"/>
        <v>67</v>
      </c>
      <c r="R20" s="27"/>
      <c r="S20" s="33">
        <v>1.3812636165577299</v>
      </c>
      <c r="T20" s="26">
        <v>620</v>
      </c>
      <c r="U20" s="34" t="s">
        <v>34</v>
      </c>
      <c r="V20" s="35" t="s">
        <v>34</v>
      </c>
      <c r="W20" s="26">
        <v>3</v>
      </c>
      <c r="X20" s="36">
        <f t="shared" si="9"/>
        <v>7.8947368421052627E-2</v>
      </c>
      <c r="Y20" s="37">
        <f t="shared" si="10"/>
        <v>0.61250000000000004</v>
      </c>
      <c r="Z20" s="26">
        <v>1</v>
      </c>
      <c r="AA20" s="26" t="s">
        <v>37</v>
      </c>
      <c r="AB20" s="38">
        <f t="shared" si="11"/>
        <v>-0.69</v>
      </c>
      <c r="AC20" s="39">
        <v>0.39724537037037033</v>
      </c>
      <c r="AD20" s="37">
        <f t="shared" si="12"/>
        <v>-20.83154722222222</v>
      </c>
      <c r="AE20" s="37">
        <v>-6.56</v>
      </c>
      <c r="AF20" s="37">
        <v>-13.003691818181819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35.99</v>
      </c>
      <c r="D21" s="27">
        <v>33</v>
      </c>
      <c r="E21" s="27">
        <v>0</v>
      </c>
      <c r="F21" s="30">
        <v>1187.67</v>
      </c>
      <c r="G21" s="28">
        <v>-2.3600000000000003</v>
      </c>
      <c r="H21" s="29">
        <f t="shared" si="1"/>
        <v>1.987083954297069E-3</v>
      </c>
      <c r="I21" s="29">
        <f t="shared" si="2"/>
        <v>0.28919406555131749</v>
      </c>
      <c r="J21" s="30">
        <f t="shared" si="5"/>
        <v>343.46711583333325</v>
      </c>
      <c r="K21" s="30">
        <f t="shared" si="3"/>
        <v>10.408094419191917</v>
      </c>
      <c r="L21" s="27">
        <v>71</v>
      </c>
      <c r="M21" s="31">
        <f t="shared" si="6"/>
        <v>0.46478873239436619</v>
      </c>
      <c r="N21" s="27">
        <v>300</v>
      </c>
      <c r="O21" s="32">
        <f t="shared" ref="O21:P21" si="29">D21/7</f>
        <v>4.7142857142857144</v>
      </c>
      <c r="P21" s="32">
        <f t="shared" si="29"/>
        <v>0</v>
      </c>
      <c r="Q21" s="27">
        <f t="shared" si="8"/>
        <v>63</v>
      </c>
      <c r="R21" s="27"/>
      <c r="S21" s="33">
        <v>1.69543147208121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3.0303030303030304E-2</v>
      </c>
      <c r="Y21" s="37">
        <f t="shared" si="10"/>
        <v>1.1800000000000002</v>
      </c>
      <c r="Z21" s="26">
        <v>1</v>
      </c>
      <c r="AA21" s="26" t="s">
        <v>37</v>
      </c>
      <c r="AB21" s="38">
        <f t="shared" si="11"/>
        <v>-0.69</v>
      </c>
      <c r="AC21" s="39">
        <v>0.39724537037037033</v>
      </c>
      <c r="AD21" s="37">
        <f t="shared" si="12"/>
        <v>-18.090554166666664</v>
      </c>
      <c r="AE21" s="37">
        <v>-6.56</v>
      </c>
      <c r="AF21" s="37">
        <v>-13.003691818181819</v>
      </c>
      <c r="AG21" s="37">
        <v>0</v>
      </c>
    </row>
    <row r="22" spans="1:33" ht="15.75" customHeight="1" x14ac:dyDescent="0.2">
      <c r="A22" s="26" t="s">
        <v>67</v>
      </c>
      <c r="B22" s="26" t="s">
        <v>1184</v>
      </c>
      <c r="C22" s="14">
        <f t="shared" si="4"/>
        <v>36.03846153846154</v>
      </c>
      <c r="D22" s="27">
        <v>65</v>
      </c>
      <c r="E22" s="27">
        <v>0</v>
      </c>
      <c r="F22" s="28">
        <v>2342.5</v>
      </c>
      <c r="G22" s="28">
        <v>-2.56</v>
      </c>
      <c r="H22" s="29">
        <f t="shared" si="1"/>
        <v>1.0928495197438635E-3</v>
      </c>
      <c r="I22" s="29">
        <f t="shared" si="2"/>
        <v>0.29083975329603395</v>
      </c>
      <c r="J22" s="30">
        <f t="shared" si="5"/>
        <v>681.2921220959596</v>
      </c>
      <c r="K22" s="30">
        <f t="shared" si="3"/>
        <v>10.481417263014762</v>
      </c>
      <c r="L22" s="27">
        <v>160</v>
      </c>
      <c r="M22" s="31">
        <f t="shared" si="6"/>
        <v>0.40625</v>
      </c>
      <c r="N22" s="27">
        <v>279</v>
      </c>
      <c r="O22" s="32">
        <f t="shared" ref="O22:P22" si="30">D22/7</f>
        <v>9.2857142857142865</v>
      </c>
      <c r="P22" s="32">
        <f t="shared" si="30"/>
        <v>0</v>
      </c>
      <c r="Q22" s="27">
        <f t="shared" si="8"/>
        <v>30</v>
      </c>
      <c r="R22" s="27"/>
      <c r="S22" s="33">
        <v>2.2656488549618299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0.85333333333333339</v>
      </c>
      <c r="Z22" s="26">
        <v>3</v>
      </c>
      <c r="AA22" s="26" t="s">
        <v>37</v>
      </c>
      <c r="AB22" s="38">
        <f t="shared" si="11"/>
        <v>-0.69</v>
      </c>
      <c r="AC22" s="39">
        <v>0.39724537037037033</v>
      </c>
      <c r="AD22" s="37">
        <f t="shared" si="12"/>
        <v>-35.632909722222216</v>
      </c>
      <c r="AE22" s="37">
        <v>-6.56</v>
      </c>
      <c r="AF22" s="37">
        <v>-13.003691818181819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36.289310344827591</v>
      </c>
      <c r="D23" s="27">
        <v>58</v>
      </c>
      <c r="E23" s="27">
        <v>0</v>
      </c>
      <c r="F23" s="30">
        <v>2104.7800000000002</v>
      </c>
      <c r="G23" s="28">
        <v>-2.5299999999999998</v>
      </c>
      <c r="H23" s="29">
        <f t="shared" si="1"/>
        <v>1.2020258649360026E-3</v>
      </c>
      <c r="I23" s="29">
        <f t="shared" si="2"/>
        <v>0.29458820166526195</v>
      </c>
      <c r="J23" s="30">
        <f t="shared" si="5"/>
        <v>620.04335510101009</v>
      </c>
      <c r="K23" s="30">
        <f t="shared" si="3"/>
        <v>10.690402674155347</v>
      </c>
      <c r="L23" s="27">
        <v>155</v>
      </c>
      <c r="M23" s="31">
        <f t="shared" si="6"/>
        <v>0.37419354838709679</v>
      </c>
      <c r="N23" s="27">
        <v>213</v>
      </c>
      <c r="O23" s="32">
        <f t="shared" ref="O23:P23" si="31">D23/7</f>
        <v>8.2857142857142865</v>
      </c>
      <c r="P23" s="32">
        <f t="shared" si="31"/>
        <v>0</v>
      </c>
      <c r="Q23" s="27">
        <f t="shared" si="8"/>
        <v>25</v>
      </c>
      <c r="R23" s="27"/>
      <c r="S23" s="33">
        <v>2.9357798165137599</v>
      </c>
      <c r="T23" s="26">
        <v>620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2.5299999999999998</v>
      </c>
      <c r="Z23" s="26">
        <v>1</v>
      </c>
      <c r="AA23" s="26" t="s">
        <v>37</v>
      </c>
      <c r="AB23" s="38">
        <f t="shared" si="11"/>
        <v>-0.69</v>
      </c>
      <c r="AC23" s="39">
        <v>0.39724537037037033</v>
      </c>
      <c r="AD23" s="37">
        <f t="shared" si="12"/>
        <v>-31.795519444444437</v>
      </c>
      <c r="AE23" s="37">
        <v>-6.56</v>
      </c>
      <c r="AF23" s="37">
        <v>-13.003691818181819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36.359782608695674</v>
      </c>
      <c r="D24" s="27">
        <v>46</v>
      </c>
      <c r="E24" s="27">
        <v>0</v>
      </c>
      <c r="F24" s="30">
        <v>1672.5500000000011</v>
      </c>
      <c r="G24" s="30">
        <v>-2.2000000000000002</v>
      </c>
      <c r="H24" s="29">
        <f t="shared" si="1"/>
        <v>1.3153567905294303E-3</v>
      </c>
      <c r="I24" s="29">
        <f t="shared" si="2"/>
        <v>0.29554903605424393</v>
      </c>
      <c r="J24" s="30">
        <f t="shared" si="5"/>
        <v>494.32054025252603</v>
      </c>
      <c r="K24" s="30">
        <f t="shared" si="3"/>
        <v>10.74609870114187</v>
      </c>
      <c r="L24" s="27">
        <v>286</v>
      </c>
      <c r="M24" s="31">
        <f t="shared" si="6"/>
        <v>0.16083916083916083</v>
      </c>
      <c r="N24" s="27">
        <v>165</v>
      </c>
      <c r="O24" s="32">
        <f t="shared" ref="O24:P24" si="32">D24/7</f>
        <v>6.5714285714285712</v>
      </c>
      <c r="P24" s="32">
        <f t="shared" si="32"/>
        <v>0</v>
      </c>
      <c r="Q24" s="27">
        <f t="shared" si="8"/>
        <v>25</v>
      </c>
      <c r="R24" s="27"/>
      <c r="S24" s="33">
        <v>2.0304093567251398</v>
      </c>
      <c r="T24" s="26">
        <v>620</v>
      </c>
      <c r="U24" s="34" t="s">
        <v>34</v>
      </c>
      <c r="V24" s="35" t="s">
        <v>34</v>
      </c>
      <c r="W24" s="26">
        <v>1</v>
      </c>
      <c r="X24" s="36">
        <f t="shared" si="9"/>
        <v>2.1739130434782608E-2</v>
      </c>
      <c r="Y24" s="37">
        <f t="shared" si="10"/>
        <v>0.73333333333333339</v>
      </c>
      <c r="Z24" s="26">
        <v>2</v>
      </c>
      <c r="AA24" s="26" t="s">
        <v>37</v>
      </c>
      <c r="AB24" s="38">
        <f t="shared" si="11"/>
        <v>-0.69</v>
      </c>
      <c r="AC24" s="39">
        <v>0.39724537037037033</v>
      </c>
      <c r="AD24" s="37">
        <f t="shared" si="12"/>
        <v>-25.217136111111106</v>
      </c>
      <c r="AE24" s="37">
        <v>-6.56</v>
      </c>
      <c r="AF24" s="37">
        <v>-13.003691818181819</v>
      </c>
      <c r="AG24" s="37">
        <v>0</v>
      </c>
    </row>
    <row r="25" spans="1:33" ht="15.75" customHeight="1" x14ac:dyDescent="0.2">
      <c r="A25" s="40" t="s">
        <v>73</v>
      </c>
      <c r="B25" s="40" t="s">
        <v>1020</v>
      </c>
      <c r="C25" s="14">
        <f t="shared" si="4"/>
        <v>36.000566037735851</v>
      </c>
      <c r="D25" s="15">
        <v>53</v>
      </c>
      <c r="E25" s="15">
        <v>0</v>
      </c>
      <c r="F25" s="16">
        <v>1908.03</v>
      </c>
      <c r="G25" s="16">
        <v>-1.61</v>
      </c>
      <c r="H25" s="29">
        <f t="shared" si="1"/>
        <v>8.4380224629591785E-4</v>
      </c>
      <c r="I25" s="29">
        <f t="shared" si="2"/>
        <v>0.29060390749155468</v>
      </c>
      <c r="J25" s="30">
        <f t="shared" si="5"/>
        <v>554.48097361111104</v>
      </c>
      <c r="K25" s="30">
        <f t="shared" si="3"/>
        <v>10.461905162473792</v>
      </c>
      <c r="L25" s="15">
        <v>158</v>
      </c>
      <c r="M25" s="31">
        <f t="shared" si="6"/>
        <v>0.33544303797468356</v>
      </c>
      <c r="N25" s="15">
        <v>104</v>
      </c>
      <c r="O25" s="32">
        <f t="shared" ref="O25:P25" si="33">D25/7</f>
        <v>7.5714285714285712</v>
      </c>
      <c r="P25" s="32">
        <f t="shared" si="33"/>
        <v>0</v>
      </c>
      <c r="Q25" s="27">
        <f t="shared" si="8"/>
        <v>13</v>
      </c>
      <c r="R25" s="27"/>
      <c r="S25" s="41">
        <v>2.7034883720930232</v>
      </c>
      <c r="T25" s="26">
        <v>620</v>
      </c>
      <c r="U25" s="34" t="s">
        <v>34</v>
      </c>
      <c r="V25" s="35" t="s">
        <v>34</v>
      </c>
      <c r="W25" s="40">
        <v>1</v>
      </c>
      <c r="X25" s="36">
        <f t="shared" si="9"/>
        <v>1.8867924528301886E-2</v>
      </c>
      <c r="Y25" s="37">
        <f t="shared" si="10"/>
        <v>0.80500000000000005</v>
      </c>
      <c r="Z25" s="40">
        <v>1</v>
      </c>
      <c r="AA25" s="26" t="s">
        <v>37</v>
      </c>
      <c r="AB25" s="38">
        <f t="shared" si="11"/>
        <v>-0.69</v>
      </c>
      <c r="AC25" s="39">
        <v>0.39724537037037033</v>
      </c>
      <c r="AD25" s="37">
        <f t="shared" si="12"/>
        <v>-29.054526388888885</v>
      </c>
      <c r="AE25" s="42">
        <v>-6.56</v>
      </c>
      <c r="AF25" s="42">
        <v>-13</v>
      </c>
      <c r="AG25" s="42">
        <v>0</v>
      </c>
    </row>
    <row r="26" spans="1:33" ht="15.75" customHeight="1" x14ac:dyDescent="0.2">
      <c r="A26" s="40" t="s">
        <v>75</v>
      </c>
      <c r="B26" s="40" t="s">
        <v>1185</v>
      </c>
      <c r="C26" s="14">
        <f t="shared" si="4"/>
        <v>35.549473684210533</v>
      </c>
      <c r="D26" s="15">
        <v>38</v>
      </c>
      <c r="E26" s="15">
        <v>0</v>
      </c>
      <c r="F26" s="16">
        <v>1350.88</v>
      </c>
      <c r="G26" s="16">
        <v>-1.93</v>
      </c>
      <c r="H26" s="29">
        <f t="shared" si="1"/>
        <v>1.428698329977496E-3</v>
      </c>
      <c r="I26" s="29">
        <f t="shared" si="2"/>
        <v>0.29070395866906712</v>
      </c>
      <c r="J26" s="30">
        <f t="shared" si="5"/>
        <v>392.70616368686939</v>
      </c>
      <c r="K26" s="30">
        <f t="shared" si="3"/>
        <v>10.334372728601826</v>
      </c>
      <c r="L26" s="15">
        <v>143</v>
      </c>
      <c r="M26" s="31">
        <f t="shared" si="6"/>
        <v>0.26573426573426573</v>
      </c>
      <c r="N26" s="15">
        <v>72</v>
      </c>
      <c r="O26" s="32">
        <f t="shared" ref="O26:P26" si="34">D26/7</f>
        <v>5.4285714285714288</v>
      </c>
      <c r="P26" s="32">
        <f t="shared" si="34"/>
        <v>0</v>
      </c>
      <c r="Q26" s="27">
        <f t="shared" si="8"/>
        <v>13</v>
      </c>
      <c r="R26" s="27"/>
      <c r="S26" s="41">
        <v>3.4705882352941182</v>
      </c>
      <c r="T26" s="26">
        <v>620</v>
      </c>
      <c r="U26" s="34" t="s">
        <v>34</v>
      </c>
      <c r="V26" s="35" t="s">
        <v>34</v>
      </c>
      <c r="W26" s="40">
        <v>1</v>
      </c>
      <c r="X26" s="36">
        <f t="shared" si="9"/>
        <v>2.6315789473684209E-2</v>
      </c>
      <c r="Y26" s="37">
        <f t="shared" si="10"/>
        <v>1.93</v>
      </c>
      <c r="Z26" s="40">
        <v>0</v>
      </c>
      <c r="AA26" s="26" t="s">
        <v>37</v>
      </c>
      <c r="AB26" s="38">
        <f t="shared" si="11"/>
        <v>-0.69</v>
      </c>
      <c r="AC26" s="40">
        <v>0.39724537037037033</v>
      </c>
      <c r="AD26" s="37">
        <f t="shared" si="12"/>
        <v>-20.83154722222222</v>
      </c>
      <c r="AE26" s="42">
        <v>-6.28</v>
      </c>
      <c r="AF26" s="42">
        <v>-13.0036918181818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37.643846153846155</v>
      </c>
      <c r="D27" s="15">
        <v>26</v>
      </c>
      <c r="E27" s="15">
        <v>0</v>
      </c>
      <c r="F27" s="16">
        <v>978.74</v>
      </c>
      <c r="G27" s="16">
        <v>-1.25</v>
      </c>
      <c r="H27" s="29">
        <f t="shared" si="1"/>
        <v>1.2771522569834685E-3</v>
      </c>
      <c r="I27" s="29">
        <f t="shared" si="2"/>
        <v>0.32189330040499448</v>
      </c>
      <c r="J27" s="30">
        <f t="shared" si="5"/>
        <v>315.04984883838432</v>
      </c>
      <c r="K27" s="30">
        <f t="shared" si="3"/>
        <v>12.117301878399397</v>
      </c>
      <c r="L27" s="15">
        <v>98</v>
      </c>
      <c r="M27" s="31">
        <f t="shared" si="6"/>
        <v>0.26530612244897961</v>
      </c>
      <c r="N27" s="15">
        <v>45</v>
      </c>
      <c r="O27" s="32">
        <f t="shared" ref="O27:P27" si="35">D27/7</f>
        <v>3.7142857142857144</v>
      </c>
      <c r="P27" s="32">
        <f t="shared" si="35"/>
        <v>0</v>
      </c>
      <c r="Q27" s="27">
        <f t="shared" si="8"/>
        <v>12</v>
      </c>
      <c r="R27" s="27"/>
      <c r="S27" s="41">
        <v>4.6984126984126986</v>
      </c>
      <c r="T27" s="26">
        <v>620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0.39724537037037033</v>
      </c>
      <c r="AD27" s="37">
        <f t="shared" si="12"/>
        <v>-14.253163888888887</v>
      </c>
      <c r="AE27" s="42">
        <v>-6.28</v>
      </c>
      <c r="AF27" s="42">
        <v>-13.0036918181818</v>
      </c>
      <c r="AG27" s="42">
        <v>0</v>
      </c>
    </row>
    <row r="28" spans="1:33" ht="15.75" customHeight="1" x14ac:dyDescent="0.2">
      <c r="A28" s="40" t="s">
        <v>79</v>
      </c>
      <c r="B28" s="26" t="s">
        <v>1186</v>
      </c>
      <c r="C28" s="14">
        <f t="shared" si="4"/>
        <v>37.99</v>
      </c>
      <c r="D28" s="15">
        <v>28</v>
      </c>
      <c r="E28" s="15">
        <v>0</v>
      </c>
      <c r="F28" s="16">
        <v>1063.72</v>
      </c>
      <c r="G28" s="16">
        <v>-0.98</v>
      </c>
      <c r="H28" s="29">
        <f t="shared" si="1"/>
        <v>9.2129507765201365E-4</v>
      </c>
      <c r="I28" s="29">
        <f t="shared" si="2"/>
        <v>0.32704947540687263</v>
      </c>
      <c r="J28" s="30">
        <f t="shared" si="5"/>
        <v>347.88906797979854</v>
      </c>
      <c r="K28" s="30">
        <f t="shared" si="3"/>
        <v>12.424609570707091</v>
      </c>
      <c r="L28" s="15">
        <v>70</v>
      </c>
      <c r="M28" s="31">
        <f t="shared" si="6"/>
        <v>0.4</v>
      </c>
      <c r="N28" s="15">
        <v>19</v>
      </c>
      <c r="O28" s="32">
        <f t="shared" ref="O28:P28" si="36">D28/7</f>
        <v>4</v>
      </c>
      <c r="P28" s="32">
        <f t="shared" si="36"/>
        <v>0</v>
      </c>
      <c r="Q28" s="27">
        <f t="shared" si="8"/>
        <v>4</v>
      </c>
      <c r="R28" s="27"/>
      <c r="S28" s="41">
        <v>2.4778254649499289</v>
      </c>
      <c r="T28" s="40" t="s">
        <v>34</v>
      </c>
      <c r="U28" s="22" t="s">
        <v>34</v>
      </c>
      <c r="V28" s="1" t="s">
        <v>1187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0.39724537037037033</v>
      </c>
      <c r="AD28" s="37">
        <f t="shared" si="12"/>
        <v>-15.349561111111107</v>
      </c>
      <c r="AE28" s="42">
        <v>-6.28</v>
      </c>
      <c r="AF28" s="42">
        <v>-13.0036918181818</v>
      </c>
      <c r="AG28" s="42">
        <v>0</v>
      </c>
    </row>
    <row r="29" spans="1:33" ht="15.75" customHeight="1" x14ac:dyDescent="0.2">
      <c r="A29" s="26" t="s">
        <v>82</v>
      </c>
      <c r="B29" s="26" t="s">
        <v>1188</v>
      </c>
      <c r="C29" s="14">
        <f t="shared" si="4"/>
        <v>34.824166666666663</v>
      </c>
      <c r="D29" s="27">
        <v>12</v>
      </c>
      <c r="E29" s="27">
        <v>0</v>
      </c>
      <c r="F29" s="30">
        <v>417.89</v>
      </c>
      <c r="G29" s="30">
        <v>-0.53</v>
      </c>
      <c r="H29" s="29">
        <f t="shared" si="1"/>
        <v>1.2682763406638112E-3</v>
      </c>
      <c r="I29" s="29">
        <f t="shared" si="2"/>
        <v>0.27924529146063581</v>
      </c>
      <c r="J29" s="30">
        <f t="shared" si="5"/>
        <v>116.6938148484851</v>
      </c>
      <c r="K29" s="30">
        <f t="shared" si="3"/>
        <v>9.7244845707070926</v>
      </c>
      <c r="L29" s="27">
        <v>78</v>
      </c>
      <c r="M29" s="31">
        <f t="shared" si="6"/>
        <v>0.15384615384615385</v>
      </c>
      <c r="N29" s="15">
        <v>5</v>
      </c>
      <c r="O29" s="32">
        <f t="shared" ref="O29:P29" si="37">D29/7</f>
        <v>1.7142857142857142</v>
      </c>
      <c r="P29" s="32">
        <f t="shared" si="37"/>
        <v>0</v>
      </c>
      <c r="Q29" s="27">
        <f t="shared" si="8"/>
        <v>2</v>
      </c>
      <c r="R29" s="27"/>
      <c r="S29" s="41">
        <v>2.9376114081996429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0.53</v>
      </c>
      <c r="Z29" s="40">
        <v>1</v>
      </c>
      <c r="AA29" s="26" t="s">
        <v>37</v>
      </c>
      <c r="AB29" s="38">
        <f t="shared" si="11"/>
        <v>-0.69</v>
      </c>
      <c r="AC29" s="39">
        <v>0.39724537037037033</v>
      </c>
      <c r="AD29" s="37">
        <f t="shared" si="12"/>
        <v>-6.5783833333333321</v>
      </c>
      <c r="AE29" s="37">
        <v>-6.28</v>
      </c>
      <c r="AF29" s="42">
        <v>-13.0036918181818</v>
      </c>
      <c r="AG29" s="37">
        <v>0</v>
      </c>
    </row>
    <row r="30" spans="1:33" ht="15.75" customHeight="1" x14ac:dyDescent="0.2">
      <c r="A30" s="40" t="s">
        <v>84</v>
      </c>
      <c r="B30" s="40" t="s">
        <v>1189</v>
      </c>
      <c r="C30" s="14">
        <f t="shared" si="4"/>
        <v>37.99</v>
      </c>
      <c r="D30" s="15">
        <v>9</v>
      </c>
      <c r="E30" s="15">
        <v>0</v>
      </c>
      <c r="F30" s="16">
        <v>341.91</v>
      </c>
      <c r="G30" s="16">
        <v>-0.08</v>
      </c>
      <c r="H30" s="29">
        <f t="shared" si="1"/>
        <v>2.3397970226082885E-4</v>
      </c>
      <c r="I30" s="29">
        <f t="shared" si="2"/>
        <v>0.33388433134706513</v>
      </c>
      <c r="J30" s="30">
        <f t="shared" si="5"/>
        <v>114.15839173087505</v>
      </c>
      <c r="K30" s="30">
        <f t="shared" si="3"/>
        <v>12.684265747875006</v>
      </c>
      <c r="L30" s="15">
        <v>79</v>
      </c>
      <c r="M30" s="31">
        <f t="shared" si="6"/>
        <v>0.11392405063291139</v>
      </c>
      <c r="N30" s="15">
        <v>12</v>
      </c>
      <c r="O30" s="32">
        <f t="shared" ref="O30:P30" si="38">D30/7</f>
        <v>1.2857142857142858</v>
      </c>
      <c r="P30" s="32">
        <f t="shared" si="38"/>
        <v>0</v>
      </c>
      <c r="Q30" s="27">
        <f t="shared" si="8"/>
        <v>9</v>
      </c>
      <c r="R30" s="27"/>
      <c r="S30" s="41">
        <v>3.3278688524590159</v>
      </c>
      <c r="T30" s="26">
        <v>1850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0.39724537037037033</v>
      </c>
      <c r="AD30" s="37">
        <f t="shared" si="12"/>
        <v>-4.9337874999999993</v>
      </c>
      <c r="AE30" s="42">
        <v>-6.28</v>
      </c>
      <c r="AF30" s="42">
        <v>-12.770146752124999</v>
      </c>
      <c r="AG30" s="42">
        <v>0</v>
      </c>
    </row>
    <row r="31" spans="1:33" ht="15.75" customHeight="1" x14ac:dyDescent="0.2">
      <c r="A31" s="40" t="s">
        <v>87</v>
      </c>
      <c r="B31" s="40" t="s">
        <v>1190</v>
      </c>
      <c r="C31" s="14">
        <f t="shared" si="4"/>
        <v>37.99</v>
      </c>
      <c r="D31" s="15">
        <v>7</v>
      </c>
      <c r="E31" s="15">
        <v>0</v>
      </c>
      <c r="F31" s="16">
        <v>265.93</v>
      </c>
      <c r="G31" s="43">
        <v>-0.64</v>
      </c>
      <c r="H31" s="29">
        <f t="shared" si="1"/>
        <v>2.4066483661113825E-3</v>
      </c>
      <c r="I31" s="29">
        <f t="shared" si="2"/>
        <v>0.33171166268321456</v>
      </c>
      <c r="J31" s="30">
        <f t="shared" si="5"/>
        <v>88.21208245734725</v>
      </c>
      <c r="K31" s="30">
        <f t="shared" si="3"/>
        <v>12.601726065335322</v>
      </c>
      <c r="L31" s="15">
        <v>71</v>
      </c>
      <c r="M31" s="31">
        <f t="shared" si="6"/>
        <v>9.8591549295774641E-2</v>
      </c>
      <c r="N31" s="15">
        <v>1</v>
      </c>
      <c r="O31" s="32">
        <f t="shared" ref="O31:P31" si="39">D31/7</f>
        <v>1</v>
      </c>
      <c r="P31" s="32">
        <f t="shared" si="39"/>
        <v>0</v>
      </c>
      <c r="Q31" s="27">
        <f t="shared" si="8"/>
        <v>1</v>
      </c>
      <c r="R31" s="27"/>
      <c r="S31" s="41">
        <v>4.3946666666666596</v>
      </c>
      <c r="T31" s="40">
        <v>1230</v>
      </c>
      <c r="U31" s="22" t="s">
        <v>34</v>
      </c>
      <c r="V31" s="1" t="s">
        <v>1187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0.39724537037037033</v>
      </c>
      <c r="AD31" s="37">
        <f t="shared" si="12"/>
        <v>-3.8373902777777769</v>
      </c>
      <c r="AE31" s="45">
        <v>-6.28</v>
      </c>
      <c r="AF31" s="45">
        <v>-12.770146752125001</v>
      </c>
      <c r="AG31" s="42">
        <v>0</v>
      </c>
    </row>
    <row r="32" spans="1:33" ht="15.75" customHeight="1" x14ac:dyDescent="0.2">
      <c r="A32" s="40" t="s">
        <v>90</v>
      </c>
      <c r="B32" s="50" t="s">
        <v>1191</v>
      </c>
      <c r="C32" s="14">
        <f t="shared" si="4"/>
        <v>37.99</v>
      </c>
      <c r="D32" s="15">
        <v>13</v>
      </c>
      <c r="E32" s="15">
        <v>1</v>
      </c>
      <c r="F32" s="16">
        <v>493.87</v>
      </c>
      <c r="G32" s="16">
        <v>-0.16</v>
      </c>
      <c r="H32" s="29">
        <f t="shared" si="1"/>
        <v>3.2397189543807074E-4</v>
      </c>
      <c r="I32" s="29">
        <f t="shared" si="2"/>
        <v>0.33379433915388768</v>
      </c>
      <c r="J32" s="30">
        <f t="shared" si="5"/>
        <v>164.8510102779305</v>
      </c>
      <c r="K32" s="30">
        <f t="shared" si="3"/>
        <v>12.680846944456192</v>
      </c>
      <c r="L32" s="15">
        <v>82</v>
      </c>
      <c r="M32" s="31">
        <f t="shared" si="6"/>
        <v>0.15853658536585366</v>
      </c>
      <c r="N32" s="15">
        <v>56</v>
      </c>
      <c r="O32" s="32">
        <f t="shared" ref="O32:P32" si="40">D32/7</f>
        <v>1.8571428571428572</v>
      </c>
      <c r="P32" s="32">
        <f t="shared" si="40"/>
        <v>0.14285714285714285</v>
      </c>
      <c r="Q32" s="27">
        <f t="shared" si="8"/>
        <v>28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2.2991689750692519</v>
      </c>
      <c r="T32" s="40">
        <f ca="1">IFERROR(__xludf.DUMMYFUNCTION("IFERROR(VLOOKUP($B$2,IMPORTRANGE(""https://docs.google.com/spreadsheets/d/1KiWZV1ko8G7lnRucBRBd29jj3Be6ltMfljMDqzOkQmI/edit#gid=1381463014"",""Lookup!A:D""),4,FALSE),"""")"),1230)</f>
        <v>1230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1230 At Factory 50-75 days from Earliest Arrival")</f>
        <v>No Transit, But 1230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0.39724537037037033</v>
      </c>
      <c r="AD32" s="37">
        <f t="shared" si="12"/>
        <v>-7.1265819444444434</v>
      </c>
      <c r="AE32" s="42">
        <v>-6.28</v>
      </c>
      <c r="AF32" s="42">
        <v>-12.770146752124999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" customWidth="1"/>
    <col min="3" max="3" width="6.6640625" customWidth="1"/>
    <col min="4" max="4" width="5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Two Tiered Serving Stand - Farmhouse 2 Tier Metal Tray Platter for Cake, Dessert, Shrimp, Appetizers &amp; More")</f>
        <v>Galvanized Two Tiered Serving Stand - Farmhouse 2 Tier Metal Tray Platter for Cake, Dessert, Shrimp, Appetizers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Info!B1:BJ5000""),2,FALSE),"""")"),"B082L2V5RC")</f>
        <v>B082L2V5RC</v>
      </c>
      <c r="B2" s="3" t="s">
        <v>1192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20.86759502</v>
      </c>
      <c r="D3" s="5">
        <f>SUM(D4:D99767)</f>
        <v>80</v>
      </c>
      <c r="E3" s="5"/>
      <c r="F3" s="6">
        <f t="shared" ref="F3:G3" si="0">SUM(F4:F99767)</f>
        <v>2565.71</v>
      </c>
      <c r="G3" s="6">
        <f t="shared" si="0"/>
        <v>-9.6100000000000012</v>
      </c>
      <c r="H3" s="7">
        <f t="shared" ref="H3:H32" si="1">G3/F3*-1</f>
        <v>3.7455519135054238E-3</v>
      </c>
      <c r="I3" s="8">
        <f t="shared" ref="I3:I32" si="2">J3/F3</f>
        <v>0.27645417631711083</v>
      </c>
      <c r="J3" s="6">
        <f>SUM(J4:J99767)</f>
        <v>709.30124471857448</v>
      </c>
      <c r="K3" s="6">
        <f t="shared" ref="K3:K32" si="3">J3/D3</f>
        <v>8.8662655589821817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Sheet!a1:g5000""),2,FALSE),"""")"),"2.0 - March
2.0 - April
2.0 - May
2.0 - June
2.0 - July
2.0 - Aug
2.0 - Sept
2.0 - Oct
2.0 - Nov
2.0 - Dec
2.0 - Jan
2.0 - Feb")</f>
        <v>2.0 - March
2.0 - April
2.0 - May
2.0 - June
2.0 - July
2.0 - Aug
2.0 - Sept
2.0 - Oct
2.0 - Nov
2.0 - Dec
2.0 - Jan
2.0 -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</v>
      </c>
      <c r="X3" s="7">
        <f>W3/D3</f>
        <v>1.2500000000000001E-2</v>
      </c>
      <c r="Y3" s="6"/>
      <c r="Z3" s="5"/>
      <c r="AA3" s="5"/>
      <c r="AB3" s="5"/>
      <c r="AC3" s="5"/>
      <c r="AD3" s="6">
        <f>SUM(AD4:AD99767)</f>
        <v>-43.412497014791668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Info!B2:BZ3000""),37,FALSE)),"""")*-1"),-11.157455767)</f>
        <v>-11.157455767</v>
      </c>
      <c r="AG3" s="6">
        <f>SUM(AG4:AG99767)</f>
        <v>0</v>
      </c>
    </row>
    <row r="4" spans="1:33" ht="16" x14ac:dyDescent="0.2">
      <c r="A4" s="1" t="s">
        <v>32</v>
      </c>
      <c r="B4" s="2"/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250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-10.790533939393939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>
        <v>1.31010452961672</v>
      </c>
      <c r="T5" s="26">
        <v>250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-10.790533939393939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>
        <v>1.30941704035874</v>
      </c>
      <c r="T6" s="26">
        <v>250</v>
      </c>
      <c r="U6" s="34">
        <v>205</v>
      </c>
      <c r="V6" s="49" t="s">
        <v>1193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-10.790533939393939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250</v>
      </c>
      <c r="U7" s="34">
        <v>205</v>
      </c>
      <c r="V7" s="49" t="s">
        <v>1194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-10.790533939393939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250</v>
      </c>
      <c r="U8" s="34">
        <v>205</v>
      </c>
      <c r="V8" s="35" t="s">
        <v>1195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-10.79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250</v>
      </c>
      <c r="U9" s="34">
        <v>205</v>
      </c>
      <c r="V9" s="35" t="s">
        <v>1196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-11.200404242424201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250</v>
      </c>
      <c r="U10" s="34">
        <v>205</v>
      </c>
      <c r="V10" s="35" t="s">
        <v>1196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-11.200404242424201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95</v>
      </c>
      <c r="U11" s="34">
        <v>50</v>
      </c>
      <c r="V11" s="35" t="s">
        <v>1197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-11.200404242424201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95</v>
      </c>
      <c r="U12" s="34">
        <v>50</v>
      </c>
      <c r="V12" s="35" t="s">
        <v>1198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-11.200404242424201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95</v>
      </c>
      <c r="U13" s="34">
        <v>50</v>
      </c>
      <c r="V13" s="35" t="s">
        <v>1199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-11.4161254545454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280</v>
      </c>
      <c r="U14" s="34">
        <v>45</v>
      </c>
      <c r="V14" s="35" t="s">
        <v>1200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-11.4161254545454</v>
      </c>
      <c r="AG14" s="37">
        <v>0</v>
      </c>
    </row>
    <row r="15" spans="1:33" ht="15.75" customHeight="1" x14ac:dyDescent="0.2">
      <c r="A15" s="26" t="s">
        <v>58</v>
      </c>
      <c r="B15" s="26" t="s">
        <v>1201</v>
      </c>
      <c r="C15" s="14">
        <f t="shared" si="4"/>
        <v>32.450000000000003</v>
      </c>
      <c r="D15" s="27">
        <v>1</v>
      </c>
      <c r="E15" s="27">
        <v>0</v>
      </c>
      <c r="F15" s="30">
        <v>32.450000000000003</v>
      </c>
      <c r="G15" s="28">
        <v>-0.54</v>
      </c>
      <c r="H15" s="29">
        <f t="shared" si="1"/>
        <v>1.6640986132511557E-2</v>
      </c>
      <c r="I15" s="29">
        <f t="shared" si="2"/>
        <v>0.27494798263470788</v>
      </c>
      <c r="J15" s="30">
        <f t="shared" si="5"/>
        <v>8.9220620364962713</v>
      </c>
      <c r="K15" s="30">
        <f t="shared" si="3"/>
        <v>8.9220620364962713</v>
      </c>
      <c r="L15" s="27">
        <v>11</v>
      </c>
      <c r="M15" s="31">
        <f t="shared" si="6"/>
        <v>9.0909090909090912E-2</v>
      </c>
      <c r="N15" s="27">
        <v>49</v>
      </c>
      <c r="O15" s="32">
        <f t="shared" ref="O15:P15" si="23">D15/7</f>
        <v>0.14285714285714285</v>
      </c>
      <c r="P15" s="32">
        <f t="shared" si="23"/>
        <v>0</v>
      </c>
      <c r="Q15" s="27">
        <f t="shared" si="8"/>
        <v>343</v>
      </c>
      <c r="R15" s="27"/>
      <c r="S15" s="33">
        <v>0</v>
      </c>
      <c r="T15" s="26">
        <v>280</v>
      </c>
      <c r="U15" s="34">
        <v>45</v>
      </c>
      <c r="V15" s="35" t="s">
        <v>1202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0.37993660069444452</v>
      </c>
      <c r="AD15" s="37">
        <f t="shared" si="12"/>
        <v>-0.52431250895833337</v>
      </c>
      <c r="AE15" s="37">
        <v>-6.18</v>
      </c>
      <c r="AF15" s="37">
        <v>-11.4161254545454</v>
      </c>
      <c r="AG15" s="37">
        <v>0</v>
      </c>
    </row>
    <row r="16" spans="1:33" ht="15.75" customHeight="1" x14ac:dyDescent="0.2">
      <c r="A16" s="26" t="s">
        <v>60</v>
      </c>
      <c r="B16" s="26" t="s">
        <v>1203</v>
      </c>
      <c r="C16" s="14">
        <f t="shared" si="4"/>
        <v>28.891249999999999</v>
      </c>
      <c r="D16" s="27">
        <v>8</v>
      </c>
      <c r="E16" s="27">
        <v>0</v>
      </c>
      <c r="F16" s="30">
        <v>231.13</v>
      </c>
      <c r="G16" s="28">
        <v>-0.79999999999999993</v>
      </c>
      <c r="H16" s="29">
        <f t="shared" si="1"/>
        <v>3.4612555704581836E-3</v>
      </c>
      <c r="I16" s="29">
        <f t="shared" si="2"/>
        <v>0.21934407602634934</v>
      </c>
      <c r="J16" s="30">
        <f t="shared" si="5"/>
        <v>50.696996291970123</v>
      </c>
      <c r="K16" s="30">
        <f t="shared" si="3"/>
        <v>6.3371245364962654</v>
      </c>
      <c r="L16" s="27">
        <v>28</v>
      </c>
      <c r="M16" s="31">
        <f t="shared" si="6"/>
        <v>0.2857142857142857</v>
      </c>
      <c r="N16" s="27">
        <v>43</v>
      </c>
      <c r="O16" s="32">
        <f t="shared" ref="O16:P16" si="24">D16/7</f>
        <v>1.1428571428571428</v>
      </c>
      <c r="P16" s="32">
        <f t="shared" si="24"/>
        <v>0</v>
      </c>
      <c r="Q16" s="27">
        <f t="shared" si="8"/>
        <v>37</v>
      </c>
      <c r="R16" s="27"/>
      <c r="S16" s="33">
        <v>0.24489795918367299</v>
      </c>
      <c r="T16" s="26">
        <v>280</v>
      </c>
      <c r="U16" s="34">
        <v>45</v>
      </c>
      <c r="V16" s="35" t="s">
        <v>1204</v>
      </c>
      <c r="W16" s="26">
        <v>1</v>
      </c>
      <c r="X16" s="36">
        <f t="shared" si="9"/>
        <v>0.125</v>
      </c>
      <c r="Y16" s="37">
        <f t="shared" si="10"/>
        <v>0.39999999999999997</v>
      </c>
      <c r="Z16" s="26">
        <v>1</v>
      </c>
      <c r="AA16" s="26" t="s">
        <v>37</v>
      </c>
      <c r="AB16" s="38">
        <f t="shared" si="11"/>
        <v>-0.69</v>
      </c>
      <c r="AC16" s="39">
        <v>0.37993660069444452</v>
      </c>
      <c r="AD16" s="37">
        <f t="shared" si="12"/>
        <v>-4.1945000716666669</v>
      </c>
      <c r="AE16" s="37">
        <v>-6.18</v>
      </c>
      <c r="AF16" s="37">
        <v>-11.4161254545454</v>
      </c>
      <c r="AG16" s="37">
        <v>0</v>
      </c>
    </row>
    <row r="17" spans="1:33" ht="15.75" customHeight="1" x14ac:dyDescent="0.2">
      <c r="A17" s="26" t="s">
        <v>61</v>
      </c>
      <c r="B17" s="26" t="s">
        <v>1205</v>
      </c>
      <c r="C17" s="14">
        <f t="shared" si="4"/>
        <v>28.425833333333333</v>
      </c>
      <c r="D17" s="27">
        <v>12</v>
      </c>
      <c r="E17" s="27">
        <v>1</v>
      </c>
      <c r="F17" s="30">
        <v>341.11</v>
      </c>
      <c r="G17" s="28">
        <v>-0.98</v>
      </c>
      <c r="H17" s="29">
        <f t="shared" si="1"/>
        <v>2.872973527601067E-3</v>
      </c>
      <c r="I17" s="29">
        <f t="shared" si="2"/>
        <v>0.20966328878647714</v>
      </c>
      <c r="J17" s="30">
        <f t="shared" si="5"/>
        <v>71.518244437955218</v>
      </c>
      <c r="K17" s="30">
        <f t="shared" si="3"/>
        <v>5.9598537031629348</v>
      </c>
      <c r="L17" s="27">
        <v>40</v>
      </c>
      <c r="M17" s="31">
        <f t="shared" si="6"/>
        <v>0.3</v>
      </c>
      <c r="N17" s="27">
        <v>28</v>
      </c>
      <c r="O17" s="32">
        <f t="shared" ref="O17:P17" si="25">D17/7</f>
        <v>1.7142857142857142</v>
      </c>
      <c r="P17" s="32">
        <f t="shared" si="25"/>
        <v>0.14285714285714285</v>
      </c>
      <c r="Q17" s="27">
        <f t="shared" si="8"/>
        <v>15</v>
      </c>
      <c r="R17" s="27"/>
      <c r="S17" s="33">
        <v>1.48571428571428</v>
      </c>
      <c r="T17" s="26">
        <v>545</v>
      </c>
      <c r="U17" s="34">
        <v>45</v>
      </c>
      <c r="V17" s="35" t="s">
        <v>1204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0.37993660069444452</v>
      </c>
      <c r="AD17" s="37">
        <f t="shared" si="12"/>
        <v>-6.2917501075000004</v>
      </c>
      <c r="AE17" s="37">
        <v>-6.18</v>
      </c>
      <c r="AF17" s="37">
        <v>-11.4161254545454</v>
      </c>
      <c r="AG17" s="37">
        <v>0</v>
      </c>
    </row>
    <row r="18" spans="1:33" ht="15.75" customHeight="1" x14ac:dyDescent="0.2">
      <c r="A18" s="26" t="s">
        <v>62</v>
      </c>
      <c r="B18" s="26" t="s">
        <v>1206</v>
      </c>
      <c r="C18" s="14">
        <f t="shared" si="4"/>
        <v>29.99</v>
      </c>
      <c r="D18" s="27">
        <v>4</v>
      </c>
      <c r="E18" s="27">
        <v>1</v>
      </c>
      <c r="F18" s="30">
        <v>119.96</v>
      </c>
      <c r="G18" s="28">
        <v>-1.1400000000000001</v>
      </c>
      <c r="H18" s="29">
        <f t="shared" si="1"/>
        <v>9.5031677225741931E-3</v>
      </c>
      <c r="I18" s="29">
        <f t="shared" si="2"/>
        <v>0.23628082815926196</v>
      </c>
      <c r="J18" s="30">
        <f t="shared" si="5"/>
        <v>28.344248145985063</v>
      </c>
      <c r="K18" s="30">
        <f t="shared" si="3"/>
        <v>7.0860620364962656</v>
      </c>
      <c r="L18" s="27">
        <v>46</v>
      </c>
      <c r="M18" s="31">
        <f t="shared" si="6"/>
        <v>8.6956521739130432E-2</v>
      </c>
      <c r="N18" s="27">
        <v>23</v>
      </c>
      <c r="O18" s="32">
        <f t="shared" ref="O18:P18" si="26">D18/7</f>
        <v>0.5714285714285714</v>
      </c>
      <c r="P18" s="32">
        <f t="shared" si="26"/>
        <v>0.14285714285714285</v>
      </c>
      <c r="Q18" s="27">
        <f t="shared" si="8"/>
        <v>32</v>
      </c>
      <c r="R18" s="27"/>
      <c r="S18" s="33">
        <v>4.9523809523809499</v>
      </c>
      <c r="T18" s="26">
        <v>545</v>
      </c>
      <c r="U18" s="34">
        <v>45</v>
      </c>
      <c r="V18" s="35" t="s">
        <v>1204</v>
      </c>
      <c r="W18" s="26">
        <v>0</v>
      </c>
      <c r="X18" s="36">
        <f t="shared" si="9"/>
        <v>0</v>
      </c>
      <c r="Y18" s="37">
        <f t="shared" si="10"/>
        <v>1.1400000000000001</v>
      </c>
      <c r="Z18" s="26">
        <v>1</v>
      </c>
      <c r="AA18" s="26" t="s">
        <v>37</v>
      </c>
      <c r="AB18" s="38">
        <f t="shared" si="11"/>
        <v>-0.69</v>
      </c>
      <c r="AC18" s="39">
        <v>0.37993660069444452</v>
      </c>
      <c r="AD18" s="37">
        <f t="shared" si="12"/>
        <v>-2.0972500358333335</v>
      </c>
      <c r="AE18" s="37">
        <v>-6.18</v>
      </c>
      <c r="AF18" s="37">
        <v>-11.4161254545454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33.398000000000003</v>
      </c>
      <c r="D19" s="27">
        <v>5</v>
      </c>
      <c r="E19" s="27">
        <v>1</v>
      </c>
      <c r="F19" s="30">
        <v>166.99</v>
      </c>
      <c r="G19" s="28">
        <v>-0.51</v>
      </c>
      <c r="H19" s="29">
        <f t="shared" si="1"/>
        <v>3.054075094317025E-3</v>
      </c>
      <c r="I19" s="29">
        <f t="shared" si="2"/>
        <v>0.30438535350907875</v>
      </c>
      <c r="J19" s="30">
        <f t="shared" si="5"/>
        <v>50.829310182481066</v>
      </c>
      <c r="K19" s="30">
        <f t="shared" si="3"/>
        <v>10.165862036496213</v>
      </c>
      <c r="L19" s="27">
        <v>37</v>
      </c>
      <c r="M19" s="31">
        <f t="shared" si="6"/>
        <v>0.13513513513513514</v>
      </c>
      <c r="N19" s="27">
        <v>53</v>
      </c>
      <c r="O19" s="32">
        <f t="shared" ref="O19:P19" si="27">D19/7</f>
        <v>0.7142857142857143</v>
      </c>
      <c r="P19" s="32">
        <f t="shared" si="27"/>
        <v>0.14285714285714285</v>
      </c>
      <c r="Q19" s="27">
        <f t="shared" si="8"/>
        <v>61</v>
      </c>
      <c r="R19" s="27"/>
      <c r="S19" s="33">
        <v>5.5238095238095202</v>
      </c>
      <c r="T19" s="26">
        <v>500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0.37993660069444452</v>
      </c>
      <c r="AD19" s="37">
        <f t="shared" si="12"/>
        <v>-2.6215625447916668</v>
      </c>
      <c r="AE19" s="37">
        <v>-6.18</v>
      </c>
      <c r="AF19" s="37">
        <v>-11.416125454545455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32.99</v>
      </c>
      <c r="D20" s="27">
        <v>1</v>
      </c>
      <c r="E20" s="27">
        <v>0</v>
      </c>
      <c r="F20" s="30">
        <v>32.99</v>
      </c>
      <c r="G20" s="28">
        <v>-0.47000000000000003</v>
      </c>
      <c r="H20" s="29">
        <f t="shared" si="1"/>
        <v>1.424674143679903E-2</v>
      </c>
      <c r="I20" s="29">
        <f t="shared" si="2"/>
        <v>0.28648263220661446</v>
      </c>
      <c r="J20" s="30">
        <f t="shared" si="5"/>
        <v>9.4510620364962126</v>
      </c>
      <c r="K20" s="30">
        <f t="shared" si="3"/>
        <v>9.4510620364962126</v>
      </c>
      <c r="L20" s="27">
        <v>35</v>
      </c>
      <c r="M20" s="31">
        <f t="shared" si="6"/>
        <v>2.8571428571428571E-2</v>
      </c>
      <c r="N20" s="27">
        <v>51</v>
      </c>
      <c r="O20" s="32">
        <f t="shared" ref="O20:P20" si="28">D20/7</f>
        <v>0.14285714285714285</v>
      </c>
      <c r="P20" s="32">
        <f t="shared" si="28"/>
        <v>0</v>
      </c>
      <c r="Q20" s="27">
        <f t="shared" si="8"/>
        <v>357</v>
      </c>
      <c r="R20" s="27"/>
      <c r="S20" s="33">
        <v>1.3737373737373699</v>
      </c>
      <c r="T20" s="26">
        <v>500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0.37993660069444452</v>
      </c>
      <c r="AD20" s="37">
        <f t="shared" si="12"/>
        <v>-0.52431250895833337</v>
      </c>
      <c r="AE20" s="37">
        <v>-6.18</v>
      </c>
      <c r="AF20" s="37">
        <v>-11.416125454545455</v>
      </c>
      <c r="AG20" s="37">
        <v>0</v>
      </c>
    </row>
    <row r="21" spans="1:33" ht="15.75" customHeight="1" x14ac:dyDescent="0.2">
      <c r="A21" s="26" t="s">
        <v>66</v>
      </c>
      <c r="B21" s="26" t="s">
        <v>1207</v>
      </c>
      <c r="C21" s="14">
        <f t="shared" si="4"/>
        <v>32.99</v>
      </c>
      <c r="D21" s="27">
        <v>2</v>
      </c>
      <c r="E21" s="27">
        <v>0</v>
      </c>
      <c r="F21" s="30">
        <v>65.98</v>
      </c>
      <c r="G21" s="28">
        <v>-0.49</v>
      </c>
      <c r="H21" s="29">
        <f t="shared" si="1"/>
        <v>7.4264928766292811E-3</v>
      </c>
      <c r="I21" s="29">
        <f t="shared" si="2"/>
        <v>0.29330288076678418</v>
      </c>
      <c r="J21" s="30">
        <f t="shared" si="5"/>
        <v>19.352124072992421</v>
      </c>
      <c r="K21" s="30">
        <f t="shared" si="3"/>
        <v>9.6760620364962104</v>
      </c>
      <c r="L21" s="27">
        <v>11</v>
      </c>
      <c r="M21" s="31">
        <f t="shared" si="6"/>
        <v>0.18181818181818182</v>
      </c>
      <c r="N21" s="27">
        <v>49</v>
      </c>
      <c r="O21" s="32">
        <f t="shared" ref="O21:P21" si="29">D21/7</f>
        <v>0.2857142857142857</v>
      </c>
      <c r="P21" s="32">
        <f t="shared" si="29"/>
        <v>0</v>
      </c>
      <c r="Q21" s="27">
        <f t="shared" si="8"/>
        <v>171</v>
      </c>
      <c r="R21" s="27"/>
      <c r="S21" s="33">
        <v>1.71428571428571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0.37993660069444452</v>
      </c>
      <c r="AD21" s="37">
        <f t="shared" si="12"/>
        <v>-1.0486250179166667</v>
      </c>
      <c r="AE21" s="37">
        <v>-6.18</v>
      </c>
      <c r="AF21" s="37">
        <v>-11.416125454545455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32.956666666666663</v>
      </c>
      <c r="D22" s="27">
        <v>6</v>
      </c>
      <c r="E22" s="27">
        <v>0</v>
      </c>
      <c r="F22" s="28">
        <v>197.73999999999998</v>
      </c>
      <c r="G22" s="28">
        <v>-0.08</v>
      </c>
      <c r="H22" s="29">
        <f t="shared" si="1"/>
        <v>4.0457165975523417E-4</v>
      </c>
      <c r="I22" s="29">
        <f t="shared" si="2"/>
        <v>0.29976925366125839</v>
      </c>
      <c r="J22" s="30">
        <f t="shared" si="5"/>
        <v>59.27637221897723</v>
      </c>
      <c r="K22" s="30">
        <f t="shared" si="3"/>
        <v>9.8793953698295383</v>
      </c>
      <c r="L22" s="27">
        <v>28</v>
      </c>
      <c r="M22" s="31">
        <f t="shared" si="6"/>
        <v>0.21428571428571427</v>
      </c>
      <c r="N22" s="27">
        <v>45</v>
      </c>
      <c r="O22" s="32">
        <f t="shared" ref="O22:P22" si="30">D22/7</f>
        <v>0.8571428571428571</v>
      </c>
      <c r="P22" s="32">
        <f t="shared" si="30"/>
        <v>0</v>
      </c>
      <c r="Q22" s="27">
        <f t="shared" si="8"/>
        <v>52</v>
      </c>
      <c r="R22" s="27"/>
      <c r="S22" s="33">
        <v>2.1408450704225301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0.37993660069444452</v>
      </c>
      <c r="AD22" s="37">
        <f t="shared" si="12"/>
        <v>-3.1458750537500002</v>
      </c>
      <c r="AE22" s="37">
        <v>-6.18</v>
      </c>
      <c r="AF22" s="37">
        <v>-11.416125454545455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31.316666666666666</v>
      </c>
      <c r="D23" s="27">
        <v>6</v>
      </c>
      <c r="E23" s="27">
        <v>0</v>
      </c>
      <c r="F23" s="30">
        <v>187.9</v>
      </c>
      <c r="G23" s="28">
        <v>-0.31000000000000005</v>
      </c>
      <c r="H23" s="29">
        <f t="shared" si="1"/>
        <v>1.6498137307078236E-3</v>
      </c>
      <c r="I23" s="29">
        <f t="shared" si="2"/>
        <v>0.26973055997326911</v>
      </c>
      <c r="J23" s="30">
        <f t="shared" si="5"/>
        <v>50.682372218977264</v>
      </c>
      <c r="K23" s="30">
        <f t="shared" si="3"/>
        <v>8.4470620364962112</v>
      </c>
      <c r="L23" s="27">
        <v>31</v>
      </c>
      <c r="M23" s="31">
        <f t="shared" si="6"/>
        <v>0.19354838709677419</v>
      </c>
      <c r="N23" s="27">
        <v>33</v>
      </c>
      <c r="O23" s="32">
        <f t="shared" ref="O23:P23" si="31">D23/7</f>
        <v>0.8571428571428571</v>
      </c>
      <c r="P23" s="32">
        <f t="shared" si="31"/>
        <v>0</v>
      </c>
      <c r="Q23" s="27">
        <f t="shared" si="8"/>
        <v>38</v>
      </c>
      <c r="R23" s="27"/>
      <c r="S23" s="33">
        <v>2.9830508474576201</v>
      </c>
      <c r="T23" s="26">
        <v>500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0.37993660069444452</v>
      </c>
      <c r="AD23" s="37">
        <f t="shared" si="12"/>
        <v>-3.1458750537500002</v>
      </c>
      <c r="AE23" s="37">
        <v>-6.18</v>
      </c>
      <c r="AF23" s="37">
        <v>-11.416125454545455</v>
      </c>
      <c r="AG23" s="37">
        <v>0</v>
      </c>
    </row>
    <row r="24" spans="1:33" ht="15.75" customHeight="1" x14ac:dyDescent="0.2">
      <c r="A24" s="26" t="s">
        <v>71</v>
      </c>
      <c r="B24" s="26" t="s">
        <v>1208</v>
      </c>
      <c r="C24" s="14">
        <f t="shared" si="4"/>
        <v>32.119999999999997</v>
      </c>
      <c r="D24" s="27">
        <v>2</v>
      </c>
      <c r="E24" s="27">
        <v>1</v>
      </c>
      <c r="F24" s="30">
        <v>64.239999999999995</v>
      </c>
      <c r="G24" s="30">
        <v>-0.06</v>
      </c>
      <c r="H24" s="29">
        <f t="shared" si="1"/>
        <v>9.3399750933997514E-4</v>
      </c>
      <c r="I24" s="29">
        <f t="shared" si="2"/>
        <v>0.28491787162192428</v>
      </c>
      <c r="J24" s="30">
        <f t="shared" si="5"/>
        <v>18.303124072992414</v>
      </c>
      <c r="K24" s="30">
        <f t="shared" si="3"/>
        <v>9.1515620364962071</v>
      </c>
      <c r="L24" s="27">
        <v>20</v>
      </c>
      <c r="M24" s="31">
        <f t="shared" si="6"/>
        <v>0.1</v>
      </c>
      <c r="N24" s="27">
        <v>31</v>
      </c>
      <c r="O24" s="32">
        <f t="shared" ref="O24:P24" si="32">D24/7</f>
        <v>0.2857142857142857</v>
      </c>
      <c r="P24" s="32">
        <f t="shared" si="32"/>
        <v>0.14285714285714285</v>
      </c>
      <c r="Q24" s="27">
        <f t="shared" si="8"/>
        <v>72</v>
      </c>
      <c r="R24" s="27"/>
      <c r="S24" s="33">
        <v>1.44360902255639</v>
      </c>
      <c r="T24" s="26">
        <v>500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0.37993660069444452</v>
      </c>
      <c r="AD24" s="37">
        <f t="shared" si="12"/>
        <v>-1.0486250179166667</v>
      </c>
      <c r="AE24" s="37">
        <v>-6.18</v>
      </c>
      <c r="AF24" s="37">
        <v>-11.416125454545455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31.335000000000001</v>
      </c>
      <c r="D25" s="15">
        <v>2</v>
      </c>
      <c r="E25" s="15">
        <v>0</v>
      </c>
      <c r="F25" s="16">
        <v>62.67</v>
      </c>
      <c r="G25" s="16">
        <v>-0.24</v>
      </c>
      <c r="H25" s="29">
        <f t="shared" si="1"/>
        <v>3.8295835327908086E-3</v>
      </c>
      <c r="I25" s="29">
        <f t="shared" si="2"/>
        <v>0.25421949597095894</v>
      </c>
      <c r="J25" s="30">
        <f t="shared" si="5"/>
        <v>15.931935812499997</v>
      </c>
      <c r="K25" s="30">
        <f t="shared" si="3"/>
        <v>7.9659679062499986</v>
      </c>
      <c r="L25" s="15">
        <v>13</v>
      </c>
      <c r="M25" s="31">
        <f t="shared" si="6"/>
        <v>0.15384615384615385</v>
      </c>
      <c r="N25" s="15">
        <v>27</v>
      </c>
      <c r="O25" s="32">
        <f t="shared" ref="O25:P25" si="33">D25/7</f>
        <v>0.2857142857142857</v>
      </c>
      <c r="P25" s="32">
        <f t="shared" si="33"/>
        <v>0</v>
      </c>
      <c r="Q25" s="27">
        <f t="shared" si="8"/>
        <v>94</v>
      </c>
      <c r="R25" s="27"/>
      <c r="S25" s="41">
        <v>1.827586206896552</v>
      </c>
      <c r="T25" s="26">
        <v>500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0.41216093749999999</v>
      </c>
      <c r="AD25" s="37">
        <f t="shared" si="12"/>
        <v>-1.1375641875</v>
      </c>
      <c r="AE25" s="42">
        <v>-6.56</v>
      </c>
      <c r="AF25" s="42">
        <v>-11.42</v>
      </c>
      <c r="AG25" s="42">
        <v>0</v>
      </c>
    </row>
    <row r="26" spans="1:33" ht="15.75" customHeight="1" x14ac:dyDescent="0.2">
      <c r="A26" s="40" t="s">
        <v>75</v>
      </c>
      <c r="B26" s="40" t="s">
        <v>1169</v>
      </c>
      <c r="C26" s="14">
        <f t="shared" si="4"/>
        <v>33.983333333333334</v>
      </c>
      <c r="D26" s="15">
        <v>9</v>
      </c>
      <c r="E26" s="15">
        <v>0</v>
      </c>
      <c r="F26" s="16">
        <v>305.85000000000002</v>
      </c>
      <c r="G26" s="16">
        <v>-0.7400000000000001</v>
      </c>
      <c r="H26" s="29">
        <f t="shared" si="1"/>
        <v>2.4194866764753967E-3</v>
      </c>
      <c r="I26" s="29">
        <f t="shared" si="2"/>
        <v>0.30128602931287041</v>
      </c>
      <c r="J26" s="30">
        <f t="shared" si="5"/>
        <v>92.148332065341421</v>
      </c>
      <c r="K26" s="30">
        <f t="shared" si="3"/>
        <v>10.238703562815713</v>
      </c>
      <c r="L26" s="15">
        <v>20</v>
      </c>
      <c r="M26" s="31">
        <f t="shared" si="6"/>
        <v>0.45</v>
      </c>
      <c r="N26" s="15">
        <v>21</v>
      </c>
      <c r="O26" s="32">
        <f t="shared" ref="O26:P26" si="34">D26/7</f>
        <v>1.2857142857142858</v>
      </c>
      <c r="P26" s="32">
        <f t="shared" si="34"/>
        <v>0</v>
      </c>
      <c r="Q26" s="27">
        <f t="shared" si="8"/>
        <v>16</v>
      </c>
      <c r="R26" s="27"/>
      <c r="S26" s="41">
        <v>2.32258064516129</v>
      </c>
      <c r="T26" s="26">
        <v>500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0.41216093749999999</v>
      </c>
      <c r="AD26" s="37">
        <f t="shared" si="12"/>
        <v>-5.1190388437500003</v>
      </c>
      <c r="AE26" s="42">
        <v>-6.58</v>
      </c>
      <c r="AF26" s="42">
        <v>-11.4161254545454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33.03</v>
      </c>
      <c r="D27" s="15">
        <v>5</v>
      </c>
      <c r="E27" s="15">
        <v>0</v>
      </c>
      <c r="F27" s="16">
        <v>165.15</v>
      </c>
      <c r="G27" s="16">
        <v>-0.7</v>
      </c>
      <c r="H27" s="29">
        <f t="shared" si="1"/>
        <v>4.2385709960641839E-3</v>
      </c>
      <c r="I27" s="29">
        <f t="shared" si="2"/>
        <v>0.28369943844095069</v>
      </c>
      <c r="J27" s="30">
        <f t="shared" si="5"/>
        <v>46.852962258523007</v>
      </c>
      <c r="K27" s="30">
        <f t="shared" si="3"/>
        <v>9.3705924517046011</v>
      </c>
      <c r="L27" s="15">
        <v>19</v>
      </c>
      <c r="M27" s="31">
        <f t="shared" si="6"/>
        <v>0.26315789473684209</v>
      </c>
      <c r="N27" s="15">
        <v>17</v>
      </c>
      <c r="O27" s="32">
        <f t="shared" ref="O27:P27" si="35">D27/7</f>
        <v>0.7142857142857143</v>
      </c>
      <c r="P27" s="32">
        <f t="shared" si="35"/>
        <v>0</v>
      </c>
      <c r="Q27" s="27">
        <f t="shared" si="8"/>
        <v>23</v>
      </c>
      <c r="R27" s="27"/>
      <c r="S27" s="41">
        <v>3.3684210526315792</v>
      </c>
      <c r="T27" s="26">
        <v>500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0.41216093749999999</v>
      </c>
      <c r="AD27" s="37">
        <f t="shared" si="12"/>
        <v>-2.8439104687499999</v>
      </c>
      <c r="AE27" s="42">
        <v>-6.58</v>
      </c>
      <c r="AF27" s="42">
        <v>-11.4161254545454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33.58</v>
      </c>
      <c r="D28" s="15">
        <v>1</v>
      </c>
      <c r="E28" s="15">
        <v>0</v>
      </c>
      <c r="F28" s="16">
        <v>33.58</v>
      </c>
      <c r="G28" s="16">
        <v>-0.82</v>
      </c>
      <c r="H28" s="29">
        <f t="shared" si="1"/>
        <v>2.4419297200714712E-2</v>
      </c>
      <c r="I28" s="29">
        <f t="shared" si="2"/>
        <v>0.27272461142658122</v>
      </c>
      <c r="J28" s="30">
        <f t="shared" si="5"/>
        <v>9.1580924517045972</v>
      </c>
      <c r="K28" s="30">
        <f t="shared" si="3"/>
        <v>9.1580924517045972</v>
      </c>
      <c r="L28" s="15">
        <v>18</v>
      </c>
      <c r="M28" s="31">
        <f t="shared" si="6"/>
        <v>5.5555555555555552E-2</v>
      </c>
      <c r="N28" s="15">
        <v>13</v>
      </c>
      <c r="O28" s="32">
        <f t="shared" ref="O28:P28" si="36">D28/7</f>
        <v>0.14285714285714285</v>
      </c>
      <c r="P28" s="32">
        <f t="shared" si="36"/>
        <v>0</v>
      </c>
      <c r="Q28" s="27">
        <f t="shared" si="8"/>
        <v>91</v>
      </c>
      <c r="R28" s="27"/>
      <c r="S28" s="41">
        <v>1.810810810810811</v>
      </c>
      <c r="T28" s="40" t="s">
        <v>34</v>
      </c>
      <c r="U28" s="22">
        <v>60</v>
      </c>
      <c r="V28" s="1" t="s">
        <v>1209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0.41216093749999999</v>
      </c>
      <c r="AD28" s="37">
        <f t="shared" si="12"/>
        <v>-0.56878209375</v>
      </c>
      <c r="AE28" s="42">
        <v>-6.58</v>
      </c>
      <c r="AF28" s="42">
        <v>-11.4161254545454</v>
      </c>
      <c r="AG28" s="42">
        <v>0</v>
      </c>
    </row>
    <row r="29" spans="1:33" ht="15.75" customHeight="1" x14ac:dyDescent="0.2">
      <c r="A29" s="26" t="s">
        <v>82</v>
      </c>
      <c r="B29" s="26" t="s">
        <v>684</v>
      </c>
      <c r="C29" s="14">
        <f t="shared" si="4"/>
        <v>37.645714285714284</v>
      </c>
      <c r="D29" s="27">
        <v>7</v>
      </c>
      <c r="E29" s="27">
        <v>0</v>
      </c>
      <c r="F29" s="30">
        <v>263.52</v>
      </c>
      <c r="G29" s="30">
        <v>-0.4</v>
      </c>
      <c r="H29" s="29">
        <f t="shared" si="1"/>
        <v>1.5179113539769279E-3</v>
      </c>
      <c r="I29" s="29">
        <f t="shared" si="2"/>
        <v>0.35533411946695576</v>
      </c>
      <c r="J29" s="30">
        <f t="shared" si="5"/>
        <v>93.637647161932179</v>
      </c>
      <c r="K29" s="30">
        <f t="shared" si="3"/>
        <v>13.376806737418883</v>
      </c>
      <c r="L29" s="27">
        <v>19</v>
      </c>
      <c r="M29" s="31">
        <f t="shared" si="6"/>
        <v>0.36842105263157893</v>
      </c>
      <c r="N29" s="15">
        <v>6</v>
      </c>
      <c r="O29" s="32">
        <f t="shared" ref="O29:P29" si="37">D29/7</f>
        <v>1</v>
      </c>
      <c r="P29" s="32">
        <f t="shared" si="37"/>
        <v>0</v>
      </c>
      <c r="Q29" s="27">
        <f t="shared" si="8"/>
        <v>6</v>
      </c>
      <c r="R29" s="27"/>
      <c r="S29" s="41">
        <v>2.1984732824427482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0.41216093749999999</v>
      </c>
      <c r="AD29" s="37">
        <f t="shared" si="12"/>
        <v>-3.9814746562500001</v>
      </c>
      <c r="AE29" s="37">
        <v>-6.58</v>
      </c>
      <c r="AF29" s="42">
        <v>-11.4161254545454</v>
      </c>
      <c r="AG29" s="37">
        <v>0</v>
      </c>
    </row>
    <row r="30" spans="1:33" ht="15.75" customHeight="1" x14ac:dyDescent="0.2">
      <c r="A30" s="40" t="s">
        <v>84</v>
      </c>
      <c r="B30" s="26" t="s">
        <v>695</v>
      </c>
      <c r="C30" s="14">
        <f t="shared" si="4"/>
        <v>35.1</v>
      </c>
      <c r="D30" s="15">
        <v>2</v>
      </c>
      <c r="E30" s="15">
        <v>0</v>
      </c>
      <c r="F30" s="16">
        <v>70.2</v>
      </c>
      <c r="G30" s="16">
        <v>-0.32</v>
      </c>
      <c r="H30" s="29">
        <f t="shared" si="1"/>
        <v>4.5584045584045581E-3</v>
      </c>
      <c r="I30" s="29">
        <f t="shared" si="2"/>
        <v>0.32389635724358978</v>
      </c>
      <c r="J30" s="30">
        <f t="shared" si="5"/>
        <v>22.737524278500004</v>
      </c>
      <c r="K30" s="30">
        <f t="shared" si="3"/>
        <v>11.368762139250002</v>
      </c>
      <c r="L30" s="15">
        <v>8</v>
      </c>
      <c r="M30" s="31">
        <f t="shared" si="6"/>
        <v>0.25</v>
      </c>
      <c r="N30" s="15">
        <v>4</v>
      </c>
      <c r="O30" s="32">
        <f t="shared" ref="O30:P30" si="38">D30/7</f>
        <v>0.2857142857142857</v>
      </c>
      <c r="P30" s="32">
        <f t="shared" si="38"/>
        <v>0</v>
      </c>
      <c r="Q30" s="27">
        <f t="shared" si="8"/>
        <v>14</v>
      </c>
      <c r="R30" s="27"/>
      <c r="S30" s="41">
        <v>2.2456140350877192</v>
      </c>
      <c r="T30" s="26">
        <v>1215</v>
      </c>
      <c r="U30" s="34">
        <v>60</v>
      </c>
      <c r="V30" s="35" t="s">
        <v>1210</v>
      </c>
      <c r="W30" s="40">
        <v>0</v>
      </c>
      <c r="X30" s="36">
        <f t="shared" si="9"/>
        <v>0</v>
      </c>
      <c r="Y30" s="37">
        <f t="shared" si="10"/>
        <v>0.32</v>
      </c>
      <c r="Z30" s="40">
        <v>1</v>
      </c>
      <c r="AA30" s="26" t="s">
        <v>37</v>
      </c>
      <c r="AB30" s="38">
        <f t="shared" si="11"/>
        <v>-0.69</v>
      </c>
      <c r="AC30" s="39">
        <v>0.41216093749999999</v>
      </c>
      <c r="AD30" s="37">
        <f t="shared" si="12"/>
        <v>-1.1375641875</v>
      </c>
      <c r="AE30" s="42">
        <v>-6.58</v>
      </c>
      <c r="AF30" s="42">
        <v>-11.157455767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33.674999999999997</v>
      </c>
      <c r="D31" s="15">
        <v>2</v>
      </c>
      <c r="E31" s="15">
        <v>0</v>
      </c>
      <c r="F31" s="16">
        <v>67.349999999999994</v>
      </c>
      <c r="G31" s="43">
        <v>-0.53</v>
      </c>
      <c r="H31" s="29">
        <f t="shared" si="1"/>
        <v>7.8693392724573132E-3</v>
      </c>
      <c r="I31" s="29">
        <f t="shared" si="2"/>
        <v>0.29851557948775054</v>
      </c>
      <c r="J31" s="30">
        <f t="shared" si="5"/>
        <v>20.105024278499997</v>
      </c>
      <c r="K31" s="30">
        <f t="shared" si="3"/>
        <v>10.052512139249998</v>
      </c>
      <c r="L31" s="15">
        <v>27</v>
      </c>
      <c r="M31" s="31">
        <f t="shared" si="6"/>
        <v>7.407407407407407E-2</v>
      </c>
      <c r="N31" s="15">
        <v>2</v>
      </c>
      <c r="O31" s="32">
        <f t="shared" ref="O31:P31" si="39">D31/7</f>
        <v>0.2857142857142857</v>
      </c>
      <c r="P31" s="32">
        <f t="shared" si="39"/>
        <v>0</v>
      </c>
      <c r="Q31" s="27">
        <f t="shared" si="8"/>
        <v>7</v>
      </c>
      <c r="R31" s="27"/>
      <c r="S31" s="41">
        <v>2.4545454545454501</v>
      </c>
      <c r="T31" s="40">
        <v>595</v>
      </c>
      <c r="U31" s="22">
        <v>60</v>
      </c>
      <c r="V31" s="1" t="s">
        <v>1211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0.41216093749999999</v>
      </c>
      <c r="AD31" s="37">
        <f t="shared" si="12"/>
        <v>-1.1375641875</v>
      </c>
      <c r="AE31" s="45">
        <v>-6.58</v>
      </c>
      <c r="AF31" s="45">
        <v>-11.157455767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>
        <f t="shared" si="4"/>
        <v>31.380000000000003</v>
      </c>
      <c r="D32" s="15">
        <v>5</v>
      </c>
      <c r="E32" s="15">
        <v>0</v>
      </c>
      <c r="F32" s="16">
        <v>156.9</v>
      </c>
      <c r="G32" s="16">
        <v>-0.48</v>
      </c>
      <c r="H32" s="29">
        <f t="shared" si="1"/>
        <v>3.0592734225621415E-3</v>
      </c>
      <c r="I32" s="29">
        <f t="shared" si="2"/>
        <v>0.26356794580146603</v>
      </c>
      <c r="J32" s="30">
        <f t="shared" si="5"/>
        <v>41.353810696250022</v>
      </c>
      <c r="K32" s="30">
        <f t="shared" si="3"/>
        <v>8.2707621392500048</v>
      </c>
      <c r="L32" s="15">
        <v>18</v>
      </c>
      <c r="M32" s="31">
        <f t="shared" si="6"/>
        <v>0.27777777777777779</v>
      </c>
      <c r="N32" s="15">
        <v>7</v>
      </c>
      <c r="O32" s="32">
        <f t="shared" ref="O32:P32" si="40">D32/7</f>
        <v>0.7142857142857143</v>
      </c>
      <c r="P32" s="32">
        <f t="shared" si="40"/>
        <v>0</v>
      </c>
      <c r="Q32" s="27">
        <f t="shared" si="8"/>
        <v>9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1.8691588785046731</v>
      </c>
      <c r="T32" s="40">
        <f ca="1">IFERROR(__xludf.DUMMYFUNCTION("IFERROR(VLOOKUP($B$2,IMPORTRANGE(""https://docs.google.com/spreadsheets/d/1KiWZV1ko8G7lnRucBRBd29jj3Be6ltMfljMDqzOkQmI/edit#gid=1381463014"",""Lookup!A:D""),4,FALSE),"""")"),595)</f>
        <v>595</v>
      </c>
      <c r="U32" s="22">
        <f ca="1">IFERROR(__xludf.DUMMYFUNCTION("IFERROR(VLOOKUP($B$2,IMPORTRANGE(""https://docs.google.com/spreadsheets/d/1KiWZV1ko8G7lnRucBRBd29jj3Be6ltMfljMDqzOkQmI/edit#gid=1381463014"",""Lookup!A:D""),3,FALSE),"""")"),60)</f>
        <v>60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- 60 units 08/14")</f>
        <v>| AGL230  - 60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0.41216093749999999</v>
      </c>
      <c r="AD32" s="37">
        <f t="shared" si="12"/>
        <v>-2.8439104687499999</v>
      </c>
      <c r="AE32" s="42">
        <v>-6.58</v>
      </c>
      <c r="AF32" s="42">
        <v>-11.157455767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2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Three Tiered Serving Stand - Farmhouse 3 Tier Metal Tray Platter for Cake, Dessert, Shrimp, Appetizers &amp; More")</f>
        <v>Galvanized Three Tiered Serving Stand - Farmhouse 3 Tier Metal Tray Platter for Cake, Dessert, Shrimp, Appetizers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Info!B1:BJ5000""),2,FALSE),"""")"),"B082L3QCT8")</f>
        <v>B082L3QCT8</v>
      </c>
      <c r="B2" s="3" t="s">
        <v>1212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24.059065608235294</v>
      </c>
      <c r="D3" s="5">
        <f>SUM(D4:D99767)</f>
        <v>196</v>
      </c>
      <c r="E3" s="5"/>
      <c r="F3" s="6">
        <f t="shared" ref="F3:G3" si="0">SUM(F4:F99767)</f>
        <v>7070.2599999999993</v>
      </c>
      <c r="G3" s="6">
        <f t="shared" si="0"/>
        <v>-26.7</v>
      </c>
      <c r="H3" s="7">
        <f t="shared" ref="H3:H32" si="1">G3/F3*-1</f>
        <v>3.7763816323586404E-3</v>
      </c>
      <c r="I3" s="8">
        <f t="shared" ref="I3:I32" si="2">J3/F3</f>
        <v>0.25242994561620058</v>
      </c>
      <c r="J3" s="6">
        <f>SUM(J4:J99767)</f>
        <v>1784.745347292398</v>
      </c>
      <c r="K3" s="6">
        <f t="shared" ref="K3:K32" si="3">J3/D3</f>
        <v>9.1058436086346841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Sheet!a1:g5000""),2,FALSE),"""")"),"3.0 - March
3.0 - April
3.0 - May
3.0 - June
3.0 - July
3.0 - Aug
3.0 - Sept
3.0 - Oct
3.0 - Nov
3.0 - Dec
3.0 - Jan
3.0 - Feb")</f>
        <v>3.0 - March
3.0 - April
3.0 - May
3.0 - June
3.0 - July
3.0 - Aug
3.0 - Sept
3.0 - Oct
3.0 - Nov
3.0 - Dec
3.0 - Jan
3.0 -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20</v>
      </c>
      <c r="X3" s="7">
        <f>W3/D3</f>
        <v>0.10204081632653061</v>
      </c>
      <c r="Y3" s="6"/>
      <c r="Z3" s="5"/>
      <c r="AA3" s="5"/>
      <c r="AB3" s="5"/>
      <c r="AC3" s="5"/>
      <c r="AD3" s="6">
        <f>SUM(AD4:AD99767)</f>
        <v>-104.767314375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Info!B2:BZ3000""),37,FALSE)),"""")*-1"),-14.170205767)</f>
        <v>-14.170205767000001</v>
      </c>
      <c r="AG3" s="6">
        <f>SUM(AG4:AG99767)</f>
        <v>0</v>
      </c>
    </row>
    <row r="4" spans="1:33" ht="16" x14ac:dyDescent="0.2">
      <c r="A4" s="1" t="s">
        <v>32</v>
      </c>
      <c r="B4" s="2"/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350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-13.803283939393941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 t="e">
        <v>#N/A</v>
      </c>
      <c r="T5" s="26">
        <v>350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-13.803283939393941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350</v>
      </c>
      <c r="U6" s="34">
        <v>205</v>
      </c>
      <c r="V6" s="49" t="s">
        <v>1213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-13.803283939393941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37.99</v>
      </c>
      <c r="D7" s="27">
        <v>1</v>
      </c>
      <c r="E7" s="27">
        <v>0</v>
      </c>
      <c r="F7" s="28">
        <v>37.99</v>
      </c>
      <c r="G7" s="28">
        <v>-0.22</v>
      </c>
      <c r="H7" s="29">
        <f t="shared" si="1"/>
        <v>5.7909976309555144E-3</v>
      </c>
      <c r="I7" s="29">
        <f t="shared" si="2"/>
        <v>0.29413414215862221</v>
      </c>
      <c r="J7" s="30">
        <f t="shared" si="5"/>
        <v>11.174156060606059</v>
      </c>
      <c r="K7" s="30">
        <f t="shared" si="3"/>
        <v>11.174156060606059</v>
      </c>
      <c r="L7" s="27">
        <v>10</v>
      </c>
      <c r="M7" s="31">
        <f t="shared" si="6"/>
        <v>0.1</v>
      </c>
      <c r="N7" s="27">
        <v>0</v>
      </c>
      <c r="O7" s="32">
        <f t="shared" ref="O7:P7" si="15">D7/7</f>
        <v>0.14285714285714285</v>
      </c>
      <c r="P7" s="32">
        <f t="shared" si="15"/>
        <v>0</v>
      </c>
      <c r="Q7" s="27">
        <f t="shared" si="8"/>
        <v>0</v>
      </c>
      <c r="R7" s="27"/>
      <c r="S7" s="33" t="e">
        <v>#N/A</v>
      </c>
      <c r="T7" s="26">
        <v>350</v>
      </c>
      <c r="U7" s="34">
        <v>205</v>
      </c>
      <c r="V7" s="49" t="s">
        <v>1214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0.38700000000000001</v>
      </c>
      <c r="AD7" s="37">
        <f t="shared" si="12"/>
        <v>-0.53405999999999998</v>
      </c>
      <c r="AE7" s="37">
        <v>-6.56</v>
      </c>
      <c r="AF7" s="37">
        <v>-13.803283939393941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350</v>
      </c>
      <c r="U8" s="34">
        <v>205</v>
      </c>
      <c r="V8" s="35" t="s">
        <v>1215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0.38700000000000001</v>
      </c>
      <c r="AD8" s="37">
        <f t="shared" si="12"/>
        <v>0</v>
      </c>
      <c r="AE8" s="37">
        <v>-6.56</v>
      </c>
      <c r="AF8" s="37">
        <v>-13.8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350</v>
      </c>
      <c r="U9" s="34">
        <v>205</v>
      </c>
      <c r="V9" s="35" t="s">
        <v>1216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0.38700000000000001</v>
      </c>
      <c r="AD9" s="37">
        <f t="shared" si="12"/>
        <v>0</v>
      </c>
      <c r="AE9" s="37">
        <v>-6.56</v>
      </c>
      <c r="AF9" s="37">
        <v>-14.213154242424199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>
        <f t="shared" si="4"/>
        <v>37.99</v>
      </c>
      <c r="D10" s="27">
        <v>1</v>
      </c>
      <c r="E10" s="27">
        <v>0</v>
      </c>
      <c r="F10" s="28">
        <v>37.99</v>
      </c>
      <c r="G10" s="28">
        <v>0</v>
      </c>
      <c r="H10" s="29">
        <f t="shared" si="1"/>
        <v>0</v>
      </c>
      <c r="I10" s="29">
        <f t="shared" si="2"/>
        <v>0.289136239999363</v>
      </c>
      <c r="J10" s="30">
        <f t="shared" si="5"/>
        <v>10.984285757575801</v>
      </c>
      <c r="K10" s="30">
        <f t="shared" si="3"/>
        <v>10.984285757575801</v>
      </c>
      <c r="L10" s="27">
        <v>4</v>
      </c>
      <c r="M10" s="31">
        <f t="shared" si="6"/>
        <v>0.25</v>
      </c>
      <c r="N10" s="27">
        <v>0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0</v>
      </c>
      <c r="R10" s="27"/>
      <c r="S10" s="33" t="e">
        <v>#N/A</v>
      </c>
      <c r="T10" s="26">
        <v>350</v>
      </c>
      <c r="U10" s="34">
        <v>205</v>
      </c>
      <c r="V10" s="35" t="s">
        <v>1216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0.38700000000000001</v>
      </c>
      <c r="AD10" s="37">
        <f t="shared" si="12"/>
        <v>-0.53405999999999998</v>
      </c>
      <c r="AE10" s="37">
        <v>-6.56</v>
      </c>
      <c r="AF10" s="37">
        <v>-14.213154242424199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1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>
        <v>3.3684210526315699</v>
      </c>
      <c r="T11" s="26">
        <v>250</v>
      </c>
      <c r="U11" s="34">
        <v>105</v>
      </c>
      <c r="V11" s="35" t="s">
        <v>1217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0.38700000000000001</v>
      </c>
      <c r="AD11" s="37">
        <f t="shared" si="12"/>
        <v>0</v>
      </c>
      <c r="AE11" s="37">
        <v>-6.56</v>
      </c>
      <c r="AF11" s="37">
        <v>-14.213154242424199</v>
      </c>
      <c r="AG11" s="37">
        <v>0</v>
      </c>
    </row>
    <row r="12" spans="1:33" ht="15.75" customHeight="1" x14ac:dyDescent="0.2">
      <c r="A12" s="26" t="s">
        <v>52</v>
      </c>
      <c r="B12" s="26" t="s">
        <v>461</v>
      </c>
      <c r="C12" s="14">
        <f t="shared" si="4"/>
        <v>37.99</v>
      </c>
      <c r="D12" s="27">
        <v>1</v>
      </c>
      <c r="E12" s="27">
        <v>0</v>
      </c>
      <c r="F12" s="28">
        <v>37.99</v>
      </c>
      <c r="G12" s="28">
        <v>0</v>
      </c>
      <c r="H12" s="29">
        <f t="shared" si="1"/>
        <v>0</v>
      </c>
      <c r="I12" s="29">
        <f t="shared" si="2"/>
        <v>0.289136239999363</v>
      </c>
      <c r="J12" s="30">
        <f t="shared" si="5"/>
        <v>10.984285757575801</v>
      </c>
      <c r="K12" s="30">
        <f t="shared" si="3"/>
        <v>10.984285757575801</v>
      </c>
      <c r="L12" s="27">
        <v>2</v>
      </c>
      <c r="M12" s="31">
        <f t="shared" si="6"/>
        <v>0.5</v>
      </c>
      <c r="N12" s="27">
        <v>0</v>
      </c>
      <c r="O12" s="32">
        <f t="shared" ref="O12:P12" si="20">D12/7</f>
        <v>0.14285714285714285</v>
      </c>
      <c r="P12" s="32">
        <f t="shared" si="20"/>
        <v>0</v>
      </c>
      <c r="Q12" s="27">
        <f t="shared" si="8"/>
        <v>0</v>
      </c>
      <c r="R12" s="27"/>
      <c r="S12" s="33" t="e">
        <v>#N/A</v>
      </c>
      <c r="T12" s="26">
        <v>250</v>
      </c>
      <c r="U12" s="34">
        <v>105</v>
      </c>
      <c r="V12" s="35" t="s">
        <v>1218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0.38700000000000001</v>
      </c>
      <c r="AD12" s="37">
        <f t="shared" si="12"/>
        <v>-0.53405999999999998</v>
      </c>
      <c r="AE12" s="37">
        <v>-6.56</v>
      </c>
      <c r="AF12" s="37">
        <v>-14.213154242424199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250</v>
      </c>
      <c r="U13" s="34">
        <v>105</v>
      </c>
      <c r="V13" s="35" t="s">
        <v>1219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-14.4288754545454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420</v>
      </c>
      <c r="U14" s="34">
        <v>145</v>
      </c>
      <c r="V14" s="35" t="s">
        <v>1220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-14.4288754545454</v>
      </c>
      <c r="AG14" s="37">
        <v>0</v>
      </c>
    </row>
    <row r="15" spans="1:33" ht="15.75" customHeight="1" x14ac:dyDescent="0.2">
      <c r="A15" s="26" t="s">
        <v>58</v>
      </c>
      <c r="B15" s="26" t="s">
        <v>1221</v>
      </c>
      <c r="C15" s="14">
        <f t="shared" si="4"/>
        <v>37.99</v>
      </c>
      <c r="D15" s="27">
        <v>4</v>
      </c>
      <c r="E15" s="27">
        <v>0</v>
      </c>
      <c r="F15" s="30">
        <v>151.96</v>
      </c>
      <c r="G15" s="28">
        <v>-0.23</v>
      </c>
      <c r="H15" s="29">
        <f t="shared" si="1"/>
        <v>1.5135561989997367E-3</v>
      </c>
      <c r="I15" s="29">
        <f t="shared" si="2"/>
        <v>0.28193182865108196</v>
      </c>
      <c r="J15" s="30">
        <f t="shared" si="5"/>
        <v>42.84236068181842</v>
      </c>
      <c r="K15" s="30">
        <f t="shared" si="3"/>
        <v>10.710590170454605</v>
      </c>
      <c r="L15" s="27">
        <v>17</v>
      </c>
      <c r="M15" s="31">
        <f t="shared" si="6"/>
        <v>0.23529411764705882</v>
      </c>
      <c r="N15" s="27">
        <v>100</v>
      </c>
      <c r="O15" s="32">
        <f t="shared" ref="O15:P15" si="23">D15/7</f>
        <v>0.5714285714285714</v>
      </c>
      <c r="P15" s="32">
        <f t="shared" si="23"/>
        <v>0</v>
      </c>
      <c r="Q15" s="27">
        <f t="shared" si="8"/>
        <v>175</v>
      </c>
      <c r="R15" s="27"/>
      <c r="S15" s="33">
        <v>0.148148148148148</v>
      </c>
      <c r="T15" s="26">
        <v>420</v>
      </c>
      <c r="U15" s="34">
        <v>145</v>
      </c>
      <c r="V15" s="35" t="s">
        <v>1222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0.38734375000000004</v>
      </c>
      <c r="AD15" s="37">
        <f t="shared" si="12"/>
        <v>-2.1381375</v>
      </c>
      <c r="AE15" s="37">
        <v>-6.56</v>
      </c>
      <c r="AF15" s="37">
        <v>-14.4288754545454</v>
      </c>
      <c r="AG15" s="37">
        <v>0</v>
      </c>
    </row>
    <row r="16" spans="1:33" ht="15.75" customHeight="1" x14ac:dyDescent="0.2">
      <c r="A16" s="26" t="s">
        <v>60</v>
      </c>
      <c r="B16" s="26" t="s">
        <v>1223</v>
      </c>
      <c r="C16" s="14">
        <f t="shared" si="4"/>
        <v>31.990000000000002</v>
      </c>
      <c r="D16" s="27">
        <v>8</v>
      </c>
      <c r="E16" s="27">
        <v>0</v>
      </c>
      <c r="F16" s="30">
        <v>255.92000000000002</v>
      </c>
      <c r="G16" s="28">
        <v>-1</v>
      </c>
      <c r="H16" s="29">
        <f t="shared" si="1"/>
        <v>3.9074710847139729E-3</v>
      </c>
      <c r="I16" s="29">
        <f t="shared" si="2"/>
        <v>0.17327571648810883</v>
      </c>
      <c r="J16" s="30">
        <f t="shared" si="5"/>
        <v>44.344721363636815</v>
      </c>
      <c r="K16" s="30">
        <f t="shared" si="3"/>
        <v>5.5430901704546018</v>
      </c>
      <c r="L16" s="27">
        <v>50</v>
      </c>
      <c r="M16" s="31">
        <f t="shared" si="6"/>
        <v>0.16</v>
      </c>
      <c r="N16" s="27">
        <v>95</v>
      </c>
      <c r="O16" s="32">
        <f t="shared" ref="O16:P16" si="24">D16/7</f>
        <v>1.1428571428571428</v>
      </c>
      <c r="P16" s="32">
        <f t="shared" si="24"/>
        <v>0</v>
      </c>
      <c r="Q16" s="27">
        <f t="shared" si="8"/>
        <v>83</v>
      </c>
      <c r="R16" s="27"/>
      <c r="S16" s="33">
        <v>0.31067961165048502</v>
      </c>
      <c r="T16" s="26">
        <v>420</v>
      </c>
      <c r="U16" s="34">
        <v>145</v>
      </c>
      <c r="V16" s="35" t="s">
        <v>1224</v>
      </c>
      <c r="W16" s="26">
        <v>2</v>
      </c>
      <c r="X16" s="36">
        <f t="shared" si="9"/>
        <v>0.25</v>
      </c>
      <c r="Y16" s="37">
        <f t="shared" si="10"/>
        <v>0.5</v>
      </c>
      <c r="Z16" s="26">
        <v>0</v>
      </c>
      <c r="AA16" s="26" t="s">
        <v>37</v>
      </c>
      <c r="AB16" s="38">
        <f t="shared" si="11"/>
        <v>-0.69</v>
      </c>
      <c r="AC16" s="39">
        <v>0.38734375000000004</v>
      </c>
      <c r="AD16" s="37">
        <f t="shared" si="12"/>
        <v>-4.276275</v>
      </c>
      <c r="AE16" s="37">
        <v>-6.56</v>
      </c>
      <c r="AF16" s="37">
        <v>-14.4288754545454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33.81166666666666</v>
      </c>
      <c r="D17" s="27">
        <v>6</v>
      </c>
      <c r="E17" s="27">
        <v>0</v>
      </c>
      <c r="F17" s="30">
        <v>202.86999999999998</v>
      </c>
      <c r="G17" s="28">
        <v>-1.2</v>
      </c>
      <c r="H17" s="29">
        <f t="shared" si="1"/>
        <v>5.9151180558978658E-3</v>
      </c>
      <c r="I17" s="29">
        <f t="shared" si="2"/>
        <v>0.20751733140793413</v>
      </c>
      <c r="J17" s="30">
        <f t="shared" si="5"/>
        <v>42.09904102272759</v>
      </c>
      <c r="K17" s="30">
        <f t="shared" si="3"/>
        <v>7.0165068371212653</v>
      </c>
      <c r="L17" s="27">
        <v>36</v>
      </c>
      <c r="M17" s="31">
        <f t="shared" si="6"/>
        <v>0.16666666666666666</v>
      </c>
      <c r="N17" s="27">
        <v>78</v>
      </c>
      <c r="O17" s="32">
        <f t="shared" ref="O17:P17" si="25">D17/7</f>
        <v>0.8571428571428571</v>
      </c>
      <c r="P17" s="32">
        <f t="shared" si="25"/>
        <v>0</v>
      </c>
      <c r="Q17" s="27">
        <f t="shared" si="8"/>
        <v>91</v>
      </c>
      <c r="R17" s="27"/>
      <c r="S17" s="33">
        <v>0.673684210526315</v>
      </c>
      <c r="T17" s="26">
        <v>645</v>
      </c>
      <c r="U17" s="34">
        <v>145</v>
      </c>
      <c r="V17" s="35" t="s">
        <v>1224</v>
      </c>
      <c r="W17" s="26">
        <v>1</v>
      </c>
      <c r="X17" s="36">
        <f t="shared" si="9"/>
        <v>0.16666666666666666</v>
      </c>
      <c r="Y17" s="37">
        <f t="shared" si="10"/>
        <v>1.2</v>
      </c>
      <c r="Z17" s="26">
        <v>0</v>
      </c>
      <c r="AA17" s="26" t="s">
        <v>37</v>
      </c>
      <c r="AB17" s="38">
        <f t="shared" si="11"/>
        <v>-0.69</v>
      </c>
      <c r="AC17" s="39">
        <v>0.38734375000000004</v>
      </c>
      <c r="AD17" s="37">
        <f t="shared" si="12"/>
        <v>-3.20720625</v>
      </c>
      <c r="AE17" s="37">
        <v>-6.56</v>
      </c>
      <c r="AF17" s="37">
        <v>-14.4288754545454</v>
      </c>
      <c r="AG17" s="37">
        <v>0</v>
      </c>
    </row>
    <row r="18" spans="1:33" ht="15.75" customHeight="1" x14ac:dyDescent="0.2">
      <c r="A18" s="26" t="s">
        <v>62</v>
      </c>
      <c r="B18" s="26" t="s">
        <v>1225</v>
      </c>
      <c r="C18" s="14">
        <f t="shared" si="4"/>
        <v>31.000500000000006</v>
      </c>
      <c r="D18" s="27">
        <v>20</v>
      </c>
      <c r="E18" s="27">
        <v>2</v>
      </c>
      <c r="F18" s="30">
        <v>620.0100000000001</v>
      </c>
      <c r="G18" s="28">
        <v>-2.19</v>
      </c>
      <c r="H18" s="29">
        <f t="shared" si="1"/>
        <v>3.5322010935307487E-3</v>
      </c>
      <c r="I18" s="29">
        <f t="shared" si="2"/>
        <v>0.1521754542815309</v>
      </c>
      <c r="J18" s="30">
        <f t="shared" si="5"/>
        <v>94.350303409091993</v>
      </c>
      <c r="K18" s="30">
        <f t="shared" si="3"/>
        <v>4.7175151704545994</v>
      </c>
      <c r="L18" s="27">
        <v>72</v>
      </c>
      <c r="M18" s="31">
        <f t="shared" si="6"/>
        <v>0.27777777777777779</v>
      </c>
      <c r="N18" s="27">
        <v>62</v>
      </c>
      <c r="O18" s="32">
        <f t="shared" ref="O18:P18" si="26">D18/7</f>
        <v>2.8571428571428572</v>
      </c>
      <c r="P18" s="32">
        <f t="shared" si="26"/>
        <v>0.2857142857142857</v>
      </c>
      <c r="Q18" s="27">
        <f t="shared" si="8"/>
        <v>19</v>
      </c>
      <c r="R18" s="27"/>
      <c r="S18" s="33">
        <v>2.1212121212121202</v>
      </c>
      <c r="T18" s="26">
        <v>645</v>
      </c>
      <c r="U18" s="34">
        <v>145</v>
      </c>
      <c r="V18" s="35" t="s">
        <v>1224</v>
      </c>
      <c r="W18" s="26">
        <v>2</v>
      </c>
      <c r="X18" s="36">
        <f t="shared" si="9"/>
        <v>0.1</v>
      </c>
      <c r="Y18" s="37">
        <f t="shared" si="10"/>
        <v>1.095</v>
      </c>
      <c r="Z18" s="26">
        <v>0</v>
      </c>
      <c r="AA18" s="26" t="s">
        <v>37</v>
      </c>
      <c r="AB18" s="38">
        <f t="shared" si="11"/>
        <v>-0.69</v>
      </c>
      <c r="AC18" s="39">
        <v>0.38734375000000004</v>
      </c>
      <c r="AD18" s="37">
        <f t="shared" si="12"/>
        <v>-10.690687499999999</v>
      </c>
      <c r="AE18" s="37">
        <v>-6.56</v>
      </c>
      <c r="AF18" s="37">
        <v>-14.4288754545454</v>
      </c>
      <c r="AG18" s="37">
        <v>0</v>
      </c>
    </row>
    <row r="19" spans="1:33" ht="15.75" customHeight="1" x14ac:dyDescent="0.2">
      <c r="A19" s="26" t="s">
        <v>64</v>
      </c>
      <c r="B19" s="26" t="s">
        <v>1226</v>
      </c>
      <c r="C19" s="14">
        <f t="shared" si="4"/>
        <v>34.372916666666676</v>
      </c>
      <c r="D19" s="27">
        <v>24</v>
      </c>
      <c r="E19" s="27">
        <v>1</v>
      </c>
      <c r="F19" s="30">
        <v>824.95000000000016</v>
      </c>
      <c r="G19" s="28">
        <v>-2.9299999999999997</v>
      </c>
      <c r="H19" s="29">
        <f t="shared" si="1"/>
        <v>3.5517304079035082E-3</v>
      </c>
      <c r="I19" s="29">
        <f t="shared" si="2"/>
        <v>0.22027476100479931</v>
      </c>
      <c r="J19" s="30">
        <f t="shared" si="5"/>
        <v>181.71566409090923</v>
      </c>
      <c r="K19" s="30">
        <f t="shared" si="3"/>
        <v>7.5714860037878848</v>
      </c>
      <c r="L19" s="27">
        <v>84</v>
      </c>
      <c r="M19" s="31">
        <f t="shared" si="6"/>
        <v>0.2857142857142857</v>
      </c>
      <c r="N19" s="27">
        <v>127</v>
      </c>
      <c r="O19" s="32">
        <f t="shared" ref="O19:P19" si="27">D19/7</f>
        <v>3.4285714285714284</v>
      </c>
      <c r="P19" s="32">
        <f t="shared" si="27"/>
        <v>0.14285714285714285</v>
      </c>
      <c r="Q19" s="27">
        <f t="shared" si="8"/>
        <v>35</v>
      </c>
      <c r="R19" s="27"/>
      <c r="S19" s="33">
        <v>3.9272727272727201</v>
      </c>
      <c r="T19" s="26">
        <v>500</v>
      </c>
      <c r="U19" s="34" t="s">
        <v>34</v>
      </c>
      <c r="V19" s="35" t="s">
        <v>34</v>
      </c>
      <c r="W19" s="26">
        <v>1</v>
      </c>
      <c r="X19" s="36">
        <f t="shared" si="9"/>
        <v>4.1666666666666664E-2</v>
      </c>
      <c r="Y19" s="37">
        <f t="shared" si="10"/>
        <v>2.9299999999999997</v>
      </c>
      <c r="Z19" s="26">
        <v>0</v>
      </c>
      <c r="AA19" s="26" t="s">
        <v>37</v>
      </c>
      <c r="AB19" s="38">
        <f t="shared" si="11"/>
        <v>-0.69</v>
      </c>
      <c r="AC19" s="39">
        <v>0.38734375000000004</v>
      </c>
      <c r="AD19" s="37">
        <f t="shared" si="12"/>
        <v>-12.828825</v>
      </c>
      <c r="AE19" s="37">
        <v>-6.56</v>
      </c>
      <c r="AF19" s="37">
        <v>-14.428875454545455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36.99</v>
      </c>
      <c r="D20" s="27">
        <v>14</v>
      </c>
      <c r="E20" s="27">
        <v>1</v>
      </c>
      <c r="F20" s="30">
        <v>517.86</v>
      </c>
      <c r="G20" s="28">
        <v>-2.3200000000000003</v>
      </c>
      <c r="H20" s="29">
        <f t="shared" si="1"/>
        <v>4.479975282894991E-3</v>
      </c>
      <c r="I20" s="29">
        <f t="shared" si="2"/>
        <v>0.26364898309651957</v>
      </c>
      <c r="J20" s="30">
        <f t="shared" si="5"/>
        <v>136.53326238636362</v>
      </c>
      <c r="K20" s="30">
        <f t="shared" si="3"/>
        <v>9.7523758847402586</v>
      </c>
      <c r="L20" s="27">
        <v>73</v>
      </c>
      <c r="M20" s="31">
        <f t="shared" si="6"/>
        <v>0.19178082191780821</v>
      </c>
      <c r="N20" s="27">
        <v>119</v>
      </c>
      <c r="O20" s="32">
        <f t="shared" ref="O20:P20" si="28">D20/7</f>
        <v>2</v>
      </c>
      <c r="P20" s="32">
        <f t="shared" si="28"/>
        <v>0.14285714285714285</v>
      </c>
      <c r="Q20" s="27">
        <f t="shared" si="8"/>
        <v>55</v>
      </c>
      <c r="R20" s="27"/>
      <c r="S20" s="33">
        <v>1.25</v>
      </c>
      <c r="T20" s="26">
        <v>500</v>
      </c>
      <c r="U20" s="34" t="s">
        <v>34</v>
      </c>
      <c r="V20" s="35" t="s">
        <v>34</v>
      </c>
      <c r="W20" s="26">
        <v>2</v>
      </c>
      <c r="X20" s="36">
        <f t="shared" si="9"/>
        <v>0.14285714285714285</v>
      </c>
      <c r="Y20" s="37">
        <f t="shared" si="10"/>
        <v>1.1600000000000001</v>
      </c>
      <c r="Z20" s="26">
        <v>0</v>
      </c>
      <c r="AA20" s="26" t="s">
        <v>37</v>
      </c>
      <c r="AB20" s="38">
        <f t="shared" si="11"/>
        <v>-0.69</v>
      </c>
      <c r="AC20" s="39">
        <v>0.38734375000000004</v>
      </c>
      <c r="AD20" s="37">
        <f t="shared" si="12"/>
        <v>-7.4834812500000005</v>
      </c>
      <c r="AE20" s="37">
        <v>-6.56</v>
      </c>
      <c r="AF20" s="37">
        <v>-14.428875454545455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37.303333333333335</v>
      </c>
      <c r="D21" s="27">
        <v>9</v>
      </c>
      <c r="E21" s="27">
        <v>0</v>
      </c>
      <c r="F21" s="30">
        <v>335.73</v>
      </c>
      <c r="G21" s="28">
        <v>-1.23</v>
      </c>
      <c r="H21" s="29">
        <f t="shared" si="1"/>
        <v>3.6636582968456793E-3</v>
      </c>
      <c r="I21" s="29">
        <f t="shared" si="2"/>
        <v>0.26935278805614893</v>
      </c>
      <c r="J21" s="30">
        <f t="shared" si="5"/>
        <v>90.429811534090888</v>
      </c>
      <c r="K21" s="30">
        <f t="shared" si="3"/>
        <v>10.047756837121209</v>
      </c>
      <c r="L21" s="27">
        <v>34</v>
      </c>
      <c r="M21" s="31">
        <f t="shared" si="6"/>
        <v>0.26470588235294118</v>
      </c>
      <c r="N21" s="27">
        <v>99</v>
      </c>
      <c r="O21" s="32">
        <f t="shared" ref="O21:P21" si="29">D21/7</f>
        <v>1.2857142857142858</v>
      </c>
      <c r="P21" s="32">
        <f t="shared" si="29"/>
        <v>0</v>
      </c>
      <c r="Q21" s="27">
        <f t="shared" si="8"/>
        <v>77</v>
      </c>
      <c r="R21" s="27"/>
      <c r="S21" s="33">
        <v>1.7916666666666601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0.1111111111111111</v>
      </c>
      <c r="Y21" s="37">
        <f t="shared" si="10"/>
        <v>1.23</v>
      </c>
      <c r="Z21" s="26">
        <v>0</v>
      </c>
      <c r="AA21" s="26" t="s">
        <v>37</v>
      </c>
      <c r="AB21" s="38">
        <f t="shared" si="11"/>
        <v>-0.69</v>
      </c>
      <c r="AC21" s="39">
        <v>0.38734375000000004</v>
      </c>
      <c r="AD21" s="37">
        <f t="shared" si="12"/>
        <v>-4.8108093749999998</v>
      </c>
      <c r="AE21" s="37">
        <v>-6.56</v>
      </c>
      <c r="AF21" s="37">
        <v>-14.428875454545455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36.99</v>
      </c>
      <c r="D22" s="27">
        <v>11</v>
      </c>
      <c r="E22" s="27">
        <v>1</v>
      </c>
      <c r="F22" s="28">
        <v>406.89000000000004</v>
      </c>
      <c r="G22" s="28">
        <v>-1.9600000000000002</v>
      </c>
      <c r="H22" s="29">
        <f t="shared" si="1"/>
        <v>4.8170267148369339E-3</v>
      </c>
      <c r="I22" s="29">
        <f t="shared" si="2"/>
        <v>0.26331193166457773</v>
      </c>
      <c r="J22" s="30">
        <f t="shared" si="5"/>
        <v>107.13899187500004</v>
      </c>
      <c r="K22" s="30">
        <f t="shared" si="3"/>
        <v>9.7399083522727317</v>
      </c>
      <c r="L22" s="27">
        <v>53</v>
      </c>
      <c r="M22" s="31">
        <f t="shared" si="6"/>
        <v>0.20754716981132076</v>
      </c>
      <c r="N22" s="27">
        <v>93</v>
      </c>
      <c r="O22" s="32">
        <f t="shared" ref="O22:P22" si="30">D22/7</f>
        <v>1.5714285714285714</v>
      </c>
      <c r="P22" s="32">
        <f t="shared" si="30"/>
        <v>0.14285714285714285</v>
      </c>
      <c r="Q22" s="27">
        <f t="shared" si="8"/>
        <v>54</v>
      </c>
      <c r="R22" s="27"/>
      <c r="S22" s="33">
        <v>2.4905660377358401</v>
      </c>
      <c r="T22" s="26" t="s">
        <v>34</v>
      </c>
      <c r="U22" s="34" t="s">
        <v>34</v>
      </c>
      <c r="V22" s="35" t="s">
        <v>34</v>
      </c>
      <c r="W22" s="26">
        <v>2</v>
      </c>
      <c r="X22" s="36">
        <f t="shared" si="9"/>
        <v>0.18181818181818182</v>
      </c>
      <c r="Y22" s="37">
        <f t="shared" si="10"/>
        <v>0.65333333333333343</v>
      </c>
      <c r="Z22" s="26">
        <v>1</v>
      </c>
      <c r="AA22" s="26" t="s">
        <v>37</v>
      </c>
      <c r="AB22" s="38">
        <f t="shared" si="11"/>
        <v>-0.69</v>
      </c>
      <c r="AC22" s="39">
        <v>0.38734375000000004</v>
      </c>
      <c r="AD22" s="37">
        <f t="shared" si="12"/>
        <v>-5.8798781250000003</v>
      </c>
      <c r="AE22" s="37">
        <v>-6.56</v>
      </c>
      <c r="AF22" s="37">
        <v>-14.428875454545455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37.370000000000005</v>
      </c>
      <c r="D23" s="27">
        <v>23</v>
      </c>
      <c r="E23" s="27">
        <v>0</v>
      </c>
      <c r="F23" s="30">
        <v>859.5100000000001</v>
      </c>
      <c r="G23" s="28">
        <v>-2.1500000000000004</v>
      </c>
      <c r="H23" s="29">
        <f t="shared" si="1"/>
        <v>2.5014252306546753E-3</v>
      </c>
      <c r="I23" s="29">
        <f t="shared" si="2"/>
        <v>0.27154433796052935</v>
      </c>
      <c r="J23" s="30">
        <f t="shared" si="5"/>
        <v>233.39507392045462</v>
      </c>
      <c r="K23" s="30">
        <f t="shared" si="3"/>
        <v>10.147611909584983</v>
      </c>
      <c r="L23" s="27">
        <v>58</v>
      </c>
      <c r="M23" s="31">
        <f t="shared" si="6"/>
        <v>0.39655172413793105</v>
      </c>
      <c r="N23" s="27">
        <v>67</v>
      </c>
      <c r="O23" s="32">
        <f t="shared" ref="O23:P23" si="31">D23/7</f>
        <v>3.2857142857142856</v>
      </c>
      <c r="P23" s="32">
        <f t="shared" si="31"/>
        <v>0</v>
      </c>
      <c r="Q23" s="27">
        <f t="shared" si="8"/>
        <v>20</v>
      </c>
      <c r="R23" s="27"/>
      <c r="S23" s="33">
        <v>3.3529411764705799</v>
      </c>
      <c r="T23" s="26">
        <v>500</v>
      </c>
      <c r="U23" s="34" t="s">
        <v>34</v>
      </c>
      <c r="V23" s="35" t="s">
        <v>34</v>
      </c>
      <c r="W23" s="26">
        <v>2</v>
      </c>
      <c r="X23" s="36">
        <f t="shared" si="9"/>
        <v>8.6956521739130432E-2</v>
      </c>
      <c r="Y23" s="37">
        <f t="shared" si="10"/>
        <v>1.0750000000000002</v>
      </c>
      <c r="Z23" s="26">
        <v>0</v>
      </c>
      <c r="AA23" s="26" t="s">
        <v>37</v>
      </c>
      <c r="AB23" s="38">
        <f t="shared" si="11"/>
        <v>-0.69</v>
      </c>
      <c r="AC23" s="39">
        <v>0.38734375000000004</v>
      </c>
      <c r="AD23" s="37">
        <f t="shared" si="12"/>
        <v>-12.294290625</v>
      </c>
      <c r="AE23" s="37">
        <v>-6.56</v>
      </c>
      <c r="AF23" s="37">
        <v>-14.428875454545455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34.698124999999997</v>
      </c>
      <c r="D24" s="27">
        <v>16</v>
      </c>
      <c r="E24" s="27">
        <v>0</v>
      </c>
      <c r="F24" s="30">
        <v>555.16999999999996</v>
      </c>
      <c r="G24" s="30">
        <v>-1.38</v>
      </c>
      <c r="H24" s="29">
        <f t="shared" si="1"/>
        <v>2.485725093214691E-3</v>
      </c>
      <c r="I24" s="29">
        <f t="shared" si="2"/>
        <v>0.22720958035785921</v>
      </c>
      <c r="J24" s="30">
        <f t="shared" si="5"/>
        <v>126.13994272727268</v>
      </c>
      <c r="K24" s="30">
        <f t="shared" si="3"/>
        <v>7.8837464204545427</v>
      </c>
      <c r="L24" s="27">
        <v>66</v>
      </c>
      <c r="M24" s="31">
        <f t="shared" si="6"/>
        <v>0.24242424242424243</v>
      </c>
      <c r="N24" s="27">
        <v>53</v>
      </c>
      <c r="O24" s="32">
        <f t="shared" ref="O24:P24" si="32">D24/7</f>
        <v>2.2857142857142856</v>
      </c>
      <c r="P24" s="32">
        <f t="shared" si="32"/>
        <v>0</v>
      </c>
      <c r="Q24" s="27">
        <f t="shared" si="8"/>
        <v>23</v>
      </c>
      <c r="R24" s="27"/>
      <c r="S24" s="33">
        <v>1.8611111111111101</v>
      </c>
      <c r="T24" s="26">
        <v>500</v>
      </c>
      <c r="U24" s="34" t="s">
        <v>34</v>
      </c>
      <c r="V24" s="35" t="s">
        <v>34</v>
      </c>
      <c r="W24" s="26">
        <v>1</v>
      </c>
      <c r="X24" s="36">
        <f t="shared" si="9"/>
        <v>6.25E-2</v>
      </c>
      <c r="Y24" s="37">
        <f t="shared" si="10"/>
        <v>1.38</v>
      </c>
      <c r="Z24" s="26">
        <v>0</v>
      </c>
      <c r="AA24" s="26" t="s">
        <v>37</v>
      </c>
      <c r="AB24" s="38">
        <f t="shared" si="11"/>
        <v>-0.69</v>
      </c>
      <c r="AC24" s="39">
        <v>0.38734375000000004</v>
      </c>
      <c r="AD24" s="37">
        <f t="shared" si="12"/>
        <v>-8.5525500000000001</v>
      </c>
      <c r="AE24" s="37">
        <v>-6.56</v>
      </c>
      <c r="AF24" s="37">
        <v>-14.428875454545455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36.99</v>
      </c>
      <c r="D25" s="15">
        <v>4</v>
      </c>
      <c r="E25" s="15">
        <v>2</v>
      </c>
      <c r="F25" s="16">
        <v>147.96</v>
      </c>
      <c r="G25" s="16">
        <v>-1.45</v>
      </c>
      <c r="H25" s="29">
        <f t="shared" si="1"/>
        <v>9.7999459313327913E-3</v>
      </c>
      <c r="I25" s="29">
        <f t="shared" si="2"/>
        <v>0.25829861111111119</v>
      </c>
      <c r="J25" s="30">
        <f t="shared" si="5"/>
        <v>38.21786250000001</v>
      </c>
      <c r="K25" s="30">
        <f t="shared" si="3"/>
        <v>9.5544656250000024</v>
      </c>
      <c r="L25" s="15">
        <v>38</v>
      </c>
      <c r="M25" s="31">
        <f t="shared" si="6"/>
        <v>0.10526315789473684</v>
      </c>
      <c r="N25" s="15">
        <v>45</v>
      </c>
      <c r="O25" s="32">
        <f t="shared" ref="O25:P25" si="33">D25/7</f>
        <v>0.5714285714285714</v>
      </c>
      <c r="P25" s="32">
        <f t="shared" si="33"/>
        <v>0.2857142857142857</v>
      </c>
      <c r="Q25" s="27">
        <f t="shared" si="8"/>
        <v>52</v>
      </c>
      <c r="R25" s="27"/>
      <c r="S25" s="41">
        <v>2.3157894736842111</v>
      </c>
      <c r="T25" s="26">
        <v>500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0.38734375000000004</v>
      </c>
      <c r="AD25" s="37">
        <f t="shared" si="12"/>
        <v>-2.1381375</v>
      </c>
      <c r="AE25" s="42">
        <v>-6.56</v>
      </c>
      <c r="AF25" s="42">
        <v>-14.43</v>
      </c>
      <c r="AG25" s="42">
        <v>0</v>
      </c>
    </row>
    <row r="26" spans="1:33" ht="15.75" customHeight="1" x14ac:dyDescent="0.2">
      <c r="A26" s="40" t="s">
        <v>75</v>
      </c>
      <c r="B26" s="40" t="s">
        <v>1227</v>
      </c>
      <c r="C26" s="14">
        <f t="shared" si="4"/>
        <v>36.99</v>
      </c>
      <c r="D26" s="15">
        <v>11</v>
      </c>
      <c r="E26" s="15">
        <v>0</v>
      </c>
      <c r="F26" s="16">
        <v>406.89</v>
      </c>
      <c r="G26" s="16">
        <v>-1.95</v>
      </c>
      <c r="H26" s="29">
        <f t="shared" si="1"/>
        <v>4.7924500479245005E-3</v>
      </c>
      <c r="I26" s="29">
        <f t="shared" si="2"/>
        <v>0.27090612174052103</v>
      </c>
      <c r="J26" s="30">
        <f t="shared" si="5"/>
        <v>110.2289918750006</v>
      </c>
      <c r="K26" s="30">
        <f t="shared" si="3"/>
        <v>10.020817443181873</v>
      </c>
      <c r="L26" s="15">
        <v>47</v>
      </c>
      <c r="M26" s="31">
        <f t="shared" si="6"/>
        <v>0.23404255319148937</v>
      </c>
      <c r="N26" s="15">
        <v>35</v>
      </c>
      <c r="O26" s="32">
        <f t="shared" ref="O26:P26" si="34">D26/7</f>
        <v>1.5714285714285714</v>
      </c>
      <c r="P26" s="32">
        <f t="shared" si="34"/>
        <v>0</v>
      </c>
      <c r="Q26" s="27">
        <f t="shared" si="8"/>
        <v>22</v>
      </c>
      <c r="R26" s="27"/>
      <c r="S26" s="41">
        <v>2.8436018957345972</v>
      </c>
      <c r="T26" s="26">
        <v>500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0.32500000000000001</v>
      </c>
      <c r="Z26" s="40">
        <v>6</v>
      </c>
      <c r="AA26" s="26" t="s">
        <v>37</v>
      </c>
      <c r="AB26" s="38">
        <f t="shared" si="11"/>
        <v>-0.69</v>
      </c>
      <c r="AC26" s="40">
        <v>0.38734375000000004</v>
      </c>
      <c r="AD26" s="37">
        <f t="shared" si="12"/>
        <v>-5.8798781250000003</v>
      </c>
      <c r="AE26" s="42">
        <v>-6.28</v>
      </c>
      <c r="AF26" s="42">
        <v>-14.4288754545454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37.99</v>
      </c>
      <c r="D27" s="15">
        <v>6</v>
      </c>
      <c r="E27" s="15">
        <v>0</v>
      </c>
      <c r="F27" s="16">
        <v>227.94</v>
      </c>
      <c r="G27" s="16">
        <v>-1.43</v>
      </c>
      <c r="H27" s="29">
        <f t="shared" si="1"/>
        <v>6.2735807668684741E-3</v>
      </c>
      <c r="I27" s="29">
        <f t="shared" si="2"/>
        <v>0.28454216470442917</v>
      </c>
      <c r="J27" s="30">
        <f t="shared" si="5"/>
        <v>64.858541022727579</v>
      </c>
      <c r="K27" s="30">
        <f t="shared" si="3"/>
        <v>10.809756837121263</v>
      </c>
      <c r="L27" s="15">
        <v>51</v>
      </c>
      <c r="M27" s="31">
        <f t="shared" si="6"/>
        <v>0.11764705882352941</v>
      </c>
      <c r="N27" s="15">
        <v>28</v>
      </c>
      <c r="O27" s="32">
        <f t="shared" ref="O27:P27" si="35">D27/7</f>
        <v>0.8571428571428571</v>
      </c>
      <c r="P27" s="32">
        <f t="shared" si="35"/>
        <v>0</v>
      </c>
      <c r="Q27" s="27">
        <f t="shared" si="8"/>
        <v>32</v>
      </c>
      <c r="R27" s="27"/>
      <c r="S27" s="41">
        <v>3.9272727272727268</v>
      </c>
      <c r="T27" s="26">
        <v>500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0.38734375000000004</v>
      </c>
      <c r="AD27" s="37">
        <f t="shared" si="12"/>
        <v>-3.20720625</v>
      </c>
      <c r="AE27" s="42">
        <v>-6.28</v>
      </c>
      <c r="AF27" s="42">
        <v>-14.4288754545454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38.99</v>
      </c>
      <c r="D28" s="15">
        <v>9</v>
      </c>
      <c r="E28" s="15">
        <v>0</v>
      </c>
      <c r="F28" s="16">
        <v>350.91</v>
      </c>
      <c r="G28" s="16">
        <v>-1.1499999999999999</v>
      </c>
      <c r="H28" s="29">
        <f t="shared" si="1"/>
        <v>3.2771935824000452E-3</v>
      </c>
      <c r="I28" s="29">
        <f t="shared" si="2"/>
        <v>0.30188028706531989</v>
      </c>
      <c r="J28" s="30">
        <f t="shared" si="5"/>
        <v>105.93281153409141</v>
      </c>
      <c r="K28" s="30">
        <f t="shared" si="3"/>
        <v>11.770312392676823</v>
      </c>
      <c r="L28" s="15">
        <v>46</v>
      </c>
      <c r="M28" s="31">
        <f t="shared" si="6"/>
        <v>0.19565217391304349</v>
      </c>
      <c r="N28" s="15">
        <v>27</v>
      </c>
      <c r="O28" s="32">
        <f t="shared" ref="O28:P28" si="36">D28/7</f>
        <v>1.2857142857142858</v>
      </c>
      <c r="P28" s="32">
        <f t="shared" si="36"/>
        <v>0</v>
      </c>
      <c r="Q28" s="27">
        <f t="shared" si="8"/>
        <v>21</v>
      </c>
      <c r="R28" s="27"/>
      <c r="S28" s="41">
        <v>2.0809968847352018</v>
      </c>
      <c r="T28" s="40" t="s">
        <v>34</v>
      </c>
      <c r="U28" s="22">
        <v>90</v>
      </c>
      <c r="V28" s="1" t="s">
        <v>1228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0.38734375000000004</v>
      </c>
      <c r="AD28" s="37">
        <f t="shared" si="12"/>
        <v>-4.8108093749999998</v>
      </c>
      <c r="AE28" s="42">
        <v>-6.28</v>
      </c>
      <c r="AF28" s="42">
        <v>-14.4288754545454</v>
      </c>
      <c r="AG28" s="42">
        <v>0</v>
      </c>
    </row>
    <row r="29" spans="1:33" ht="15.75" customHeight="1" x14ac:dyDescent="0.2">
      <c r="A29" s="26" t="s">
        <v>82</v>
      </c>
      <c r="B29" s="26" t="s">
        <v>1146</v>
      </c>
      <c r="C29" s="14">
        <f t="shared" si="4"/>
        <v>38.99</v>
      </c>
      <c r="D29" s="27">
        <v>12</v>
      </c>
      <c r="E29" s="27">
        <v>0</v>
      </c>
      <c r="F29" s="30">
        <v>467.88</v>
      </c>
      <c r="G29" s="30">
        <v>-1.79</v>
      </c>
      <c r="H29" s="29">
        <f t="shared" si="1"/>
        <v>3.825767290758314E-3</v>
      </c>
      <c r="I29" s="29">
        <f t="shared" si="2"/>
        <v>0.30133171335696146</v>
      </c>
      <c r="J29" s="30">
        <f t="shared" si="5"/>
        <v>140.98708204545514</v>
      </c>
      <c r="K29" s="30">
        <f t="shared" si="3"/>
        <v>11.748923503787928</v>
      </c>
      <c r="L29" s="27">
        <v>29</v>
      </c>
      <c r="M29" s="31">
        <f t="shared" si="6"/>
        <v>0.41379310344827586</v>
      </c>
      <c r="N29" s="15">
        <v>15</v>
      </c>
      <c r="O29" s="32">
        <f t="shared" ref="O29:P29" si="37">D29/7</f>
        <v>1.7142857142857142</v>
      </c>
      <c r="P29" s="32">
        <f t="shared" si="37"/>
        <v>0</v>
      </c>
      <c r="Q29" s="27">
        <f t="shared" si="8"/>
        <v>8</v>
      </c>
      <c r="R29" s="27"/>
      <c r="S29" s="41">
        <v>2.5092250922509232</v>
      </c>
      <c r="T29" s="40" t="s">
        <v>34</v>
      </c>
      <c r="U29" s="22" t="s">
        <v>34</v>
      </c>
      <c r="V29" s="1" t="s">
        <v>34</v>
      </c>
      <c r="W29" s="40">
        <v>2</v>
      </c>
      <c r="X29" s="36">
        <f t="shared" si="9"/>
        <v>0.16666666666666666</v>
      </c>
      <c r="Y29" s="37">
        <f t="shared" si="10"/>
        <v>0.89500000000000002</v>
      </c>
      <c r="Z29" s="40">
        <v>0</v>
      </c>
      <c r="AA29" s="26" t="s">
        <v>37</v>
      </c>
      <c r="AB29" s="38">
        <f t="shared" si="11"/>
        <v>-0.69</v>
      </c>
      <c r="AC29" s="39">
        <v>0.38734375000000004</v>
      </c>
      <c r="AD29" s="37">
        <f t="shared" si="12"/>
        <v>-6.4144125000000001</v>
      </c>
      <c r="AE29" s="37">
        <v>-6.28</v>
      </c>
      <c r="AF29" s="42">
        <v>-14.4288754545454</v>
      </c>
      <c r="AG29" s="37">
        <v>0</v>
      </c>
    </row>
    <row r="30" spans="1:33" ht="15.75" customHeight="1" x14ac:dyDescent="0.2">
      <c r="A30" s="40" t="s">
        <v>84</v>
      </c>
      <c r="B30" s="26" t="s">
        <v>569</v>
      </c>
      <c r="C30" s="14">
        <f t="shared" si="4"/>
        <v>38.99</v>
      </c>
      <c r="D30" s="15">
        <v>6</v>
      </c>
      <c r="E30" s="15">
        <v>0</v>
      </c>
      <c r="F30" s="16">
        <v>233.94</v>
      </c>
      <c r="G30" s="16">
        <v>-0.78</v>
      </c>
      <c r="H30" s="29">
        <f t="shared" si="1"/>
        <v>3.3341882533983072E-3</v>
      </c>
      <c r="I30" s="29">
        <f t="shared" si="2"/>
        <v>0.30845754957681454</v>
      </c>
      <c r="J30" s="30">
        <f t="shared" si="5"/>
        <v>72.16055914799999</v>
      </c>
      <c r="K30" s="30">
        <f t="shared" si="3"/>
        <v>12.026759857999998</v>
      </c>
      <c r="L30" s="15">
        <v>36</v>
      </c>
      <c r="M30" s="31">
        <f t="shared" si="6"/>
        <v>0.16666666666666666</v>
      </c>
      <c r="N30" s="15">
        <v>9</v>
      </c>
      <c r="O30" s="32">
        <f t="shared" ref="O30:P30" si="38">D30/7</f>
        <v>0.8571428571428571</v>
      </c>
      <c r="P30" s="32">
        <f t="shared" si="38"/>
        <v>0</v>
      </c>
      <c r="Q30" s="27">
        <f t="shared" si="8"/>
        <v>10</v>
      </c>
      <c r="R30" s="27"/>
      <c r="S30" s="41">
        <v>2.6614173228346458</v>
      </c>
      <c r="T30" s="26">
        <v>1190</v>
      </c>
      <c r="U30" s="34">
        <v>90</v>
      </c>
      <c r="V30" s="35" t="s">
        <v>1229</v>
      </c>
      <c r="W30" s="40">
        <v>1</v>
      </c>
      <c r="X30" s="36">
        <f t="shared" si="9"/>
        <v>0.16666666666666666</v>
      </c>
      <c r="Y30" s="37">
        <f t="shared" si="10"/>
        <v>0.78</v>
      </c>
      <c r="Z30" s="40">
        <v>0</v>
      </c>
      <c r="AA30" s="26" t="s">
        <v>37</v>
      </c>
      <c r="AB30" s="38">
        <f t="shared" si="11"/>
        <v>-0.69</v>
      </c>
      <c r="AC30" s="39">
        <v>0.38734375000000004</v>
      </c>
      <c r="AD30" s="37">
        <f t="shared" si="12"/>
        <v>-3.20720625</v>
      </c>
      <c r="AE30" s="42">
        <v>-6.28</v>
      </c>
      <c r="AF30" s="42">
        <v>-14.170205767000001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38.99</v>
      </c>
      <c r="D31" s="15">
        <v>8</v>
      </c>
      <c r="E31" s="15">
        <v>0</v>
      </c>
      <c r="F31" s="16">
        <v>311.92</v>
      </c>
      <c r="G31" s="43">
        <v>-0.69</v>
      </c>
      <c r="H31" s="29">
        <f t="shared" si="1"/>
        <v>2.2121056681200305E-3</v>
      </c>
      <c r="I31" s="29">
        <f t="shared" si="2"/>
        <v>0.30957963216209278</v>
      </c>
      <c r="J31" s="30">
        <f t="shared" si="5"/>
        <v>96.564078863999981</v>
      </c>
      <c r="K31" s="30">
        <f t="shared" si="3"/>
        <v>12.070509857999998</v>
      </c>
      <c r="L31" s="15">
        <v>46</v>
      </c>
      <c r="M31" s="31">
        <f t="shared" si="6"/>
        <v>0.17391304347826086</v>
      </c>
      <c r="N31" s="15">
        <v>0</v>
      </c>
      <c r="O31" s="32">
        <f t="shared" ref="O31:P31" si="39">D31/7</f>
        <v>1.1428571428571428</v>
      </c>
      <c r="P31" s="32">
        <f t="shared" si="39"/>
        <v>0</v>
      </c>
      <c r="Q31" s="27">
        <f t="shared" si="8"/>
        <v>0</v>
      </c>
      <c r="R31" s="27"/>
      <c r="S31" s="41">
        <v>3.3673469387755102</v>
      </c>
      <c r="T31" s="40">
        <v>510</v>
      </c>
      <c r="U31" s="22">
        <v>90</v>
      </c>
      <c r="V31" s="1" t="s">
        <v>1230</v>
      </c>
      <c r="W31" s="40">
        <v>3</v>
      </c>
      <c r="X31" s="36">
        <f t="shared" si="9"/>
        <v>0.375</v>
      </c>
      <c r="Y31" s="37">
        <f t="shared" si="10"/>
        <v>0.22999999999999998</v>
      </c>
      <c r="Z31" s="40">
        <v>0</v>
      </c>
      <c r="AA31" s="40" t="s">
        <v>37</v>
      </c>
      <c r="AB31" s="38">
        <f t="shared" si="11"/>
        <v>-0.69</v>
      </c>
      <c r="AC31" s="44">
        <v>0.38734375000000004</v>
      </c>
      <c r="AD31" s="37">
        <f t="shared" si="12"/>
        <v>-4.276275</v>
      </c>
      <c r="AE31" s="45">
        <v>-6.28</v>
      </c>
      <c r="AF31" s="45">
        <v>-14.170205767000002</v>
      </c>
      <c r="AG31" s="42">
        <v>0</v>
      </c>
    </row>
    <row r="32" spans="1:33" ht="15.75" customHeight="1" x14ac:dyDescent="0.2">
      <c r="A32" s="40" t="s">
        <v>90</v>
      </c>
      <c r="B32" s="50" t="s">
        <v>1231</v>
      </c>
      <c r="C32" s="14">
        <f t="shared" si="4"/>
        <v>38.99</v>
      </c>
      <c r="D32" s="15">
        <v>2</v>
      </c>
      <c r="E32" s="15">
        <v>0</v>
      </c>
      <c r="F32" s="16">
        <v>77.98</v>
      </c>
      <c r="G32" s="16">
        <v>-0.65</v>
      </c>
      <c r="H32" s="29">
        <f t="shared" si="1"/>
        <v>8.3354706334957673E-3</v>
      </c>
      <c r="I32" s="29">
        <f t="shared" si="2"/>
        <v>0.30345626719671703</v>
      </c>
      <c r="J32" s="30">
        <f t="shared" si="5"/>
        <v>23.663519715999996</v>
      </c>
      <c r="K32" s="30">
        <f t="shared" si="3"/>
        <v>11.831759857999998</v>
      </c>
      <c r="L32" s="15">
        <v>23</v>
      </c>
      <c r="M32" s="31">
        <f t="shared" si="6"/>
        <v>8.6956521739130432E-2</v>
      </c>
      <c r="N32" s="15">
        <v>54</v>
      </c>
      <c r="O32" s="32">
        <f t="shared" ref="O32:P32" si="40">D32/7</f>
        <v>0.2857142857142857</v>
      </c>
      <c r="P32" s="32">
        <f t="shared" si="40"/>
        <v>0</v>
      </c>
      <c r="Q32" s="27">
        <f t="shared" si="8"/>
        <v>189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1.9928315412186379</v>
      </c>
      <c r="T32" s="40">
        <f ca="1">IFERROR(__xludf.DUMMYFUNCTION("IFERROR(VLOOKUP($B$2,IMPORTRANGE(""https://docs.google.com/spreadsheets/d/1KiWZV1ko8G7lnRucBRBd29jj3Be6ltMfljMDqzOkQmI/edit#gid=1381463014"",""Lookup!A:D""),4,FALSE),"""")"),510)</f>
        <v>510</v>
      </c>
      <c r="U32" s="22">
        <f ca="1">IFERROR(__xludf.DUMMYFUNCTION("IFERROR(VLOOKUP($B$2,IMPORTRANGE(""https://docs.google.com/spreadsheets/d/1KiWZV1ko8G7lnRucBRBd29jj3Be6ltMfljMDqzOkQmI/edit#gid=1381463014"",""Lookup!A:D""),3,FALSE),"""")"),90)</f>
        <v>90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- 90 units 08/14")</f>
        <v>| AGL230  - 90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0.38734375000000004</v>
      </c>
      <c r="AD32" s="37">
        <f t="shared" si="12"/>
        <v>-1.06906875</v>
      </c>
      <c r="AE32" s="42">
        <v>-6.28</v>
      </c>
      <c r="AF32" s="42">
        <v>-14.170205767000001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8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2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Two Tier Serving Stand - 2 Tiered Metal Tray Platter for Cake, Dessert, Shrimp, Appetizers &amp; More")</f>
        <v>Galvanized Two Tier Serving Stand - 2 Tiered Metal Tray Platter for Cake, Dessert, Shrimp, Appetizers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Info!B1:BJ5000""),2,FALSE),"""")"),"B082L2HK4H")</f>
        <v>B082L2HK4H</v>
      </c>
      <c r="B2" s="3" t="s">
        <v>1232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17.518292980392154</v>
      </c>
      <c r="D3" s="5">
        <f>SUM(D4:D99767)</f>
        <v>122</v>
      </c>
      <c r="E3" s="5"/>
      <c r="F3" s="6">
        <f t="shared" ref="F3:G3" si="0">SUM(F4:F99767)</f>
        <v>3220.9499999999994</v>
      </c>
      <c r="G3" s="6">
        <f t="shared" si="0"/>
        <v>-148.68</v>
      </c>
      <c r="H3" s="7">
        <f t="shared" ref="H3:H32" si="1">G3/F3*-1</f>
        <v>4.6160294323103444E-2</v>
      </c>
      <c r="I3" s="8">
        <f t="shared" ref="I3:I32" si="2">J3/F3</f>
        <v>0.21893661169596196</v>
      </c>
      <c r="J3" s="6">
        <f>SUM(J4:J99767)</f>
        <v>705.18387944210849</v>
      </c>
      <c r="K3" s="6">
        <f t="shared" ref="K3:K32" si="3">J3/D3</f>
        <v>5.7801957331320368</v>
      </c>
      <c r="L3" s="5"/>
      <c r="M3" s="9"/>
      <c r="N3" s="10"/>
      <c r="O3" s="5" t="str">
        <f ca="1">IFERROR(__xludf.DUMMYFUNCTION("IFERROR( VLOOKUP(B2,IMPORTRANGE(""https://docs.google.com/spreadsheets/d/1N8jvpEHDVkurDv7NrPxwI3eH6hQsvtb1QltGNCalRjU/edit#gid=865736387"",""Compiled Sheet!a1:g5000""),2,FALSE),"""")"),"1.0 - March
1.0 - April
1.0 - May
1.0 - June
1.0 - July
1.0 - Aug
1.0 - Sept
1.0 - Oct
1.0 - Nov
1.0 - Dec
1.0 - Jan
1.0 - Feb")</f>
        <v>1.0 - March
1.0 - April
1.0 - May
1.0 - June
1.0 - July
1.0 - Aug
1.0 - Sept
1.0 - Oct
1.0 - Nov
1.0 - Dec
1.0 - Jan
1.0 -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23</v>
      </c>
      <c r="X3" s="7">
        <f>W3/D3</f>
        <v>0.18852459016393441</v>
      </c>
      <c r="Y3" s="6"/>
      <c r="Z3" s="5"/>
      <c r="AA3" s="5"/>
      <c r="AB3" s="5"/>
      <c r="AC3" s="5"/>
      <c r="AD3" s="6">
        <f>SUM(AD4:AD99767)</f>
        <v>-56.244614654861117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Info!B2:BZ3000""),37,FALSE)),"""")*-1"),-8.61054903333333)</f>
        <v>-8.6105490333333297</v>
      </c>
      <c r="AG3" s="6">
        <f>SUM(AG4:AG99767)</f>
        <v>0</v>
      </c>
    </row>
    <row r="4" spans="1:33" ht="16" x14ac:dyDescent="0.2">
      <c r="A4" s="1" t="s">
        <v>32</v>
      </c>
      <c r="B4" s="2"/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120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-7.6477500000000012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 t="e">
        <v>#N/A</v>
      </c>
      <c r="T5" s="26">
        <v>120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-7.6477500000000012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120</v>
      </c>
      <c r="U6" s="34">
        <v>120</v>
      </c>
      <c r="V6" s="35" t="s">
        <v>1233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-8.3624570707070713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120</v>
      </c>
      <c r="U7" s="34">
        <v>120</v>
      </c>
      <c r="V7" s="35" t="s">
        <v>1233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-8.3624570707070713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120</v>
      </c>
      <c r="U8" s="34">
        <v>120</v>
      </c>
      <c r="V8" s="35" t="s">
        <v>1233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-8.36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120</v>
      </c>
      <c r="U9" s="34">
        <v>120</v>
      </c>
      <c r="V9" s="35" t="s">
        <v>1234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-8.6395883838383796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120</v>
      </c>
      <c r="U10" s="34">
        <v>120</v>
      </c>
      <c r="V10" s="35" t="s">
        <v>1234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-8.6395883838383796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120</v>
      </c>
      <c r="U11" s="34">
        <v>120</v>
      </c>
      <c r="V11" s="35" t="s">
        <v>1235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-8.6395883838383796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120</v>
      </c>
      <c r="U12" s="34">
        <v>120</v>
      </c>
      <c r="V12" s="35" t="s">
        <v>1236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-8.6395883838383796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120</v>
      </c>
      <c r="U13" s="34">
        <v>120</v>
      </c>
      <c r="V13" s="35" t="s">
        <v>1237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-8.7854469696969701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-8.7854469696969701</v>
      </c>
      <c r="AG14" s="37">
        <v>0</v>
      </c>
    </row>
    <row r="15" spans="1:33" ht="15.75" customHeight="1" x14ac:dyDescent="0.2">
      <c r="A15" s="26" t="s">
        <v>58</v>
      </c>
      <c r="B15" s="26" t="s">
        <v>1238</v>
      </c>
      <c r="C15" s="14">
        <f t="shared" si="4"/>
        <v>27.13</v>
      </c>
      <c r="D15" s="27">
        <v>2</v>
      </c>
      <c r="E15" s="27">
        <v>0</v>
      </c>
      <c r="F15" s="30">
        <v>54.26</v>
      </c>
      <c r="G15" s="28">
        <v>-0.71</v>
      </c>
      <c r="H15" s="29">
        <f t="shared" si="1"/>
        <v>1.3085145595281976E-2</v>
      </c>
      <c r="I15" s="29">
        <f t="shared" si="2"/>
        <v>0.26830193876541852</v>
      </c>
      <c r="J15" s="30">
        <f t="shared" si="5"/>
        <v>14.558063197411609</v>
      </c>
      <c r="K15" s="30">
        <f t="shared" si="3"/>
        <v>7.2790315987058047</v>
      </c>
      <c r="L15" s="27">
        <v>8</v>
      </c>
      <c r="M15" s="31">
        <f t="shared" si="6"/>
        <v>0.25</v>
      </c>
      <c r="N15" s="27">
        <v>118</v>
      </c>
      <c r="O15" s="32">
        <f t="shared" ref="O15:P15" si="23">D15/7</f>
        <v>0.2857142857142857</v>
      </c>
      <c r="P15" s="32">
        <f t="shared" si="23"/>
        <v>0</v>
      </c>
      <c r="Q15" s="27">
        <f t="shared" si="8"/>
        <v>413</v>
      </c>
      <c r="R15" s="27"/>
      <c r="S15" s="33">
        <v>3.2258064516128997E-2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0.33407350115740747</v>
      </c>
      <c r="AD15" s="37">
        <f t="shared" si="12"/>
        <v>-0.92204286319444451</v>
      </c>
      <c r="AE15" s="37">
        <v>-6.18</v>
      </c>
      <c r="AF15" s="37">
        <v>-8.7854469696969701</v>
      </c>
      <c r="AG15" s="37">
        <v>0</v>
      </c>
    </row>
    <row r="16" spans="1:33" ht="15.75" customHeight="1" x14ac:dyDescent="0.2">
      <c r="A16" s="26" t="s">
        <v>60</v>
      </c>
      <c r="B16" s="26" t="s">
        <v>105</v>
      </c>
      <c r="C16" s="14">
        <f t="shared" si="4"/>
        <v>24.273333333333337</v>
      </c>
      <c r="D16" s="27">
        <v>6</v>
      </c>
      <c r="E16" s="27">
        <v>0</v>
      </c>
      <c r="F16" s="30">
        <v>145.64000000000001</v>
      </c>
      <c r="G16" s="28">
        <v>-43.269999999999996</v>
      </c>
      <c r="H16" s="29">
        <f t="shared" si="1"/>
        <v>0.2971024443834111</v>
      </c>
      <c r="I16" s="29">
        <f t="shared" si="2"/>
        <v>-8.2633963250241249E-2</v>
      </c>
      <c r="J16" s="30">
        <f t="shared" si="5"/>
        <v>-12.034810407765137</v>
      </c>
      <c r="K16" s="30">
        <f t="shared" si="3"/>
        <v>-2.0058017346275228</v>
      </c>
      <c r="L16" s="27">
        <v>55</v>
      </c>
      <c r="M16" s="31">
        <f t="shared" si="6"/>
        <v>0.10909090909090909</v>
      </c>
      <c r="N16" s="27">
        <v>112</v>
      </c>
      <c r="O16" s="32">
        <f t="shared" ref="O16:P16" si="24">D16/7</f>
        <v>0.8571428571428571</v>
      </c>
      <c r="P16" s="32">
        <f t="shared" si="24"/>
        <v>0</v>
      </c>
      <c r="Q16" s="27">
        <f t="shared" si="8"/>
        <v>130</v>
      </c>
      <c r="R16" s="27"/>
      <c r="S16" s="33">
        <v>0.17094017094017</v>
      </c>
      <c r="T16" s="26">
        <v>0</v>
      </c>
      <c r="U16" s="34" t="s">
        <v>34</v>
      </c>
      <c r="V16" s="35" t="s">
        <v>34</v>
      </c>
      <c r="W16" s="26">
        <v>2</v>
      </c>
      <c r="X16" s="36">
        <f t="shared" si="9"/>
        <v>0.33333333333333331</v>
      </c>
      <c r="Y16" s="37">
        <f t="shared" si="10"/>
        <v>10.817499999999999</v>
      </c>
      <c r="Z16" s="26">
        <v>2</v>
      </c>
      <c r="AA16" s="26" t="s">
        <v>37</v>
      </c>
      <c r="AB16" s="38">
        <f t="shared" si="11"/>
        <v>-0.69</v>
      </c>
      <c r="AC16" s="39">
        <v>0.33407350115740747</v>
      </c>
      <c r="AD16" s="37">
        <f t="shared" si="12"/>
        <v>-2.7661285895833334</v>
      </c>
      <c r="AE16" s="37">
        <v>-6.18</v>
      </c>
      <c r="AF16" s="37">
        <v>-8.7854469696969701</v>
      </c>
      <c r="AG16" s="37">
        <v>0</v>
      </c>
    </row>
    <row r="17" spans="1:33" ht="15.75" customHeight="1" x14ac:dyDescent="0.2">
      <c r="A17" s="26" t="s">
        <v>61</v>
      </c>
      <c r="B17" s="26" t="s">
        <v>1239</v>
      </c>
      <c r="C17" s="14">
        <f t="shared" si="4"/>
        <v>24.133125000000007</v>
      </c>
      <c r="D17" s="27">
        <v>16</v>
      </c>
      <c r="E17" s="27">
        <v>0</v>
      </c>
      <c r="F17" s="30">
        <v>386.13000000000011</v>
      </c>
      <c r="G17" s="28">
        <v>-58.1</v>
      </c>
      <c r="H17" s="29">
        <f t="shared" si="1"/>
        <v>0.15046745914588347</v>
      </c>
      <c r="I17" s="29">
        <f t="shared" si="2"/>
        <v>6.0308718771639028E-2</v>
      </c>
      <c r="J17" s="30">
        <f t="shared" si="5"/>
        <v>23.287005579292984</v>
      </c>
      <c r="K17" s="30">
        <f t="shared" si="3"/>
        <v>1.4554378487058115</v>
      </c>
      <c r="L17" s="27">
        <v>96</v>
      </c>
      <c r="M17" s="31">
        <f t="shared" si="6"/>
        <v>0.16666666666666666</v>
      </c>
      <c r="N17" s="27">
        <v>85</v>
      </c>
      <c r="O17" s="32">
        <f t="shared" ref="O17:P17" si="25">D17/7</f>
        <v>2.2857142857142856</v>
      </c>
      <c r="P17" s="32">
        <f t="shared" si="25"/>
        <v>0</v>
      </c>
      <c r="Q17" s="27">
        <f t="shared" si="8"/>
        <v>37</v>
      </c>
      <c r="R17" s="27"/>
      <c r="S17" s="33">
        <v>1.11392405063291</v>
      </c>
      <c r="T17" s="26">
        <v>0</v>
      </c>
      <c r="U17" s="34" t="s">
        <v>34</v>
      </c>
      <c r="V17" s="35" t="s">
        <v>34</v>
      </c>
      <c r="W17" s="26">
        <v>13</v>
      </c>
      <c r="X17" s="36">
        <f t="shared" si="9"/>
        <v>0.8125</v>
      </c>
      <c r="Y17" s="37">
        <f t="shared" si="10"/>
        <v>4.1500000000000004</v>
      </c>
      <c r="Z17" s="26">
        <v>1</v>
      </c>
      <c r="AA17" s="26" t="s">
        <v>37</v>
      </c>
      <c r="AB17" s="38">
        <f t="shared" si="11"/>
        <v>-0.69</v>
      </c>
      <c r="AC17" s="39">
        <v>0.33407350115740747</v>
      </c>
      <c r="AD17" s="37">
        <f t="shared" si="12"/>
        <v>-7.3763429055555561</v>
      </c>
      <c r="AE17" s="37">
        <v>-6.18</v>
      </c>
      <c r="AF17" s="37">
        <v>-8.7854469696969701</v>
      </c>
      <c r="AG17" s="37">
        <v>0</v>
      </c>
    </row>
    <row r="18" spans="1:33" ht="15.75" customHeight="1" x14ac:dyDescent="0.2">
      <c r="A18" s="26" t="s">
        <v>62</v>
      </c>
      <c r="B18" s="26" t="s">
        <v>188</v>
      </c>
      <c r="C18" s="14">
        <f t="shared" si="4"/>
        <v>26.052777777777777</v>
      </c>
      <c r="D18" s="27">
        <v>18</v>
      </c>
      <c r="E18" s="27">
        <v>0</v>
      </c>
      <c r="F18" s="30">
        <v>468.95</v>
      </c>
      <c r="G18" s="28">
        <v>-35.599999999999994</v>
      </c>
      <c r="H18" s="29">
        <f t="shared" si="1"/>
        <v>7.5914276575327844E-2</v>
      </c>
      <c r="I18" s="29">
        <f t="shared" si="2"/>
        <v>0.18196197628042324</v>
      </c>
      <c r="J18" s="30">
        <f t="shared" si="5"/>
        <v>85.33106877670447</v>
      </c>
      <c r="K18" s="30">
        <f t="shared" si="3"/>
        <v>4.7406149320391373</v>
      </c>
      <c r="L18" s="27">
        <v>67</v>
      </c>
      <c r="M18" s="31">
        <f t="shared" si="6"/>
        <v>0.26865671641791045</v>
      </c>
      <c r="N18" s="27">
        <v>77</v>
      </c>
      <c r="O18" s="32">
        <f t="shared" ref="O18:P18" si="26">D18/7</f>
        <v>2.5714285714285716</v>
      </c>
      <c r="P18" s="32">
        <f t="shared" si="26"/>
        <v>0</v>
      </c>
      <c r="Q18" s="27">
        <f t="shared" si="8"/>
        <v>29</v>
      </c>
      <c r="R18" s="27"/>
      <c r="S18" s="33">
        <v>1.6923076923076901</v>
      </c>
      <c r="T18" s="26">
        <v>0</v>
      </c>
      <c r="U18" s="34" t="s">
        <v>34</v>
      </c>
      <c r="V18" s="35" t="s">
        <v>34</v>
      </c>
      <c r="W18" s="26">
        <v>4</v>
      </c>
      <c r="X18" s="36">
        <f t="shared" si="9"/>
        <v>0.22222222222222221</v>
      </c>
      <c r="Y18" s="37">
        <f t="shared" si="10"/>
        <v>4.4499999999999993</v>
      </c>
      <c r="Z18" s="26">
        <v>4</v>
      </c>
      <c r="AA18" s="26" t="s">
        <v>37</v>
      </c>
      <c r="AB18" s="38">
        <f t="shared" si="11"/>
        <v>-0.69</v>
      </c>
      <c r="AC18" s="39">
        <v>0.33407350115740747</v>
      </c>
      <c r="AD18" s="37">
        <f t="shared" si="12"/>
        <v>-8.2983857687500002</v>
      </c>
      <c r="AE18" s="37">
        <v>-6.18</v>
      </c>
      <c r="AF18" s="37">
        <v>-8.7854469696969701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26.128571428571433</v>
      </c>
      <c r="D19" s="27">
        <v>7</v>
      </c>
      <c r="E19" s="27">
        <v>0</v>
      </c>
      <c r="F19" s="30">
        <v>182.90000000000003</v>
      </c>
      <c r="G19" s="28">
        <v>-3.1</v>
      </c>
      <c r="H19" s="29">
        <f t="shared" si="1"/>
        <v>1.6949152542372878E-2</v>
      </c>
      <c r="I19" s="29">
        <f t="shared" si="2"/>
        <v>0.2426447304042684</v>
      </c>
      <c r="J19" s="30">
        <f t="shared" si="5"/>
        <v>44.3797211909407</v>
      </c>
      <c r="K19" s="30">
        <f t="shared" si="3"/>
        <v>6.3399601701343853</v>
      </c>
      <c r="L19" s="27">
        <v>42</v>
      </c>
      <c r="M19" s="31">
        <f t="shared" si="6"/>
        <v>0.16666666666666666</v>
      </c>
      <c r="N19" s="27">
        <v>72</v>
      </c>
      <c r="O19" s="32">
        <f t="shared" ref="O19:P19" si="27">D19/7</f>
        <v>1</v>
      </c>
      <c r="P19" s="32">
        <f t="shared" si="27"/>
        <v>0</v>
      </c>
      <c r="Q19" s="27">
        <f t="shared" si="8"/>
        <v>72</v>
      </c>
      <c r="R19" s="27"/>
      <c r="S19" s="33">
        <v>2.15</v>
      </c>
      <c r="T19" s="26">
        <v>0</v>
      </c>
      <c r="U19" s="34" t="s">
        <v>34</v>
      </c>
      <c r="V19" s="35" t="s">
        <v>34</v>
      </c>
      <c r="W19" s="26">
        <v>1</v>
      </c>
      <c r="X19" s="36">
        <f t="shared" si="9"/>
        <v>0.14285714285714285</v>
      </c>
      <c r="Y19" s="37">
        <f t="shared" si="10"/>
        <v>3.1</v>
      </c>
      <c r="Z19" s="26">
        <v>0</v>
      </c>
      <c r="AA19" s="26" t="s">
        <v>37</v>
      </c>
      <c r="AB19" s="38">
        <f t="shared" si="11"/>
        <v>-0.69</v>
      </c>
      <c r="AC19" s="39">
        <v>0.33407350115740747</v>
      </c>
      <c r="AD19" s="37">
        <f t="shared" si="12"/>
        <v>-3.2271500211805559</v>
      </c>
      <c r="AE19" s="37">
        <v>-6.18</v>
      </c>
      <c r="AF19" s="37">
        <v>-8.7854469696969701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26.105</v>
      </c>
      <c r="D20" s="27">
        <v>8</v>
      </c>
      <c r="E20" s="27">
        <v>0</v>
      </c>
      <c r="F20" s="30">
        <v>208.84</v>
      </c>
      <c r="G20" s="28">
        <v>-0.86</v>
      </c>
      <c r="H20" s="29">
        <f t="shared" si="1"/>
        <v>4.117985060333269E-3</v>
      </c>
      <c r="I20" s="29">
        <f t="shared" si="2"/>
        <v>0.25494279251889701</v>
      </c>
      <c r="J20" s="30">
        <f t="shared" si="5"/>
        <v>53.242252789646457</v>
      </c>
      <c r="K20" s="30">
        <f t="shared" si="3"/>
        <v>6.6552815987058072</v>
      </c>
      <c r="L20" s="27">
        <v>32</v>
      </c>
      <c r="M20" s="31">
        <f t="shared" si="6"/>
        <v>0.25</v>
      </c>
      <c r="N20" s="27">
        <v>64</v>
      </c>
      <c r="O20" s="32">
        <f t="shared" ref="O20:P20" si="28">D20/7</f>
        <v>1.1428571428571428</v>
      </c>
      <c r="P20" s="32">
        <f t="shared" si="28"/>
        <v>0</v>
      </c>
      <c r="Q20" s="27">
        <f t="shared" si="8"/>
        <v>56</v>
      </c>
      <c r="R20" s="27"/>
      <c r="S20" s="33">
        <v>1.1675675675675601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0.86</v>
      </c>
      <c r="Z20" s="26">
        <v>1</v>
      </c>
      <c r="AA20" s="26" t="s">
        <v>37</v>
      </c>
      <c r="AB20" s="38">
        <f t="shared" si="11"/>
        <v>-0.69</v>
      </c>
      <c r="AC20" s="39">
        <v>0.33407350115740747</v>
      </c>
      <c r="AD20" s="37">
        <f t="shared" si="12"/>
        <v>-3.688171452777778</v>
      </c>
      <c r="AE20" s="37">
        <v>-6.18</v>
      </c>
      <c r="AF20" s="37">
        <v>-8.7854469696969701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25.99</v>
      </c>
      <c r="D21" s="27">
        <v>6</v>
      </c>
      <c r="E21" s="27">
        <v>0</v>
      </c>
      <c r="F21" s="30">
        <v>155.94</v>
      </c>
      <c r="G21" s="28">
        <v>-0.29000000000000004</v>
      </c>
      <c r="H21" s="29">
        <f t="shared" si="1"/>
        <v>1.8596896242144417E-3</v>
      </c>
      <c r="I21" s="29">
        <f t="shared" si="2"/>
        <v>0.2545863126345701</v>
      </c>
      <c r="J21" s="30">
        <f t="shared" si="5"/>
        <v>39.700189592234864</v>
      </c>
      <c r="K21" s="30">
        <f t="shared" si="3"/>
        <v>6.6166982653724773</v>
      </c>
      <c r="L21" s="27">
        <v>7</v>
      </c>
      <c r="M21" s="31">
        <f t="shared" si="6"/>
        <v>0.8571428571428571</v>
      </c>
      <c r="N21" s="27">
        <v>59</v>
      </c>
      <c r="O21" s="32">
        <f t="shared" ref="O21:P21" si="29">D21/7</f>
        <v>0.8571428571428571</v>
      </c>
      <c r="P21" s="32">
        <f t="shared" si="29"/>
        <v>0</v>
      </c>
      <c r="Q21" s="27">
        <f t="shared" si="8"/>
        <v>68</v>
      </c>
      <c r="R21" s="27"/>
      <c r="S21" s="33">
        <v>1.71428571428571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0.16666666666666666</v>
      </c>
      <c r="Y21" s="37">
        <f t="shared" si="10"/>
        <v>0.29000000000000004</v>
      </c>
      <c r="Z21" s="26">
        <v>0</v>
      </c>
      <c r="AA21" s="26" t="s">
        <v>37</v>
      </c>
      <c r="AB21" s="38">
        <f t="shared" si="11"/>
        <v>-0.69</v>
      </c>
      <c r="AC21" s="39">
        <v>0.33407350115740747</v>
      </c>
      <c r="AD21" s="37">
        <f t="shared" si="12"/>
        <v>-2.7661285895833334</v>
      </c>
      <c r="AE21" s="37">
        <v>-6.18</v>
      </c>
      <c r="AF21" s="37">
        <v>-8.7854469696969701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25.990000000000002</v>
      </c>
      <c r="D22" s="27">
        <v>7</v>
      </c>
      <c r="E22" s="27">
        <v>0</v>
      </c>
      <c r="F22" s="28">
        <v>181.93</v>
      </c>
      <c r="G22" s="28">
        <v>-0.52</v>
      </c>
      <c r="H22" s="29">
        <f t="shared" si="1"/>
        <v>2.858242181058649E-3</v>
      </c>
      <c r="I22" s="29">
        <f t="shared" si="2"/>
        <v>0.25358776007772577</v>
      </c>
      <c r="J22" s="30">
        <f t="shared" si="5"/>
        <v>46.135221190940655</v>
      </c>
      <c r="K22" s="30">
        <f t="shared" si="3"/>
        <v>6.5907458844200937</v>
      </c>
      <c r="L22" s="27">
        <v>23</v>
      </c>
      <c r="M22" s="31">
        <f t="shared" si="6"/>
        <v>0.30434782608695654</v>
      </c>
      <c r="N22" s="27">
        <v>52</v>
      </c>
      <c r="O22" s="32">
        <f t="shared" ref="O22:P22" si="30">D22/7</f>
        <v>1</v>
      </c>
      <c r="P22" s="32">
        <f t="shared" si="30"/>
        <v>0</v>
      </c>
      <c r="Q22" s="27">
        <f t="shared" si="8"/>
        <v>52</v>
      </c>
      <c r="R22" s="27"/>
      <c r="S22" s="33">
        <v>1.95488721804511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0.33407350115740747</v>
      </c>
      <c r="AD22" s="37">
        <f t="shared" si="12"/>
        <v>-3.2271500211805559</v>
      </c>
      <c r="AE22" s="37">
        <v>-6.18</v>
      </c>
      <c r="AF22" s="37">
        <v>-8.7854469696969701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26.04</v>
      </c>
      <c r="D23" s="27">
        <v>7</v>
      </c>
      <c r="E23" s="27">
        <v>0</v>
      </c>
      <c r="F23" s="30">
        <v>182.28</v>
      </c>
      <c r="G23" s="28">
        <v>-0.54</v>
      </c>
      <c r="H23" s="29">
        <f t="shared" si="1"/>
        <v>2.9624753127057276E-3</v>
      </c>
      <c r="I23" s="29">
        <f t="shared" si="2"/>
        <v>0.25462322356232531</v>
      </c>
      <c r="J23" s="30">
        <f t="shared" si="5"/>
        <v>46.412721190940658</v>
      </c>
      <c r="K23" s="30">
        <f t="shared" si="3"/>
        <v>6.6303887415629514</v>
      </c>
      <c r="L23" s="27">
        <v>22</v>
      </c>
      <c r="M23" s="31">
        <f t="shared" si="6"/>
        <v>0.31818181818181818</v>
      </c>
      <c r="N23" s="27">
        <v>45</v>
      </c>
      <c r="O23" s="32">
        <f t="shared" ref="O23:P23" si="31">D23/7</f>
        <v>1</v>
      </c>
      <c r="P23" s="32">
        <f t="shared" si="31"/>
        <v>0</v>
      </c>
      <c r="Q23" s="27">
        <f t="shared" si="8"/>
        <v>45</v>
      </c>
      <c r="R23" s="27"/>
      <c r="S23" s="33">
        <v>2.38016528925619</v>
      </c>
      <c r="T23" s="26">
        <v>0</v>
      </c>
      <c r="U23" s="34" t="s">
        <v>34</v>
      </c>
      <c r="V23" s="35" t="s">
        <v>34</v>
      </c>
      <c r="W23" s="26">
        <v>1</v>
      </c>
      <c r="X23" s="36">
        <f t="shared" si="9"/>
        <v>0.14285714285714285</v>
      </c>
      <c r="Y23" s="37">
        <f t="shared" si="10"/>
        <v>0.54</v>
      </c>
      <c r="Z23" s="26">
        <v>0</v>
      </c>
      <c r="AA23" s="26" t="s">
        <v>37</v>
      </c>
      <c r="AB23" s="38">
        <f t="shared" si="11"/>
        <v>-0.69</v>
      </c>
      <c r="AC23" s="39">
        <v>0.33407350115740747</v>
      </c>
      <c r="AD23" s="37">
        <f t="shared" si="12"/>
        <v>-3.2271500211805559</v>
      </c>
      <c r="AE23" s="37">
        <v>-6.18</v>
      </c>
      <c r="AF23" s="37">
        <v>-8.7854469696969701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26.048888888888893</v>
      </c>
      <c r="D24" s="27">
        <v>9</v>
      </c>
      <c r="E24" s="27">
        <v>0</v>
      </c>
      <c r="F24" s="30">
        <v>234.44000000000003</v>
      </c>
      <c r="G24" s="30">
        <v>-0.44</v>
      </c>
      <c r="H24" s="29">
        <f t="shared" si="1"/>
        <v>1.8768128305749871E-3</v>
      </c>
      <c r="I24" s="29">
        <f t="shared" si="2"/>
        <v>0.25591104072834109</v>
      </c>
      <c r="J24" s="30">
        <f t="shared" si="5"/>
        <v>59.995784388352291</v>
      </c>
      <c r="K24" s="30">
        <f t="shared" si="3"/>
        <v>6.6661982653724765</v>
      </c>
      <c r="L24" s="27">
        <v>17</v>
      </c>
      <c r="M24" s="31">
        <f t="shared" si="6"/>
        <v>0.52941176470588236</v>
      </c>
      <c r="N24" s="27">
        <v>34</v>
      </c>
      <c r="O24" s="32">
        <f t="shared" ref="O24:P24" si="32">D24/7</f>
        <v>1.2857142857142858</v>
      </c>
      <c r="P24" s="32">
        <f t="shared" si="32"/>
        <v>0</v>
      </c>
      <c r="Q24" s="27">
        <f t="shared" si="8"/>
        <v>26</v>
      </c>
      <c r="R24" s="27"/>
      <c r="S24" s="33">
        <v>1.47555555555555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0.33407350115740747</v>
      </c>
      <c r="AD24" s="37">
        <f t="shared" si="12"/>
        <v>-4.1491928843750001</v>
      </c>
      <c r="AE24" s="37">
        <v>-6.18</v>
      </c>
      <c r="AF24" s="37">
        <v>-8.7854469696969701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25.99</v>
      </c>
      <c r="D25" s="15">
        <v>3</v>
      </c>
      <c r="E25" s="15">
        <v>0</v>
      </c>
      <c r="F25" s="16">
        <v>77.97</v>
      </c>
      <c r="G25" s="16">
        <v>-0.5</v>
      </c>
      <c r="H25" s="29">
        <f t="shared" si="1"/>
        <v>6.4127228421187637E-3</v>
      </c>
      <c r="I25" s="29">
        <f t="shared" si="2"/>
        <v>0.24985809548811555</v>
      </c>
      <c r="J25" s="30">
        <f t="shared" si="5"/>
        <v>19.481435705208369</v>
      </c>
      <c r="K25" s="30">
        <f t="shared" si="3"/>
        <v>6.4938119017361231</v>
      </c>
      <c r="L25" s="15">
        <v>21</v>
      </c>
      <c r="M25" s="31">
        <f t="shared" si="6"/>
        <v>0.14285714285714285</v>
      </c>
      <c r="N25" s="15">
        <v>30</v>
      </c>
      <c r="O25" s="32">
        <f t="shared" ref="O25:P25" si="33">D25/7</f>
        <v>0.42857142857142855</v>
      </c>
      <c r="P25" s="32">
        <f t="shared" si="33"/>
        <v>0</v>
      </c>
      <c r="Q25" s="27">
        <f t="shared" si="8"/>
        <v>70</v>
      </c>
      <c r="R25" s="27"/>
      <c r="S25" s="41">
        <v>1.7170731707317071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0.33407350115740747</v>
      </c>
      <c r="AD25" s="37">
        <f t="shared" si="12"/>
        <v>-1.3830642947916667</v>
      </c>
      <c r="AE25" s="42">
        <v>-6.18</v>
      </c>
      <c r="AF25" s="42">
        <v>-8.7899999999999903</v>
      </c>
      <c r="AG25" s="42">
        <v>0</v>
      </c>
    </row>
    <row r="26" spans="1:33" ht="15.75" customHeight="1" x14ac:dyDescent="0.2">
      <c r="A26" s="40" t="s">
        <v>75</v>
      </c>
      <c r="B26" s="40" t="s">
        <v>1240</v>
      </c>
      <c r="C26" s="14">
        <f t="shared" si="4"/>
        <v>25.99</v>
      </c>
      <c r="D26" s="15">
        <v>6</v>
      </c>
      <c r="E26" s="15">
        <v>0</v>
      </c>
      <c r="F26" s="16">
        <v>155.94</v>
      </c>
      <c r="G26" s="16">
        <v>-1.52</v>
      </c>
      <c r="H26" s="29">
        <f t="shared" si="1"/>
        <v>9.7473387200205201E-3</v>
      </c>
      <c r="I26" s="29">
        <f t="shared" si="2"/>
        <v>0.24285102983349266</v>
      </c>
      <c r="J26" s="30">
        <f t="shared" si="5"/>
        <v>37.870189592234844</v>
      </c>
      <c r="K26" s="30">
        <f t="shared" si="3"/>
        <v>6.311698265372474</v>
      </c>
      <c r="L26" s="15">
        <v>18</v>
      </c>
      <c r="M26" s="31">
        <f t="shared" si="6"/>
        <v>0.33333333333333331</v>
      </c>
      <c r="N26" s="15">
        <v>26</v>
      </c>
      <c r="O26" s="32">
        <f t="shared" ref="O26:P26" si="34">D26/7</f>
        <v>0.8571428571428571</v>
      </c>
      <c r="P26" s="32">
        <f t="shared" si="34"/>
        <v>0</v>
      </c>
      <c r="Q26" s="27">
        <f t="shared" si="8"/>
        <v>30</v>
      </c>
      <c r="R26" s="27"/>
      <c r="S26" s="41">
        <v>2.1775147928994079</v>
      </c>
      <c r="T26" s="26">
        <v>0</v>
      </c>
      <c r="U26" s="34" t="s">
        <v>34</v>
      </c>
      <c r="V26" s="35" t="s">
        <v>34</v>
      </c>
      <c r="W26" s="40">
        <v>1</v>
      </c>
      <c r="X26" s="36">
        <f t="shared" si="9"/>
        <v>0.16666666666666666</v>
      </c>
      <c r="Y26" s="37">
        <f t="shared" si="10"/>
        <v>1.52</v>
      </c>
      <c r="Z26" s="40">
        <v>0</v>
      </c>
      <c r="AA26" s="26" t="s">
        <v>37</v>
      </c>
      <c r="AB26" s="38">
        <f t="shared" si="11"/>
        <v>-0.69</v>
      </c>
      <c r="AC26" s="40">
        <v>0.33407350115740747</v>
      </c>
      <c r="AD26" s="37">
        <f t="shared" si="12"/>
        <v>-2.7661285895833334</v>
      </c>
      <c r="AE26" s="42">
        <v>-6.28</v>
      </c>
      <c r="AF26" s="42">
        <v>-8.7854469696969701</v>
      </c>
      <c r="AG26" s="42">
        <v>0</v>
      </c>
    </row>
    <row r="27" spans="1:33" ht="15.75" customHeight="1" x14ac:dyDescent="0.2">
      <c r="A27" s="40" t="s">
        <v>77</v>
      </c>
      <c r="B27" s="40" t="s">
        <v>1241</v>
      </c>
      <c r="C27" s="14">
        <f t="shared" si="4"/>
        <v>27.49</v>
      </c>
      <c r="D27" s="15">
        <v>8</v>
      </c>
      <c r="E27" s="15">
        <v>0</v>
      </c>
      <c r="F27" s="16">
        <v>219.92</v>
      </c>
      <c r="G27" s="16">
        <v>-0.81999999999999984</v>
      </c>
      <c r="H27" s="29">
        <f t="shared" si="1"/>
        <v>3.7286285922153504E-3</v>
      </c>
      <c r="I27" s="29">
        <f t="shared" si="2"/>
        <v>0.28146713709369975</v>
      </c>
      <c r="J27" s="30">
        <f t="shared" si="5"/>
        <v>61.900252789646444</v>
      </c>
      <c r="K27" s="30">
        <f t="shared" si="3"/>
        <v>7.7375315987058055</v>
      </c>
      <c r="L27" s="15">
        <v>21</v>
      </c>
      <c r="M27" s="31">
        <f t="shared" si="6"/>
        <v>0.38095238095238093</v>
      </c>
      <c r="N27" s="15">
        <v>19</v>
      </c>
      <c r="O27" s="32">
        <f t="shared" ref="O27:P27" si="35">D27/7</f>
        <v>1.1428571428571428</v>
      </c>
      <c r="P27" s="32">
        <f t="shared" si="35"/>
        <v>0</v>
      </c>
      <c r="Q27" s="27">
        <f t="shared" si="8"/>
        <v>16</v>
      </c>
      <c r="R27" s="27"/>
      <c r="S27" s="41">
        <v>2.7692307692307692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0.33407350115740747</v>
      </c>
      <c r="AD27" s="37">
        <f t="shared" si="12"/>
        <v>-3.688171452777778</v>
      </c>
      <c r="AE27" s="42">
        <v>-6.28</v>
      </c>
      <c r="AF27" s="42">
        <v>-8.7854469696969701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29.323333333333334</v>
      </c>
      <c r="D28" s="15">
        <v>6</v>
      </c>
      <c r="E28" s="15">
        <v>0</v>
      </c>
      <c r="F28" s="16">
        <v>175.94</v>
      </c>
      <c r="G28" s="16">
        <v>-0.48</v>
      </c>
      <c r="H28" s="29">
        <f t="shared" si="1"/>
        <v>2.7282027964078662E-3</v>
      </c>
      <c r="I28" s="29">
        <f t="shared" si="2"/>
        <v>0.3177798658192274</v>
      </c>
      <c r="J28" s="30">
        <f t="shared" si="5"/>
        <v>55.910189592234865</v>
      </c>
      <c r="K28" s="30">
        <f t="shared" si="3"/>
        <v>9.3183649320391435</v>
      </c>
      <c r="L28" s="15">
        <v>24</v>
      </c>
      <c r="M28" s="31">
        <f t="shared" si="6"/>
        <v>0.25</v>
      </c>
      <c r="N28" s="15">
        <v>11</v>
      </c>
      <c r="O28" s="32">
        <f t="shared" ref="O28:P28" si="36">D28/7</f>
        <v>0.8571428571428571</v>
      </c>
      <c r="P28" s="32">
        <f t="shared" si="36"/>
        <v>0</v>
      </c>
      <c r="Q28" s="27">
        <f t="shared" si="8"/>
        <v>12</v>
      </c>
      <c r="R28" s="27"/>
      <c r="S28" s="41">
        <v>1.67741935483871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0.33407350115740747</v>
      </c>
      <c r="AD28" s="37">
        <f t="shared" si="12"/>
        <v>-2.7661285895833334</v>
      </c>
      <c r="AE28" s="42">
        <v>-6.28</v>
      </c>
      <c r="AF28" s="42">
        <v>-8.7854469696969701</v>
      </c>
      <c r="AG28" s="42">
        <v>0</v>
      </c>
    </row>
    <row r="29" spans="1:33" ht="15.75" customHeight="1" x14ac:dyDescent="0.2">
      <c r="A29" s="26" t="s">
        <v>82</v>
      </c>
      <c r="B29" s="26" t="s">
        <v>1170</v>
      </c>
      <c r="C29" s="14">
        <f t="shared" si="4"/>
        <v>29.99</v>
      </c>
      <c r="D29" s="27">
        <v>5</v>
      </c>
      <c r="E29" s="27">
        <v>0</v>
      </c>
      <c r="F29" s="30">
        <v>149.94999999999999</v>
      </c>
      <c r="G29" s="30">
        <v>-0.32</v>
      </c>
      <c r="H29" s="29">
        <f t="shared" si="1"/>
        <v>2.1340446815605206E-3</v>
      </c>
      <c r="I29" s="29">
        <f t="shared" si="2"/>
        <v>0.33014443476844957</v>
      </c>
      <c r="J29" s="30">
        <f t="shared" si="5"/>
        <v>49.505157993529011</v>
      </c>
      <c r="K29" s="30">
        <f t="shared" si="3"/>
        <v>9.9010315987058028</v>
      </c>
      <c r="L29" s="27">
        <v>18</v>
      </c>
      <c r="M29" s="31">
        <f t="shared" si="6"/>
        <v>0.27777777777777779</v>
      </c>
      <c r="N29" s="15">
        <v>6</v>
      </c>
      <c r="O29" s="32">
        <f t="shared" ref="O29:P29" si="37">D29/7</f>
        <v>0.7142857142857143</v>
      </c>
      <c r="P29" s="32">
        <f t="shared" si="37"/>
        <v>0</v>
      </c>
      <c r="Q29" s="27">
        <f t="shared" si="8"/>
        <v>8</v>
      </c>
      <c r="R29" s="27"/>
      <c r="S29" s="41">
        <v>1.953488372093023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0.33407350115740747</v>
      </c>
      <c r="AD29" s="37">
        <f t="shared" si="12"/>
        <v>-2.3051071579861113</v>
      </c>
      <c r="AE29" s="37">
        <v>-6.28</v>
      </c>
      <c r="AF29" s="42">
        <v>-8.7854469696969701</v>
      </c>
      <c r="AG29" s="37">
        <v>0</v>
      </c>
    </row>
    <row r="30" spans="1:33" ht="15.75" customHeight="1" x14ac:dyDescent="0.2">
      <c r="A30" s="40" t="s">
        <v>84</v>
      </c>
      <c r="B30" s="26" t="s">
        <v>695</v>
      </c>
      <c r="C30" s="14">
        <f t="shared" si="4"/>
        <v>29.99</v>
      </c>
      <c r="D30" s="15">
        <v>5</v>
      </c>
      <c r="E30" s="15">
        <v>0</v>
      </c>
      <c r="F30" s="16">
        <v>149.94999999999999</v>
      </c>
      <c r="G30" s="16">
        <v>-0.67999999999999994</v>
      </c>
      <c r="H30" s="29">
        <f t="shared" si="1"/>
        <v>4.534844948316105E-3</v>
      </c>
      <c r="I30" s="29">
        <f t="shared" si="2"/>
        <v>0.33357550967220545</v>
      </c>
      <c r="J30" s="30">
        <f t="shared" si="5"/>
        <v>50.019647675347201</v>
      </c>
      <c r="K30" s="30">
        <f t="shared" si="3"/>
        <v>10.003929535069441</v>
      </c>
      <c r="L30" s="15">
        <v>20</v>
      </c>
      <c r="M30" s="31">
        <f t="shared" si="6"/>
        <v>0.25</v>
      </c>
      <c r="N30" s="15">
        <v>3</v>
      </c>
      <c r="O30" s="32">
        <f t="shared" ref="O30:P30" si="38">D30/7</f>
        <v>0.7142857142857143</v>
      </c>
      <c r="P30" s="32">
        <f t="shared" si="38"/>
        <v>0</v>
      </c>
      <c r="Q30" s="27">
        <f t="shared" si="8"/>
        <v>4</v>
      </c>
      <c r="R30" s="27"/>
      <c r="S30" s="41">
        <v>2.2068965517241379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0.33407350115740747</v>
      </c>
      <c r="AD30" s="37">
        <f t="shared" si="12"/>
        <v>-2.3051071579861113</v>
      </c>
      <c r="AE30" s="42">
        <v>-6.28</v>
      </c>
      <c r="AF30" s="42">
        <v>-8.6105490333333297</v>
      </c>
      <c r="AG30" s="42">
        <v>0</v>
      </c>
    </row>
    <row r="31" spans="1:33" ht="15.75" customHeight="1" x14ac:dyDescent="0.2">
      <c r="A31" s="40" t="s">
        <v>87</v>
      </c>
      <c r="B31" s="26" t="s">
        <v>569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-0.69000000000000006</v>
      </c>
      <c r="H31" s="29" t="e">
        <f t="shared" si="1"/>
        <v>#DIV/0!</v>
      </c>
      <c r="I31" s="29" t="e">
        <f t="shared" si="2"/>
        <v>#DIV/0!</v>
      </c>
      <c r="J31" s="30">
        <f t="shared" si="5"/>
        <v>-0.69000000000000006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3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2.1910828025477702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0.33407350115740747</v>
      </c>
      <c r="AD31" s="37">
        <f t="shared" si="12"/>
        <v>0</v>
      </c>
      <c r="AE31" s="45">
        <v>-6.28</v>
      </c>
      <c r="AF31" s="45">
        <v>-8.610549033333335</v>
      </c>
      <c r="AG31" s="42">
        <v>0</v>
      </c>
    </row>
    <row r="32" spans="1:33" ht="15.75" customHeight="1" x14ac:dyDescent="0.2">
      <c r="A32" s="40" t="s">
        <v>90</v>
      </c>
      <c r="B32" s="50" t="s">
        <v>76</v>
      </c>
      <c r="C32" s="14">
        <f t="shared" si="4"/>
        <v>29.99</v>
      </c>
      <c r="D32" s="15">
        <v>3</v>
      </c>
      <c r="E32" s="15">
        <v>0</v>
      </c>
      <c r="F32" s="16">
        <v>89.97</v>
      </c>
      <c r="G32" s="16">
        <v>-0.24</v>
      </c>
      <c r="H32" s="29">
        <f t="shared" si="1"/>
        <v>2.6675558519506501E-3</v>
      </c>
      <c r="I32" s="29">
        <f t="shared" si="2"/>
        <v>0.33544279876857108</v>
      </c>
      <c r="J32" s="30">
        <f t="shared" si="5"/>
        <v>30.179788605208341</v>
      </c>
      <c r="K32" s="30">
        <f t="shared" si="3"/>
        <v>10.059929535069447</v>
      </c>
      <c r="L32" s="15">
        <v>19</v>
      </c>
      <c r="M32" s="31">
        <f t="shared" si="6"/>
        <v>0.15789473684210525</v>
      </c>
      <c r="N32" s="15">
        <v>0</v>
      </c>
      <c r="O32" s="32">
        <f t="shared" ref="O32:P32" si="40">D32/7</f>
        <v>0.42857142857142855</v>
      </c>
      <c r="P32" s="32">
        <f t="shared" si="40"/>
        <v>0</v>
      </c>
      <c r="Q32" s="27">
        <f t="shared" si="8"/>
        <v>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0.33407350115740747</v>
      </c>
      <c r="AD32" s="37">
        <f t="shared" si="12"/>
        <v>-1.3830642947916667</v>
      </c>
      <c r="AE32" s="42">
        <v>-6.28</v>
      </c>
      <c r="AF32" s="42">
        <v>-8.6105490333333297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5.1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Three Tier Serving Stand - 3 Tiered Metal Tray Platter for Cake, Dessert, Shrimp, Appetizers &amp; More")</f>
        <v>Galvanized Three Tier Serving Stand - 3 Tiered Metal Tray Platter for Cake, Dessert, Shrimp, Appetizers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Info!B1:BJ5000""),2,FALSE),"""")"),"B082L2LTYN")</f>
        <v>B082L2LTYN</v>
      </c>
      <c r="B2" s="3" t="s">
        <v>1242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20.126269337254826</v>
      </c>
      <c r="D3" s="5">
        <f>SUM(D4:D99767)</f>
        <v>319</v>
      </c>
      <c r="E3" s="5"/>
      <c r="F3" s="6">
        <f t="shared" ref="F3:G3" si="0">SUM(F4:F99767)</f>
        <v>10204.379999999997</v>
      </c>
      <c r="G3" s="6">
        <f t="shared" si="0"/>
        <v>-27.419999999999998</v>
      </c>
      <c r="H3" s="7">
        <f t="shared" ref="H3:H32" si="1">G3/F3*-1</f>
        <v>2.6870814297389948E-3</v>
      </c>
      <c r="I3" s="8">
        <f t="shared" ref="I3:I32" si="2">J3/F3</f>
        <v>0.29996407329088759</v>
      </c>
      <c r="J3" s="6">
        <f>SUM(J4:J99767)</f>
        <v>3060.9473902080667</v>
      </c>
      <c r="K3" s="6">
        <f t="shared" ref="K3:K32" si="3">J3/D3</f>
        <v>9.5954463642886108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Sheet!a1:g5000""),2,FALSE),"""")"),"3.0 - March
3.0 - April
3.0 - May
3.0 - June
3.0 - July
3.0 - Aug
3.0 - Sept
3.0 - Oct
3.0 - Nov
3.0 - Dec
3.0 - Jan
3.0 - Feb")</f>
        <v>3.0 - March
3.0 - April
3.0 - May
3.0 - June
3.0 - July
3.0 - Aug
3.0 - Sept
3.0 - Oct
3.0 - Nov
3.0 - Dec
3.0 - Jan
3.0 -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21</v>
      </c>
      <c r="X3" s="7">
        <f>W3/D3</f>
        <v>6.5830721003134793E-2</v>
      </c>
      <c r="Y3" s="6"/>
      <c r="Z3" s="5"/>
      <c r="AA3" s="5"/>
      <c r="AB3" s="5"/>
      <c r="AC3" s="5"/>
      <c r="AD3" s="6">
        <f>SUM(AD4:AD99767)</f>
        <v>-132.65066718750003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Info!B2:BZ3000""),37,FALSE)),"""")*-1"),-11.1273289366666)</f>
        <v>-11.127328936666601</v>
      </c>
      <c r="AG3" s="6">
        <f>SUM(AG4:AG99767)</f>
        <v>0</v>
      </c>
    </row>
    <row r="4" spans="1:33" x14ac:dyDescent="0.2">
      <c r="A4" s="1" t="s">
        <v>32</v>
      </c>
      <c r="B4" s="2" t="s">
        <v>661</v>
      </c>
      <c r="C4" s="14">
        <f t="shared" ref="C4:C32" si="4">IFERROR(F4/D4," - ")</f>
        <v>33.99</v>
      </c>
      <c r="D4" s="15">
        <v>11</v>
      </c>
      <c r="E4" s="15">
        <v>0</v>
      </c>
      <c r="F4" s="16">
        <v>373.89000000000004</v>
      </c>
      <c r="G4" s="16">
        <v>-0.67</v>
      </c>
      <c r="H4" s="17">
        <f t="shared" si="1"/>
        <v>1.791970900532242E-3</v>
      </c>
      <c r="I4" s="17">
        <f t="shared" si="2"/>
        <v>0.36912350975554303</v>
      </c>
      <c r="J4" s="16">
        <f t="shared" ref="J4:J32" si="5">F4*0.85+G4+AF4*D4+D4*AE4+AG4+AD4</f>
        <v>138.01158906250001</v>
      </c>
      <c r="K4" s="16">
        <f t="shared" si="3"/>
        <v>12.546508096590911</v>
      </c>
      <c r="L4" s="15">
        <v>46</v>
      </c>
      <c r="M4" s="18">
        <f t="shared" ref="M4:M32" si="6">IFERROR(D4/L4,"-")</f>
        <v>0.2391304347826087</v>
      </c>
      <c r="N4" s="15">
        <v>9</v>
      </c>
      <c r="O4" s="19">
        <f t="shared" ref="O4:P4" si="7">D4/7</f>
        <v>1.5714285714285714</v>
      </c>
      <c r="P4" s="19">
        <f t="shared" si="7"/>
        <v>0</v>
      </c>
      <c r="Q4" s="15">
        <f t="shared" ref="Q4:Q32" si="8">ROUNDDOWN(N4/(O4+P4),0)</f>
        <v>5</v>
      </c>
      <c r="R4" s="15"/>
      <c r="S4" s="20">
        <v>1.72362555720653</v>
      </c>
      <c r="T4" s="2">
        <v>400</v>
      </c>
      <c r="U4" s="2" t="s">
        <v>34</v>
      </c>
      <c r="V4" s="21" t="s">
        <v>34</v>
      </c>
      <c r="W4" s="22">
        <v>2</v>
      </c>
      <c r="X4" s="23">
        <f t="shared" ref="X4:X32" si="9">IFERROR(W4/D4,0)</f>
        <v>0.18181818181818182</v>
      </c>
      <c r="Y4" s="24">
        <f t="shared" ref="Y4:Y32" si="10">IFERROR(G4/(W4+Z4)*-1,0)</f>
        <v>0.22333333333333336</v>
      </c>
      <c r="Z4" s="22">
        <v>1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0.301328125</v>
      </c>
      <c r="AD4" s="24">
        <f t="shared" ref="AD4:AD32" si="12">IFERROR(AB4*AC4*D4*2,0)</f>
        <v>-4.5741609374999994</v>
      </c>
      <c r="AE4" s="24">
        <v>-5.8</v>
      </c>
      <c r="AF4" s="24">
        <v>-10.068250000000001</v>
      </c>
      <c r="AG4" s="24">
        <v>0</v>
      </c>
    </row>
    <row r="5" spans="1:33" ht="15.75" customHeight="1" x14ac:dyDescent="0.2">
      <c r="A5" s="26" t="s">
        <v>35</v>
      </c>
      <c r="B5" s="26" t="s">
        <v>461</v>
      </c>
      <c r="C5" s="14">
        <f t="shared" si="4"/>
        <v>33.99</v>
      </c>
      <c r="D5" s="27">
        <v>5</v>
      </c>
      <c r="E5" s="27">
        <v>0</v>
      </c>
      <c r="F5" s="28">
        <v>169.95000000000002</v>
      </c>
      <c r="G5" s="28">
        <v>-0.47</v>
      </c>
      <c r="H5" s="29">
        <f t="shared" si="1"/>
        <v>2.765519270373639E-3</v>
      </c>
      <c r="I5" s="29">
        <f t="shared" si="2"/>
        <v>0.36814996138570172</v>
      </c>
      <c r="J5" s="30">
        <f t="shared" si="5"/>
        <v>62.567085937500011</v>
      </c>
      <c r="K5" s="30">
        <f t="shared" si="3"/>
        <v>12.513417187500002</v>
      </c>
      <c r="L5" s="27">
        <v>47</v>
      </c>
      <c r="M5" s="31">
        <f t="shared" si="6"/>
        <v>0.10638297872340426</v>
      </c>
      <c r="N5" s="27">
        <v>1</v>
      </c>
      <c r="O5" s="32">
        <f t="shared" ref="O5:P5" si="13">D5/7</f>
        <v>0.7142857142857143</v>
      </c>
      <c r="P5" s="32">
        <f t="shared" si="13"/>
        <v>0</v>
      </c>
      <c r="Q5" s="27">
        <f t="shared" si="8"/>
        <v>1</v>
      </c>
      <c r="R5" s="27"/>
      <c r="S5" s="33" t="e">
        <v>#N/A</v>
      </c>
      <c r="T5" s="26">
        <v>400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" t="s">
        <v>37</v>
      </c>
      <c r="AB5" s="24">
        <f t="shared" si="11"/>
        <v>-0.69</v>
      </c>
      <c r="AC5" s="25">
        <v>0.301328125</v>
      </c>
      <c r="AD5" s="24">
        <f t="shared" si="12"/>
        <v>-2.0791640624999999</v>
      </c>
      <c r="AE5" s="24">
        <v>-5.8</v>
      </c>
      <c r="AF5" s="37">
        <v>-10.068250000000001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400</v>
      </c>
      <c r="U6" s="34">
        <v>204</v>
      </c>
      <c r="V6" s="49" t="s">
        <v>1243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" t="s">
        <v>37</v>
      </c>
      <c r="AB6" s="24">
        <f t="shared" si="11"/>
        <v>-0.69</v>
      </c>
      <c r="AC6" s="25">
        <v>0.301328125</v>
      </c>
      <c r="AD6" s="24">
        <f t="shared" si="12"/>
        <v>0</v>
      </c>
      <c r="AE6" s="24">
        <v>-5.8</v>
      </c>
      <c r="AF6" s="37">
        <v>-10.854427777777779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1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>
        <v>2.3403263403263401</v>
      </c>
      <c r="T7" s="26">
        <v>400</v>
      </c>
      <c r="U7" s="34">
        <v>204</v>
      </c>
      <c r="V7" s="49" t="s">
        <v>1243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" t="s">
        <v>37</v>
      </c>
      <c r="AB7" s="24">
        <f t="shared" si="11"/>
        <v>-0.69</v>
      </c>
      <c r="AC7" s="25">
        <v>0.301328125</v>
      </c>
      <c r="AD7" s="24">
        <f t="shared" si="12"/>
        <v>0</v>
      </c>
      <c r="AE7" s="24">
        <v>-5.8</v>
      </c>
      <c r="AF7" s="37">
        <v>-10.854427777777779</v>
      </c>
      <c r="AG7" s="37">
        <v>0</v>
      </c>
    </row>
    <row r="8" spans="1:33" ht="15.75" customHeight="1" x14ac:dyDescent="0.2">
      <c r="A8" s="26" t="s">
        <v>43</v>
      </c>
      <c r="B8" s="26" t="s">
        <v>461</v>
      </c>
      <c r="C8" s="14">
        <f t="shared" si="4"/>
        <v>33.99</v>
      </c>
      <c r="D8" s="27">
        <v>1</v>
      </c>
      <c r="E8" s="27">
        <v>0</v>
      </c>
      <c r="F8" s="28">
        <v>33.99</v>
      </c>
      <c r="G8" s="28">
        <v>0</v>
      </c>
      <c r="H8" s="29">
        <f t="shared" si="1"/>
        <v>0</v>
      </c>
      <c r="I8" s="29">
        <f t="shared" si="2"/>
        <v>0.34791606906443068</v>
      </c>
      <c r="J8" s="30">
        <f t="shared" si="5"/>
        <v>11.825667187499999</v>
      </c>
      <c r="K8" s="30">
        <f t="shared" si="3"/>
        <v>11.825667187499999</v>
      </c>
      <c r="L8" s="27">
        <v>3</v>
      </c>
      <c r="M8" s="31">
        <f t="shared" si="6"/>
        <v>0.33333333333333331</v>
      </c>
      <c r="N8" s="27">
        <v>1</v>
      </c>
      <c r="O8" s="32">
        <f t="shared" ref="O8:P8" si="16">D8/7</f>
        <v>0.14285714285714285</v>
      </c>
      <c r="P8" s="32">
        <f t="shared" si="16"/>
        <v>0</v>
      </c>
      <c r="Q8" s="27">
        <f t="shared" si="8"/>
        <v>7</v>
      </c>
      <c r="R8" s="27"/>
      <c r="S8" s="33" t="e">
        <v>#N/A</v>
      </c>
      <c r="T8" s="26">
        <v>400</v>
      </c>
      <c r="U8" s="34">
        <v>204</v>
      </c>
      <c r="V8" s="35" t="s">
        <v>1244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" t="s">
        <v>37</v>
      </c>
      <c r="AB8" s="24">
        <f t="shared" si="11"/>
        <v>-0.69</v>
      </c>
      <c r="AC8" s="25">
        <v>0.301328125</v>
      </c>
      <c r="AD8" s="24">
        <f t="shared" si="12"/>
        <v>-0.41583281249999998</v>
      </c>
      <c r="AE8" s="24">
        <v>-5.8</v>
      </c>
      <c r="AF8" s="37">
        <v>-10.85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400</v>
      </c>
      <c r="U9" s="34">
        <v>204</v>
      </c>
      <c r="V9" s="35" t="s">
        <v>1245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-11.159272222222199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>
        <f t="shared" si="4"/>
        <v>33.99</v>
      </c>
      <c r="D10" s="27">
        <v>1</v>
      </c>
      <c r="E10" s="27">
        <v>0</v>
      </c>
      <c r="F10" s="28">
        <v>33.99</v>
      </c>
      <c r="G10" s="28">
        <v>-0.39</v>
      </c>
      <c r="H10" s="29">
        <f t="shared" si="1"/>
        <v>1.1473962930273609E-2</v>
      </c>
      <c r="I10" s="29">
        <f t="shared" si="2"/>
        <v>0.32734318815174462</v>
      </c>
      <c r="J10" s="30">
        <f t="shared" si="5"/>
        <v>11.1263949652778</v>
      </c>
      <c r="K10" s="30">
        <f t="shared" si="3"/>
        <v>11.1263949652778</v>
      </c>
      <c r="L10" s="27">
        <v>8</v>
      </c>
      <c r="M10" s="31">
        <f t="shared" si="6"/>
        <v>0.125</v>
      </c>
      <c r="N10" s="27">
        <v>0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0</v>
      </c>
      <c r="R10" s="27"/>
      <c r="S10" s="33" t="e">
        <v>#N/A</v>
      </c>
      <c r="T10" s="26">
        <v>400</v>
      </c>
      <c r="U10" s="34">
        <v>204</v>
      </c>
      <c r="V10" s="35" t="s">
        <v>1245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0.301328125</v>
      </c>
      <c r="AD10" s="37">
        <f t="shared" si="12"/>
        <v>-0.41583281249999998</v>
      </c>
      <c r="AE10" s="37">
        <v>-5.8</v>
      </c>
      <c r="AF10" s="37">
        <v>-11.159272222222199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1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>
        <v>3.0391061452513899</v>
      </c>
      <c r="T11" s="26">
        <v>400</v>
      </c>
      <c r="U11" s="34">
        <v>204</v>
      </c>
      <c r="V11" s="35" t="s">
        <v>1246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-11.159272222222199</v>
      </c>
      <c r="AG11" s="37">
        <v>0</v>
      </c>
    </row>
    <row r="12" spans="1:33" ht="15.75" customHeight="1" x14ac:dyDescent="0.2">
      <c r="A12" s="26" t="s">
        <v>52</v>
      </c>
      <c r="B12" s="26" t="s">
        <v>1247</v>
      </c>
      <c r="C12" s="14">
        <f t="shared" si="4"/>
        <v>33.99</v>
      </c>
      <c r="D12" s="27">
        <v>1</v>
      </c>
      <c r="E12" s="27">
        <v>0</v>
      </c>
      <c r="F12" s="28">
        <v>33.99</v>
      </c>
      <c r="G12" s="28">
        <v>-1.05</v>
      </c>
      <c r="H12" s="29">
        <f t="shared" si="1"/>
        <v>3.089143865842895E-2</v>
      </c>
      <c r="I12" s="29">
        <f t="shared" si="2"/>
        <v>0.30792571242358929</v>
      </c>
      <c r="J12" s="30">
        <f t="shared" si="5"/>
        <v>10.4663949652778</v>
      </c>
      <c r="K12" s="30">
        <f t="shared" si="3"/>
        <v>10.4663949652778</v>
      </c>
      <c r="L12" s="27">
        <v>24</v>
      </c>
      <c r="M12" s="31">
        <f t="shared" si="6"/>
        <v>4.1666666666666664E-2</v>
      </c>
      <c r="N12" s="27">
        <v>2</v>
      </c>
      <c r="O12" s="32">
        <f t="shared" ref="O12:P12" si="20">D12/7</f>
        <v>0.14285714285714285</v>
      </c>
      <c r="P12" s="32">
        <f t="shared" si="20"/>
        <v>0</v>
      </c>
      <c r="Q12" s="27">
        <f t="shared" si="8"/>
        <v>14</v>
      </c>
      <c r="R12" s="27"/>
      <c r="S12" s="33">
        <v>2.9261744966442902</v>
      </c>
      <c r="T12" s="26">
        <v>400</v>
      </c>
      <c r="U12" s="34">
        <v>204</v>
      </c>
      <c r="V12" s="35" t="s">
        <v>1248</v>
      </c>
      <c r="W12" s="26">
        <v>0</v>
      </c>
      <c r="X12" s="36">
        <f t="shared" si="9"/>
        <v>0</v>
      </c>
      <c r="Y12" s="37">
        <f t="shared" si="10"/>
        <v>0.52500000000000002</v>
      </c>
      <c r="Z12" s="26">
        <v>2</v>
      </c>
      <c r="AA12" s="26" t="s">
        <v>37</v>
      </c>
      <c r="AB12" s="38">
        <f t="shared" si="11"/>
        <v>-0.69</v>
      </c>
      <c r="AC12" s="39">
        <v>0.301328125</v>
      </c>
      <c r="AD12" s="37">
        <f t="shared" si="12"/>
        <v>-0.41583281249999998</v>
      </c>
      <c r="AE12" s="37">
        <v>-5.8</v>
      </c>
      <c r="AF12" s="37">
        <v>-11.159272222222199</v>
      </c>
      <c r="AG12" s="37">
        <v>0</v>
      </c>
    </row>
    <row r="13" spans="1:33" ht="15.75" customHeight="1" x14ac:dyDescent="0.2">
      <c r="A13" s="26" t="s">
        <v>54</v>
      </c>
      <c r="B13" s="26" t="s">
        <v>76</v>
      </c>
      <c r="C13" s="14">
        <f t="shared" si="4"/>
        <v>33.99</v>
      </c>
      <c r="D13" s="27">
        <v>1</v>
      </c>
      <c r="E13" s="27">
        <v>0</v>
      </c>
      <c r="F13" s="30">
        <v>33.99</v>
      </c>
      <c r="G13" s="28">
        <v>-0.78</v>
      </c>
      <c r="H13" s="29">
        <f t="shared" si="1"/>
        <v>2.2947925860547218E-2</v>
      </c>
      <c r="I13" s="29">
        <f t="shared" si="2"/>
        <v>0.31114888263705198</v>
      </c>
      <c r="J13" s="30">
        <f t="shared" si="5"/>
        <v>10.575950520833398</v>
      </c>
      <c r="K13" s="30">
        <f t="shared" si="3"/>
        <v>10.575950520833398</v>
      </c>
      <c r="L13" s="27">
        <v>22</v>
      </c>
      <c r="M13" s="31">
        <f t="shared" si="6"/>
        <v>4.5454545454545456E-2</v>
      </c>
      <c r="N13" s="27">
        <v>0</v>
      </c>
      <c r="O13" s="32">
        <f t="shared" ref="O13:P13" si="21">D13/7</f>
        <v>0.14285714285714285</v>
      </c>
      <c r="P13" s="32">
        <f t="shared" si="21"/>
        <v>0</v>
      </c>
      <c r="Q13" s="27">
        <f t="shared" si="8"/>
        <v>0</v>
      </c>
      <c r="R13" s="27"/>
      <c r="S13" s="33">
        <v>2.92913385826771</v>
      </c>
      <c r="T13" s="26">
        <v>400</v>
      </c>
      <c r="U13" s="34">
        <v>204</v>
      </c>
      <c r="V13" s="35" t="s">
        <v>1249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0.301328125</v>
      </c>
      <c r="AD13" s="37">
        <f t="shared" si="12"/>
        <v>-0.41583281249999998</v>
      </c>
      <c r="AE13" s="37">
        <v>-5.8</v>
      </c>
      <c r="AF13" s="37">
        <v>-11.319716666666601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696</v>
      </c>
      <c r="U14" s="34">
        <v>196</v>
      </c>
      <c r="V14" s="35" t="s">
        <v>1250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-11.319716666666601</v>
      </c>
      <c r="AG14" s="37">
        <v>0</v>
      </c>
    </row>
    <row r="15" spans="1:33" ht="15.75" customHeight="1" x14ac:dyDescent="0.2">
      <c r="A15" s="26" t="s">
        <v>58</v>
      </c>
      <c r="B15" s="26" t="s">
        <v>1251</v>
      </c>
      <c r="C15" s="14">
        <f t="shared" si="4"/>
        <v>33.99</v>
      </c>
      <c r="D15" s="27">
        <v>4</v>
      </c>
      <c r="E15" s="27">
        <v>0</v>
      </c>
      <c r="F15" s="30">
        <v>135.96</v>
      </c>
      <c r="G15" s="28">
        <v>-0.98</v>
      </c>
      <c r="H15" s="29">
        <f t="shared" si="1"/>
        <v>7.208002353633421E-3</v>
      </c>
      <c r="I15" s="29">
        <f t="shared" si="2"/>
        <v>0.32688880614396582</v>
      </c>
      <c r="J15" s="30">
        <f t="shared" si="5"/>
        <v>44.443802083333594</v>
      </c>
      <c r="K15" s="30">
        <f t="shared" si="3"/>
        <v>11.110950520833399</v>
      </c>
      <c r="L15" s="27">
        <v>22</v>
      </c>
      <c r="M15" s="31">
        <f t="shared" si="6"/>
        <v>0.18181818181818182</v>
      </c>
      <c r="N15" s="27">
        <v>199</v>
      </c>
      <c r="O15" s="32">
        <f t="shared" ref="O15:P15" si="23">D15/7</f>
        <v>0.5714285714285714</v>
      </c>
      <c r="P15" s="32">
        <f t="shared" si="23"/>
        <v>0</v>
      </c>
      <c r="Q15" s="27">
        <f t="shared" si="8"/>
        <v>348</v>
      </c>
      <c r="R15" s="27"/>
      <c r="S15" s="33">
        <v>0.495867768595041</v>
      </c>
      <c r="T15" s="26">
        <v>696</v>
      </c>
      <c r="U15" s="34">
        <v>196</v>
      </c>
      <c r="V15" s="35" t="s">
        <v>1252</v>
      </c>
      <c r="W15" s="26">
        <v>2</v>
      </c>
      <c r="X15" s="36">
        <f t="shared" si="9"/>
        <v>0.5</v>
      </c>
      <c r="Y15" s="37">
        <f t="shared" si="10"/>
        <v>0.49</v>
      </c>
      <c r="Z15" s="26">
        <v>0</v>
      </c>
      <c r="AA15" s="26" t="s">
        <v>37</v>
      </c>
      <c r="AB15" s="38">
        <f t="shared" si="11"/>
        <v>-0.69</v>
      </c>
      <c r="AC15" s="39">
        <v>0.301328125</v>
      </c>
      <c r="AD15" s="37">
        <f t="shared" si="12"/>
        <v>-1.6633312499999999</v>
      </c>
      <c r="AE15" s="37">
        <v>-5.8</v>
      </c>
      <c r="AF15" s="37">
        <v>-11.319716666666601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31.305</v>
      </c>
      <c r="D16" s="27">
        <v>10</v>
      </c>
      <c r="E16" s="27">
        <v>0</v>
      </c>
      <c r="F16" s="30">
        <v>313.05</v>
      </c>
      <c r="G16" s="28">
        <v>-1.81</v>
      </c>
      <c r="H16" s="29">
        <f t="shared" si="1"/>
        <v>5.7818239897779906E-3</v>
      </c>
      <c r="I16" s="29">
        <f t="shared" si="2"/>
        <v>0.28406645969760103</v>
      </c>
      <c r="J16" s="30">
        <f t="shared" si="5"/>
        <v>88.927005208334009</v>
      </c>
      <c r="K16" s="30">
        <f t="shared" si="3"/>
        <v>8.8927005208334009</v>
      </c>
      <c r="L16" s="27">
        <v>53</v>
      </c>
      <c r="M16" s="31">
        <f t="shared" si="6"/>
        <v>0.18867924528301888</v>
      </c>
      <c r="N16" s="27">
        <v>189</v>
      </c>
      <c r="O16" s="32">
        <f t="shared" ref="O16:P16" si="24">D16/7</f>
        <v>1.4285714285714286</v>
      </c>
      <c r="P16" s="32">
        <f t="shared" si="24"/>
        <v>0</v>
      </c>
      <c r="Q16" s="27">
        <f t="shared" si="8"/>
        <v>132</v>
      </c>
      <c r="R16" s="27"/>
      <c r="S16" s="33">
        <v>0.56387665198237802</v>
      </c>
      <c r="T16" s="26">
        <v>696</v>
      </c>
      <c r="U16" s="34">
        <v>196</v>
      </c>
      <c r="V16" s="35" t="s">
        <v>1253</v>
      </c>
      <c r="W16" s="26">
        <v>0</v>
      </c>
      <c r="X16" s="36">
        <f t="shared" si="9"/>
        <v>0</v>
      </c>
      <c r="Y16" s="37">
        <f t="shared" si="10"/>
        <v>1.81</v>
      </c>
      <c r="Z16" s="26">
        <v>1</v>
      </c>
      <c r="AA16" s="26" t="s">
        <v>37</v>
      </c>
      <c r="AB16" s="38">
        <f t="shared" si="11"/>
        <v>-0.69</v>
      </c>
      <c r="AC16" s="39">
        <v>0.301328125</v>
      </c>
      <c r="AD16" s="37">
        <f t="shared" si="12"/>
        <v>-4.1583281249999997</v>
      </c>
      <c r="AE16" s="37">
        <v>-5.8</v>
      </c>
      <c r="AF16" s="37">
        <v>-11.319716666666601</v>
      </c>
      <c r="AG16" s="37">
        <v>0</v>
      </c>
    </row>
    <row r="17" spans="1:33" ht="15.75" customHeight="1" x14ac:dyDescent="0.2">
      <c r="A17" s="26" t="s">
        <v>61</v>
      </c>
      <c r="B17" s="26" t="s">
        <v>211</v>
      </c>
      <c r="C17" s="14">
        <f t="shared" si="4"/>
        <v>29.756999999999998</v>
      </c>
      <c r="D17" s="27">
        <v>20</v>
      </c>
      <c r="E17" s="27">
        <v>1</v>
      </c>
      <c r="F17" s="30">
        <v>595.14</v>
      </c>
      <c r="G17" s="28">
        <v>-1.6300000000000001</v>
      </c>
      <c r="H17" s="29">
        <f t="shared" si="1"/>
        <v>2.7388513627045739E-3</v>
      </c>
      <c r="I17" s="29">
        <f t="shared" si="2"/>
        <v>0.25796957088528416</v>
      </c>
      <c r="J17" s="30">
        <f t="shared" si="5"/>
        <v>153.528010416668</v>
      </c>
      <c r="K17" s="30">
        <f t="shared" si="3"/>
        <v>7.6764005208333996</v>
      </c>
      <c r="L17" s="27">
        <v>58</v>
      </c>
      <c r="M17" s="31">
        <f t="shared" si="6"/>
        <v>0.34482758620689657</v>
      </c>
      <c r="N17" s="27">
        <v>158</v>
      </c>
      <c r="O17" s="32">
        <f t="shared" ref="O17:P17" si="25">D17/7</f>
        <v>2.8571428571428572</v>
      </c>
      <c r="P17" s="32">
        <f t="shared" si="25"/>
        <v>0.14285714285714285</v>
      </c>
      <c r="Q17" s="27">
        <f t="shared" si="8"/>
        <v>52</v>
      </c>
      <c r="R17" s="27"/>
      <c r="S17" s="33">
        <v>0.84422110552763796</v>
      </c>
      <c r="T17" s="26">
        <v>696</v>
      </c>
      <c r="U17" s="34">
        <v>196</v>
      </c>
      <c r="V17" s="35" t="s">
        <v>1253</v>
      </c>
      <c r="W17" s="26">
        <v>2</v>
      </c>
      <c r="X17" s="36">
        <f t="shared" si="9"/>
        <v>0.1</v>
      </c>
      <c r="Y17" s="37">
        <f t="shared" si="10"/>
        <v>0.81500000000000006</v>
      </c>
      <c r="Z17" s="26">
        <v>0</v>
      </c>
      <c r="AA17" s="26" t="s">
        <v>37</v>
      </c>
      <c r="AB17" s="38">
        <f t="shared" si="11"/>
        <v>-0.69</v>
      </c>
      <c r="AC17" s="39">
        <v>0.301328125</v>
      </c>
      <c r="AD17" s="37">
        <f t="shared" si="12"/>
        <v>-8.3166562499999994</v>
      </c>
      <c r="AE17" s="37">
        <v>-5.8</v>
      </c>
      <c r="AF17" s="37">
        <v>-11.319716666666601</v>
      </c>
      <c r="AG17" s="37">
        <v>0</v>
      </c>
    </row>
    <row r="18" spans="1:33" ht="15.75" customHeight="1" x14ac:dyDescent="0.2">
      <c r="A18" s="26" t="s">
        <v>62</v>
      </c>
      <c r="B18" s="26" t="s">
        <v>1254</v>
      </c>
      <c r="C18" s="14">
        <f t="shared" si="4"/>
        <v>28.967500000000012</v>
      </c>
      <c r="D18" s="27">
        <v>48</v>
      </c>
      <c r="E18" s="27">
        <v>1</v>
      </c>
      <c r="F18" s="30">
        <v>1390.4400000000005</v>
      </c>
      <c r="G18" s="28">
        <v>-3.4899999999999998</v>
      </c>
      <c r="H18" s="29">
        <f t="shared" si="1"/>
        <v>2.5099968355340747E-3</v>
      </c>
      <c r="I18" s="29">
        <f t="shared" si="2"/>
        <v>0.24213747087253212</v>
      </c>
      <c r="J18" s="30">
        <f t="shared" si="5"/>
        <v>336.67762500000367</v>
      </c>
      <c r="K18" s="30">
        <f t="shared" si="3"/>
        <v>7.0141171875000765</v>
      </c>
      <c r="L18" s="27">
        <v>118</v>
      </c>
      <c r="M18" s="31">
        <f t="shared" si="6"/>
        <v>0.40677966101694918</v>
      </c>
      <c r="N18" s="27">
        <v>122</v>
      </c>
      <c r="O18" s="32">
        <f t="shared" ref="O18:P18" si="26">D18/7</f>
        <v>6.8571428571428568</v>
      </c>
      <c r="P18" s="32">
        <f t="shared" si="26"/>
        <v>0.14285714285714285</v>
      </c>
      <c r="Q18" s="27">
        <f t="shared" si="8"/>
        <v>17</v>
      </c>
      <c r="R18" s="27"/>
      <c r="S18" s="33">
        <v>2.3636363636363602</v>
      </c>
      <c r="T18" s="26">
        <v>696</v>
      </c>
      <c r="U18" s="34">
        <v>196</v>
      </c>
      <c r="V18" s="35" t="s">
        <v>1253</v>
      </c>
      <c r="W18" s="26">
        <v>1</v>
      </c>
      <c r="X18" s="36">
        <f t="shared" si="9"/>
        <v>2.0833333333333332E-2</v>
      </c>
      <c r="Y18" s="37">
        <f t="shared" si="10"/>
        <v>3.4899999999999998</v>
      </c>
      <c r="Z18" s="26">
        <v>0</v>
      </c>
      <c r="AA18" s="26" t="s">
        <v>37</v>
      </c>
      <c r="AB18" s="38">
        <f t="shared" si="11"/>
        <v>-0.69</v>
      </c>
      <c r="AC18" s="39">
        <v>0.301328125</v>
      </c>
      <c r="AD18" s="37">
        <f t="shared" si="12"/>
        <v>-19.959975</v>
      </c>
      <c r="AE18" s="37">
        <v>-5.8</v>
      </c>
      <c r="AF18" s="37">
        <v>-11.319716666666601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32.051764705882363</v>
      </c>
      <c r="D19" s="27">
        <v>17</v>
      </c>
      <c r="E19" s="27">
        <v>0</v>
      </c>
      <c r="F19" s="30">
        <v>544.88000000000011</v>
      </c>
      <c r="G19" s="28">
        <v>-3.1</v>
      </c>
      <c r="H19" s="29">
        <f t="shared" si="1"/>
        <v>5.6893260901482888E-3</v>
      </c>
      <c r="I19" s="29">
        <f t="shared" si="2"/>
        <v>0.29720976885583378</v>
      </c>
      <c r="J19" s="30">
        <f t="shared" si="5"/>
        <v>161.94365885416673</v>
      </c>
      <c r="K19" s="30">
        <f t="shared" si="3"/>
        <v>9.5260975796568665</v>
      </c>
      <c r="L19" s="27">
        <v>92</v>
      </c>
      <c r="M19" s="31">
        <f t="shared" si="6"/>
        <v>0.18478260869565216</v>
      </c>
      <c r="N19" s="27">
        <v>211</v>
      </c>
      <c r="O19" s="32">
        <f t="shared" ref="O19:P19" si="27">D19/7</f>
        <v>2.4285714285714284</v>
      </c>
      <c r="P19" s="32">
        <f t="shared" si="27"/>
        <v>0</v>
      </c>
      <c r="Q19" s="27">
        <f t="shared" si="8"/>
        <v>86</v>
      </c>
      <c r="R19" s="27"/>
      <c r="S19" s="33">
        <v>3.06451612903225</v>
      </c>
      <c r="T19" s="26">
        <v>500</v>
      </c>
      <c r="U19" s="34" t="s">
        <v>34</v>
      </c>
      <c r="V19" s="35" t="s">
        <v>34</v>
      </c>
      <c r="W19" s="26">
        <v>3</v>
      </c>
      <c r="X19" s="36">
        <f t="shared" si="9"/>
        <v>0.17647058823529413</v>
      </c>
      <c r="Y19" s="37">
        <f t="shared" si="10"/>
        <v>1.0333333333333334</v>
      </c>
      <c r="Z19" s="26">
        <v>0</v>
      </c>
      <c r="AA19" s="26" t="s">
        <v>37</v>
      </c>
      <c r="AB19" s="38">
        <f t="shared" si="11"/>
        <v>-0.69</v>
      </c>
      <c r="AC19" s="39">
        <v>0.301328125</v>
      </c>
      <c r="AD19" s="37">
        <f t="shared" si="12"/>
        <v>-7.0691578124999994</v>
      </c>
      <c r="AE19" s="37">
        <v>-5.8</v>
      </c>
      <c r="AF19" s="37">
        <v>-11.319716666666668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32.06421052631579</v>
      </c>
      <c r="D20" s="27">
        <v>19</v>
      </c>
      <c r="E20" s="27">
        <v>0</v>
      </c>
      <c r="F20" s="30">
        <v>609.22</v>
      </c>
      <c r="G20" s="28">
        <v>-2.5500000000000003</v>
      </c>
      <c r="H20" s="29">
        <f t="shared" si="1"/>
        <v>4.1856800498998722E-3</v>
      </c>
      <c r="I20" s="29">
        <f t="shared" si="2"/>
        <v>0.29892577376946483</v>
      </c>
      <c r="J20" s="30">
        <f t="shared" si="5"/>
        <v>182.11155989583338</v>
      </c>
      <c r="K20" s="30">
        <f t="shared" si="3"/>
        <v>9.5848189418859668</v>
      </c>
      <c r="L20" s="27">
        <v>74</v>
      </c>
      <c r="M20" s="31">
        <f t="shared" si="6"/>
        <v>0.25675675675675674</v>
      </c>
      <c r="N20" s="27">
        <v>191</v>
      </c>
      <c r="O20" s="32">
        <f t="shared" ref="O20:P20" si="28">D20/7</f>
        <v>2.7142857142857144</v>
      </c>
      <c r="P20" s="32">
        <f t="shared" si="28"/>
        <v>0</v>
      </c>
      <c r="Q20" s="27">
        <f t="shared" si="8"/>
        <v>70</v>
      </c>
      <c r="R20" s="27"/>
      <c r="S20" s="33">
        <v>1.1527093596059099</v>
      </c>
      <c r="T20" s="26">
        <v>500</v>
      </c>
      <c r="U20" s="34" t="s">
        <v>34</v>
      </c>
      <c r="V20" s="35" t="s">
        <v>34</v>
      </c>
      <c r="W20" s="26">
        <v>3</v>
      </c>
      <c r="X20" s="36">
        <f t="shared" si="9"/>
        <v>0.15789473684210525</v>
      </c>
      <c r="Y20" s="37">
        <f t="shared" si="10"/>
        <v>0.63750000000000007</v>
      </c>
      <c r="Z20" s="26">
        <v>1</v>
      </c>
      <c r="AA20" s="26" t="s">
        <v>37</v>
      </c>
      <c r="AB20" s="38">
        <f t="shared" si="11"/>
        <v>-0.69</v>
      </c>
      <c r="AC20" s="39">
        <v>0.301328125</v>
      </c>
      <c r="AD20" s="37">
        <f t="shared" si="12"/>
        <v>-7.9008234374999997</v>
      </c>
      <c r="AE20" s="37">
        <v>-5.8</v>
      </c>
      <c r="AF20" s="37">
        <v>-11.319716666666668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31.99545454545455</v>
      </c>
      <c r="D21" s="27">
        <v>11</v>
      </c>
      <c r="E21" s="27">
        <v>1</v>
      </c>
      <c r="F21" s="30">
        <v>351.95000000000005</v>
      </c>
      <c r="G21" s="28">
        <v>-1.4</v>
      </c>
      <c r="H21" s="29">
        <f t="shared" si="1"/>
        <v>3.9778377610456021E-3</v>
      </c>
      <c r="I21" s="29">
        <f t="shared" si="2"/>
        <v>0.29795839104749738</v>
      </c>
      <c r="J21" s="30">
        <f t="shared" si="5"/>
        <v>104.86645572916672</v>
      </c>
      <c r="K21" s="30">
        <f t="shared" si="3"/>
        <v>9.5333141571969744</v>
      </c>
      <c r="L21" s="27">
        <v>30</v>
      </c>
      <c r="M21" s="31">
        <f t="shared" si="6"/>
        <v>0.36666666666666664</v>
      </c>
      <c r="N21" s="27">
        <v>168</v>
      </c>
      <c r="O21" s="32">
        <f t="shared" ref="O21:P21" si="29">D21/7</f>
        <v>1.5714285714285714</v>
      </c>
      <c r="P21" s="32">
        <f t="shared" si="29"/>
        <v>0.14285714285714285</v>
      </c>
      <c r="Q21" s="27">
        <f t="shared" si="8"/>
        <v>98</v>
      </c>
      <c r="R21" s="27"/>
      <c r="S21" s="33">
        <v>1.4308943089430799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0.301328125</v>
      </c>
      <c r="AD21" s="37">
        <f t="shared" si="12"/>
        <v>-4.5741609374999994</v>
      </c>
      <c r="AE21" s="37">
        <v>-5.8</v>
      </c>
      <c r="AF21" s="37">
        <v>-11.319716666666668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31.990000000000006</v>
      </c>
      <c r="D22" s="27">
        <v>14</v>
      </c>
      <c r="E22" s="27">
        <v>2</v>
      </c>
      <c r="F22" s="28">
        <v>447.86000000000007</v>
      </c>
      <c r="G22" s="28">
        <v>-1.02</v>
      </c>
      <c r="H22" s="29">
        <f t="shared" si="1"/>
        <v>2.2774974322332868E-3</v>
      </c>
      <c r="I22" s="29">
        <f t="shared" si="2"/>
        <v>0.29956528221244738</v>
      </c>
      <c r="J22" s="30">
        <f t="shared" si="5"/>
        <v>134.16330729166671</v>
      </c>
      <c r="K22" s="30">
        <f t="shared" si="3"/>
        <v>9.5830933779761942</v>
      </c>
      <c r="L22" s="27">
        <v>55</v>
      </c>
      <c r="M22" s="31">
        <f t="shared" si="6"/>
        <v>0.25454545454545452</v>
      </c>
      <c r="N22" s="27">
        <v>164</v>
      </c>
      <c r="O22" s="32">
        <f t="shared" ref="O22:P22" si="30">D22/7</f>
        <v>2</v>
      </c>
      <c r="P22" s="32">
        <f t="shared" si="30"/>
        <v>0.2857142857142857</v>
      </c>
      <c r="Q22" s="27">
        <f t="shared" si="8"/>
        <v>71</v>
      </c>
      <c r="R22" s="27"/>
      <c r="S22" s="33">
        <v>1.94098360655737</v>
      </c>
      <c r="T22" s="26" t="s">
        <v>34</v>
      </c>
      <c r="U22" s="34" t="s">
        <v>34</v>
      </c>
      <c r="V22" s="35" t="s">
        <v>34</v>
      </c>
      <c r="W22" s="26">
        <v>2</v>
      </c>
      <c r="X22" s="36">
        <f t="shared" si="9"/>
        <v>0.14285714285714285</v>
      </c>
      <c r="Y22" s="37">
        <f t="shared" si="10"/>
        <v>0.51</v>
      </c>
      <c r="Z22" s="26">
        <v>0</v>
      </c>
      <c r="AA22" s="26" t="s">
        <v>37</v>
      </c>
      <c r="AB22" s="38">
        <f t="shared" si="11"/>
        <v>-0.69</v>
      </c>
      <c r="AC22" s="39">
        <v>0.301328125</v>
      </c>
      <c r="AD22" s="37">
        <f t="shared" si="12"/>
        <v>-5.8216593749999994</v>
      </c>
      <c r="AE22" s="37">
        <v>-5.8</v>
      </c>
      <c r="AF22" s="37">
        <v>-11.319716666666668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32.000909090909097</v>
      </c>
      <c r="D23" s="27">
        <v>22</v>
      </c>
      <c r="E23" s="27">
        <v>0</v>
      </c>
      <c r="F23" s="30">
        <v>704.0200000000001</v>
      </c>
      <c r="G23" s="28">
        <v>-1.0999999999999999</v>
      </c>
      <c r="H23" s="29">
        <f t="shared" si="1"/>
        <v>1.5624556120564753E-3</v>
      </c>
      <c r="I23" s="29">
        <f t="shared" si="2"/>
        <v>0.30046719050358417</v>
      </c>
      <c r="J23" s="30">
        <f t="shared" si="5"/>
        <v>211.53491145833334</v>
      </c>
      <c r="K23" s="30">
        <f t="shared" si="3"/>
        <v>9.6152232481060604</v>
      </c>
      <c r="L23" s="27">
        <v>53</v>
      </c>
      <c r="M23" s="31">
        <f t="shared" si="6"/>
        <v>0.41509433962264153</v>
      </c>
      <c r="N23" s="27">
        <v>145</v>
      </c>
      <c r="O23" s="32">
        <f t="shared" ref="O23:P23" si="31">D23/7</f>
        <v>3.1428571428571428</v>
      </c>
      <c r="P23" s="32">
        <f t="shared" si="31"/>
        <v>0</v>
      </c>
      <c r="Q23" s="27">
        <f t="shared" si="8"/>
        <v>46</v>
      </c>
      <c r="R23" s="27"/>
      <c r="S23" s="33">
        <v>2.2332155477031801</v>
      </c>
      <c r="T23" s="26">
        <v>500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1.0999999999999999</v>
      </c>
      <c r="Z23" s="26">
        <v>1</v>
      </c>
      <c r="AA23" s="26" t="s">
        <v>37</v>
      </c>
      <c r="AB23" s="38">
        <f t="shared" si="11"/>
        <v>-0.69</v>
      </c>
      <c r="AC23" s="39">
        <v>0.301328125</v>
      </c>
      <c r="AD23" s="37">
        <f t="shared" si="12"/>
        <v>-9.1483218749999988</v>
      </c>
      <c r="AE23" s="37">
        <v>-5.8</v>
      </c>
      <c r="AF23" s="37">
        <v>-11.319716666666668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31.081481481481486</v>
      </c>
      <c r="D24" s="27">
        <v>27</v>
      </c>
      <c r="E24" s="27">
        <v>0</v>
      </c>
      <c r="F24" s="30">
        <v>839.20000000000016</v>
      </c>
      <c r="G24" s="30">
        <v>-1.0900000000000001</v>
      </c>
      <c r="H24" s="29">
        <f t="shared" si="1"/>
        <v>1.2988560533841753E-3</v>
      </c>
      <c r="I24" s="29">
        <f t="shared" si="2"/>
        <v>0.28452116785331272</v>
      </c>
      <c r="J24" s="30">
        <f t="shared" si="5"/>
        <v>238.7701640625001</v>
      </c>
      <c r="K24" s="30">
        <f t="shared" si="3"/>
        <v>8.8433394097222262</v>
      </c>
      <c r="L24" s="27">
        <v>83</v>
      </c>
      <c r="M24" s="31">
        <f t="shared" si="6"/>
        <v>0.3253012048192771</v>
      </c>
      <c r="N24" s="27">
        <v>118</v>
      </c>
      <c r="O24" s="32">
        <f t="shared" ref="O24:P24" si="32">D24/7</f>
        <v>3.8571428571428572</v>
      </c>
      <c r="P24" s="32">
        <f t="shared" si="32"/>
        <v>0</v>
      </c>
      <c r="Q24" s="27">
        <f t="shared" si="8"/>
        <v>30</v>
      </c>
      <c r="R24" s="27"/>
      <c r="S24" s="33">
        <v>1.37777777777777</v>
      </c>
      <c r="T24" s="26">
        <v>500</v>
      </c>
      <c r="U24" s="34" t="s">
        <v>34</v>
      </c>
      <c r="V24" s="35" t="s">
        <v>34</v>
      </c>
      <c r="W24" s="26">
        <v>1</v>
      </c>
      <c r="X24" s="36">
        <f t="shared" si="9"/>
        <v>3.7037037037037035E-2</v>
      </c>
      <c r="Y24" s="37">
        <f t="shared" si="10"/>
        <v>1.0900000000000001</v>
      </c>
      <c r="Z24" s="26">
        <v>0</v>
      </c>
      <c r="AA24" s="26" t="s">
        <v>37</v>
      </c>
      <c r="AB24" s="38">
        <f t="shared" si="11"/>
        <v>-0.69</v>
      </c>
      <c r="AC24" s="39">
        <v>0.301328125</v>
      </c>
      <c r="AD24" s="37">
        <f t="shared" si="12"/>
        <v>-11.227485937499999</v>
      </c>
      <c r="AE24" s="37">
        <v>-5.8</v>
      </c>
      <c r="AF24" s="37">
        <v>-11.319716666666668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32.18</v>
      </c>
      <c r="D25" s="15">
        <v>30</v>
      </c>
      <c r="E25" s="15">
        <v>0</v>
      </c>
      <c r="F25" s="16">
        <v>965.4</v>
      </c>
      <c r="G25" s="16">
        <v>-1.75</v>
      </c>
      <c r="H25" s="29">
        <f t="shared" si="1"/>
        <v>1.8127201160140875E-3</v>
      </c>
      <c r="I25" s="29">
        <f t="shared" si="2"/>
        <v>0.30325773319349481</v>
      </c>
      <c r="J25" s="30">
        <f t="shared" si="5"/>
        <v>292.76501562499988</v>
      </c>
      <c r="K25" s="30">
        <f t="shared" si="3"/>
        <v>9.7588338541666619</v>
      </c>
      <c r="L25" s="15">
        <v>76</v>
      </c>
      <c r="M25" s="31">
        <f t="shared" si="6"/>
        <v>0.39473684210526316</v>
      </c>
      <c r="N25" s="15">
        <v>84</v>
      </c>
      <c r="O25" s="32">
        <f t="shared" ref="O25:P25" si="33">D25/7</f>
        <v>4.2857142857142856</v>
      </c>
      <c r="P25" s="32">
        <f t="shared" si="33"/>
        <v>0</v>
      </c>
      <c r="Q25" s="27">
        <f t="shared" si="8"/>
        <v>19</v>
      </c>
      <c r="R25" s="27"/>
      <c r="S25" s="41">
        <v>1.80293501048218</v>
      </c>
      <c r="T25" s="26">
        <v>500</v>
      </c>
      <c r="U25" s="34" t="s">
        <v>34</v>
      </c>
      <c r="V25" s="35" t="s">
        <v>34</v>
      </c>
      <c r="W25" s="40">
        <v>3</v>
      </c>
      <c r="X25" s="36">
        <f t="shared" si="9"/>
        <v>0.1</v>
      </c>
      <c r="Y25" s="37">
        <f t="shared" si="10"/>
        <v>0.4375</v>
      </c>
      <c r="Z25" s="40">
        <v>1</v>
      </c>
      <c r="AA25" s="26" t="s">
        <v>37</v>
      </c>
      <c r="AB25" s="38">
        <f t="shared" si="11"/>
        <v>-0.69</v>
      </c>
      <c r="AC25" s="39">
        <v>0.301328125</v>
      </c>
      <c r="AD25" s="37">
        <f t="shared" si="12"/>
        <v>-12.474984375</v>
      </c>
      <c r="AE25" s="42">
        <v>-5.8</v>
      </c>
      <c r="AF25" s="42">
        <v>-11.32</v>
      </c>
      <c r="AG25" s="42">
        <v>0</v>
      </c>
    </row>
    <row r="26" spans="1:33" ht="15.75" customHeight="1" x14ac:dyDescent="0.2">
      <c r="A26" s="40" t="s">
        <v>75</v>
      </c>
      <c r="B26" s="40" t="s">
        <v>1255</v>
      </c>
      <c r="C26" s="14">
        <f t="shared" si="4"/>
        <v>32.931666666666665</v>
      </c>
      <c r="D26" s="15">
        <v>30</v>
      </c>
      <c r="E26" s="15">
        <v>0</v>
      </c>
      <c r="F26" s="16">
        <v>987.95</v>
      </c>
      <c r="G26" s="16">
        <v>-1.69</v>
      </c>
      <c r="H26" s="29">
        <f t="shared" si="1"/>
        <v>1.7106128852674729E-3</v>
      </c>
      <c r="I26" s="29">
        <f t="shared" si="2"/>
        <v>0.31034062009717284</v>
      </c>
      <c r="J26" s="30">
        <f t="shared" si="5"/>
        <v>306.60101562500193</v>
      </c>
      <c r="K26" s="30">
        <f t="shared" si="3"/>
        <v>10.220033854166731</v>
      </c>
      <c r="L26" s="15">
        <v>65</v>
      </c>
      <c r="M26" s="31">
        <f t="shared" si="6"/>
        <v>0.46153846153846156</v>
      </c>
      <c r="N26" s="15">
        <v>62</v>
      </c>
      <c r="O26" s="32">
        <f t="shared" ref="O26:P26" si="34">D26/7</f>
        <v>4.2857142857142856</v>
      </c>
      <c r="P26" s="32">
        <f t="shared" si="34"/>
        <v>0</v>
      </c>
      <c r="Q26" s="27">
        <f t="shared" si="8"/>
        <v>14</v>
      </c>
      <c r="R26" s="27"/>
      <c r="S26" s="41">
        <v>2.3762376237623761</v>
      </c>
      <c r="T26" s="26">
        <v>500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0.301328125</v>
      </c>
      <c r="AD26" s="37">
        <f t="shared" si="12"/>
        <v>-12.474984375</v>
      </c>
      <c r="AE26" s="42">
        <v>-5.98</v>
      </c>
      <c r="AF26" s="42">
        <v>-11.319716666666601</v>
      </c>
      <c r="AG26" s="42">
        <v>0</v>
      </c>
    </row>
    <row r="27" spans="1:33" ht="15.75" customHeight="1" x14ac:dyDescent="0.2">
      <c r="A27" s="40" t="s">
        <v>77</v>
      </c>
      <c r="B27" s="40" t="s">
        <v>1256</v>
      </c>
      <c r="C27" s="14">
        <f t="shared" si="4"/>
        <v>33.258461538461539</v>
      </c>
      <c r="D27" s="15">
        <v>26</v>
      </c>
      <c r="E27" s="15">
        <v>0</v>
      </c>
      <c r="F27" s="16">
        <v>864.72</v>
      </c>
      <c r="G27" s="16">
        <v>-1.38</v>
      </c>
      <c r="H27" s="29">
        <f t="shared" si="1"/>
        <v>1.5958923119622536E-3</v>
      </c>
      <c r="I27" s="29">
        <f t="shared" si="2"/>
        <v>0.31574118043027616</v>
      </c>
      <c r="J27" s="30">
        <f t="shared" si="5"/>
        <v>273.02771354166839</v>
      </c>
      <c r="K27" s="30">
        <f t="shared" si="3"/>
        <v>10.501065905448785</v>
      </c>
      <c r="L27" s="15">
        <v>60</v>
      </c>
      <c r="M27" s="31">
        <f t="shared" si="6"/>
        <v>0.43333333333333335</v>
      </c>
      <c r="N27" s="15">
        <v>30</v>
      </c>
      <c r="O27" s="32">
        <f t="shared" ref="O27:P27" si="35">D27/7</f>
        <v>3.7142857142857144</v>
      </c>
      <c r="P27" s="32">
        <f t="shared" si="35"/>
        <v>0</v>
      </c>
      <c r="Q27" s="27">
        <f t="shared" si="8"/>
        <v>8</v>
      </c>
      <c r="R27" s="27"/>
      <c r="S27" s="41">
        <v>3.4952681388012619</v>
      </c>
      <c r="T27" s="26">
        <v>500</v>
      </c>
      <c r="U27" s="34" t="s">
        <v>34</v>
      </c>
      <c r="V27" s="35" t="s">
        <v>34</v>
      </c>
      <c r="W27" s="40">
        <v>1</v>
      </c>
      <c r="X27" s="36">
        <f t="shared" si="9"/>
        <v>3.8461538461538464E-2</v>
      </c>
      <c r="Y27" s="37">
        <f t="shared" si="10"/>
        <v>1.38</v>
      </c>
      <c r="Z27" s="40">
        <v>0</v>
      </c>
      <c r="AA27" s="26" t="s">
        <v>37</v>
      </c>
      <c r="AB27" s="38">
        <f t="shared" si="11"/>
        <v>-0.69</v>
      </c>
      <c r="AC27" s="39">
        <v>0.301328125</v>
      </c>
      <c r="AD27" s="37">
        <f t="shared" si="12"/>
        <v>-10.811653124999999</v>
      </c>
      <c r="AE27" s="42">
        <v>-5.98</v>
      </c>
      <c r="AF27" s="42">
        <v>-11.319716666666601</v>
      </c>
      <c r="AG27" s="42">
        <v>0</v>
      </c>
    </row>
    <row r="28" spans="1:33" ht="15.75" customHeight="1" x14ac:dyDescent="0.2">
      <c r="A28" s="40" t="s">
        <v>79</v>
      </c>
      <c r="B28" s="26" t="s">
        <v>1186</v>
      </c>
      <c r="C28" s="14">
        <f t="shared" si="4"/>
        <v>36.767777777777781</v>
      </c>
      <c r="D28" s="15">
        <v>9</v>
      </c>
      <c r="E28" s="15">
        <v>0</v>
      </c>
      <c r="F28" s="16">
        <v>330.91</v>
      </c>
      <c r="G28" s="16">
        <v>-0.90999999999999992</v>
      </c>
      <c r="H28" s="29">
        <f t="shared" si="1"/>
        <v>2.7499924450757E-3</v>
      </c>
      <c r="I28" s="29">
        <f t="shared" si="2"/>
        <v>0.36542732068387346</v>
      </c>
      <c r="J28" s="30">
        <f t="shared" si="5"/>
        <v>120.92355468750057</v>
      </c>
      <c r="K28" s="30">
        <f t="shared" si="3"/>
        <v>13.435950520833396</v>
      </c>
      <c r="L28" s="15">
        <v>42</v>
      </c>
      <c r="M28" s="31">
        <f t="shared" si="6"/>
        <v>0.21428571428571427</v>
      </c>
      <c r="N28" s="15">
        <v>47</v>
      </c>
      <c r="O28" s="32">
        <f t="shared" ref="O28:P28" si="36">D28/7</f>
        <v>1.2857142857142858</v>
      </c>
      <c r="P28" s="32">
        <f t="shared" si="36"/>
        <v>0</v>
      </c>
      <c r="Q28" s="27">
        <f t="shared" si="8"/>
        <v>36</v>
      </c>
      <c r="R28" s="27"/>
      <c r="S28" s="41">
        <v>1.861842105263158</v>
      </c>
      <c r="T28" s="40" t="s">
        <v>34</v>
      </c>
      <c r="U28" s="22">
        <v>36</v>
      </c>
      <c r="V28" s="1" t="s">
        <v>1257</v>
      </c>
      <c r="W28" s="40">
        <v>1</v>
      </c>
      <c r="X28" s="36">
        <f t="shared" si="9"/>
        <v>0.1111111111111111</v>
      </c>
      <c r="Y28" s="37">
        <f t="shared" si="10"/>
        <v>0.45499999999999996</v>
      </c>
      <c r="Z28" s="40">
        <v>1</v>
      </c>
      <c r="AA28" s="26" t="s">
        <v>37</v>
      </c>
      <c r="AB28" s="38">
        <f t="shared" si="11"/>
        <v>-0.69</v>
      </c>
      <c r="AC28" s="39">
        <v>0.301328125</v>
      </c>
      <c r="AD28" s="37">
        <f t="shared" si="12"/>
        <v>-3.7424953125</v>
      </c>
      <c r="AE28" s="42">
        <v>-5.98</v>
      </c>
      <c r="AF28" s="42">
        <v>-11.319716666666601</v>
      </c>
      <c r="AG28" s="42">
        <v>0</v>
      </c>
    </row>
    <row r="29" spans="1:33" ht="15.75" customHeight="1" x14ac:dyDescent="0.2">
      <c r="A29" s="26" t="s">
        <v>82</v>
      </c>
      <c r="B29" s="26" t="s">
        <v>1186</v>
      </c>
      <c r="C29" s="14">
        <f t="shared" si="4"/>
        <v>36.99</v>
      </c>
      <c r="D29" s="27">
        <v>4</v>
      </c>
      <c r="E29" s="27">
        <v>0</v>
      </c>
      <c r="F29" s="30">
        <v>147.96</v>
      </c>
      <c r="G29" s="30">
        <v>0</v>
      </c>
      <c r="H29" s="29">
        <f t="shared" si="1"/>
        <v>0</v>
      </c>
      <c r="I29" s="29">
        <f t="shared" si="2"/>
        <v>0.37107192540776968</v>
      </c>
      <c r="J29" s="30">
        <f t="shared" si="5"/>
        <v>54.903802083333602</v>
      </c>
      <c r="K29" s="30">
        <f t="shared" si="3"/>
        <v>13.725950520833401</v>
      </c>
      <c r="L29" s="27">
        <v>46</v>
      </c>
      <c r="M29" s="31">
        <f t="shared" si="6"/>
        <v>8.6956521739130432E-2</v>
      </c>
      <c r="N29" s="15">
        <v>43</v>
      </c>
      <c r="O29" s="32">
        <f t="shared" ref="O29:P29" si="37">D29/7</f>
        <v>0.5714285714285714</v>
      </c>
      <c r="P29" s="32">
        <f t="shared" si="37"/>
        <v>0</v>
      </c>
      <c r="Q29" s="27">
        <f t="shared" si="8"/>
        <v>75</v>
      </c>
      <c r="R29" s="27"/>
      <c r="S29" s="41">
        <v>2.0973782771535578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0.301328125</v>
      </c>
      <c r="AD29" s="37">
        <f t="shared" si="12"/>
        <v>-1.6633312499999999</v>
      </c>
      <c r="AE29" s="37">
        <v>-5.98</v>
      </c>
      <c r="AF29" s="42">
        <v>-11.319716666666601</v>
      </c>
      <c r="AG29" s="37">
        <v>0</v>
      </c>
    </row>
    <row r="30" spans="1:33" ht="15.75" customHeight="1" x14ac:dyDescent="0.2">
      <c r="A30" s="40" t="s">
        <v>84</v>
      </c>
      <c r="B30" s="26" t="s">
        <v>1258</v>
      </c>
      <c r="C30" s="14">
        <f t="shared" si="4"/>
        <v>36.99</v>
      </c>
      <c r="D30" s="15">
        <v>3</v>
      </c>
      <c r="E30" s="15">
        <v>0</v>
      </c>
      <c r="F30" s="16">
        <v>110.97</v>
      </c>
      <c r="G30" s="16">
        <v>0</v>
      </c>
      <c r="H30" s="29">
        <f t="shared" si="1"/>
        <v>0</v>
      </c>
      <c r="I30" s="29">
        <f t="shared" si="2"/>
        <v>0.37627299948184378</v>
      </c>
      <c r="J30" s="30">
        <f t="shared" si="5"/>
        <v>41.755014752500202</v>
      </c>
      <c r="K30" s="30">
        <f t="shared" si="3"/>
        <v>13.918338250833401</v>
      </c>
      <c r="L30" s="15">
        <v>60</v>
      </c>
      <c r="M30" s="31">
        <f t="shared" si="6"/>
        <v>0.05</v>
      </c>
      <c r="N30" s="15">
        <v>38</v>
      </c>
      <c r="O30" s="32">
        <f t="shared" ref="O30:P30" si="38">D30/7</f>
        <v>0.42857142857142855</v>
      </c>
      <c r="P30" s="32">
        <f t="shared" si="38"/>
        <v>0</v>
      </c>
      <c r="Q30" s="27">
        <f t="shared" si="8"/>
        <v>88</v>
      </c>
      <c r="R30" s="27"/>
      <c r="S30" s="41">
        <v>2.1391650099403581</v>
      </c>
      <c r="T30" s="26">
        <v>1036</v>
      </c>
      <c r="U30" s="34">
        <v>36</v>
      </c>
      <c r="V30" s="35" t="s">
        <v>1259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0.301328125</v>
      </c>
      <c r="AD30" s="37">
        <f t="shared" si="12"/>
        <v>-1.2474984375</v>
      </c>
      <c r="AE30" s="42">
        <v>-5.98</v>
      </c>
      <c r="AF30" s="42">
        <v>-11.127328936666601</v>
      </c>
      <c r="AG30" s="42">
        <v>0</v>
      </c>
    </row>
    <row r="31" spans="1:33" ht="15.75" customHeight="1" x14ac:dyDescent="0.2">
      <c r="A31" s="40" t="s">
        <v>87</v>
      </c>
      <c r="B31" s="26" t="s">
        <v>1258</v>
      </c>
      <c r="C31" s="14">
        <f t="shared" si="4"/>
        <v>36.99</v>
      </c>
      <c r="D31" s="15">
        <v>1</v>
      </c>
      <c r="E31" s="15">
        <v>0</v>
      </c>
      <c r="F31" s="16">
        <v>36.99</v>
      </c>
      <c r="G31" s="43">
        <v>0</v>
      </c>
      <c r="H31" s="29">
        <f t="shared" si="1"/>
        <v>0</v>
      </c>
      <c r="I31" s="29">
        <f t="shared" si="2"/>
        <v>0.37627299948184212</v>
      </c>
      <c r="J31" s="30">
        <f t="shared" si="5"/>
        <v>13.91833825083334</v>
      </c>
      <c r="K31" s="30">
        <f t="shared" si="3"/>
        <v>13.91833825083334</v>
      </c>
      <c r="L31" s="15">
        <v>0</v>
      </c>
      <c r="M31" s="31" t="str">
        <f t="shared" si="6"/>
        <v>-</v>
      </c>
      <c r="N31" s="15">
        <v>38</v>
      </c>
      <c r="O31" s="32">
        <f t="shared" ref="O31:P31" si="39">D31/7</f>
        <v>0.14285714285714285</v>
      </c>
      <c r="P31" s="32">
        <f t="shared" si="39"/>
        <v>0</v>
      </c>
      <c r="Q31" s="27">
        <f t="shared" si="8"/>
        <v>266</v>
      </c>
      <c r="R31" s="27"/>
      <c r="S31" s="41">
        <v>2.3711340206185501</v>
      </c>
      <c r="T31" s="40">
        <v>464</v>
      </c>
      <c r="U31" s="22">
        <v>36</v>
      </c>
      <c r="V31" s="1" t="s">
        <v>1260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0.301328125</v>
      </c>
      <c r="AD31" s="37">
        <f t="shared" si="12"/>
        <v>-0.41583281249999998</v>
      </c>
      <c r="AE31" s="45">
        <v>-5.98</v>
      </c>
      <c r="AF31" s="45">
        <v>-11.127328936666661</v>
      </c>
      <c r="AG31" s="42">
        <v>0</v>
      </c>
    </row>
    <row r="32" spans="1:33" ht="15.75" customHeight="1" x14ac:dyDescent="0.2">
      <c r="A32" s="40" t="s">
        <v>90</v>
      </c>
      <c r="B32" s="26" t="s">
        <v>1258</v>
      </c>
      <c r="C32" s="14">
        <f t="shared" si="4"/>
        <v>36.99</v>
      </c>
      <c r="D32" s="15">
        <v>4</v>
      </c>
      <c r="E32" s="15">
        <v>0</v>
      </c>
      <c r="F32" s="16">
        <v>147.96</v>
      </c>
      <c r="G32" s="16">
        <v>-0.16</v>
      </c>
      <c r="H32" s="29">
        <f t="shared" si="1"/>
        <v>1.0813733441470668E-3</v>
      </c>
      <c r="I32" s="29">
        <f t="shared" si="2"/>
        <v>0.37519162613769669</v>
      </c>
      <c r="J32" s="30">
        <f t="shared" si="5"/>
        <v>55.513353003333606</v>
      </c>
      <c r="K32" s="30">
        <f t="shared" si="3"/>
        <v>13.878338250833401</v>
      </c>
      <c r="L32" s="15">
        <v>56</v>
      </c>
      <c r="M32" s="31">
        <f t="shared" si="6"/>
        <v>7.1428571428571425E-2</v>
      </c>
      <c r="N32" s="15">
        <v>37</v>
      </c>
      <c r="O32" s="32">
        <f t="shared" ref="O32:P32" si="40">D32/7</f>
        <v>0.5714285714285714</v>
      </c>
      <c r="P32" s="32">
        <f t="shared" si="40"/>
        <v>0</v>
      </c>
      <c r="Q32" s="27">
        <f t="shared" si="8"/>
        <v>64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1.804444444444445</v>
      </c>
      <c r="T32" s="40">
        <f ca="1">IFERROR(__xludf.DUMMYFUNCTION("IFERROR(VLOOKUP($B$2,IMPORTRANGE(""https://docs.google.com/spreadsheets/d/1KiWZV1ko8G7lnRucBRBd29jj3Be6ltMfljMDqzOkQmI/edit#gid=1381463014"",""Lookup!A:D""),4,FALSE),"""")"),464)</f>
        <v>464</v>
      </c>
      <c r="U32" s="22">
        <f ca="1">IFERROR(__xludf.DUMMYFUNCTION("IFERROR(VLOOKUP($B$2,IMPORTRANGE(""https://docs.google.com/spreadsheets/d/1KiWZV1ko8G7lnRucBRBd29jj3Be6ltMfljMDqzOkQmI/edit#gid=1381463014"",""Lookup!A:D""),3,FALSE),"""")"),36)</f>
        <v>36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- 36 units 08/14")</f>
        <v>| AGL230  - 36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0.301328125</v>
      </c>
      <c r="AD32" s="37">
        <f t="shared" si="12"/>
        <v>-1.6633312499999999</v>
      </c>
      <c r="AE32" s="42">
        <v>-5.98</v>
      </c>
      <c r="AF32" s="42">
        <v>-11.127328936666601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Info!B1:BJ5000""),3,FALSE),"""")"),"Tissue Box Cover Rectangular - Rustic Galvanized Metal Tissue Box Holder")</f>
        <v>Tissue Box Cover Rectangular - Rustic Galvanized Metal Tissue Box Holder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Info!B1:BJ5000""),2,FALSE),"""")"),"B084D4GWBQ")</f>
        <v>B084D4GWBQ</v>
      </c>
      <c r="B2" s="3" t="s">
        <v>1261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12.278412441176471</v>
      </c>
      <c r="D3" s="5">
        <f>SUM(D4:D99767)</f>
        <v>186</v>
      </c>
      <c r="E3" s="5"/>
      <c r="F3" s="6">
        <f t="shared" ref="F3:G3" si="0">SUM(F4:F99767)</f>
        <v>2996.27</v>
      </c>
      <c r="G3" s="6">
        <f t="shared" si="0"/>
        <v>-133.28000000000003</v>
      </c>
      <c r="H3" s="7">
        <f t="shared" ref="H3:H32" si="1">G3/F3*-1</f>
        <v>4.4481972585915165E-2</v>
      </c>
      <c r="I3" s="8">
        <f t="shared" ref="I3:I32" si="2">J3/F3</f>
        <v>0.15671561261073075</v>
      </c>
      <c r="J3" s="6">
        <f>SUM(J4:J99767)</f>
        <v>469.56228859715418</v>
      </c>
      <c r="K3" s="6">
        <f t="shared" ref="K3:K32" si="3">J3/D3</f>
        <v>2.5245284333180331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Sheet!a1:g5000""),2,FALSE),"""")"),"1.0 - March
1.0 - April
1.0 - May
1.0 - June
1.0 - July
1.0 - Aug
1.0 - Sept
1.0 - Oct
1.0 - Nov
1.0 - Dec
1.0 - Jan
1.0 - Feb")</f>
        <v>1.0 - March
1.0 - April
1.0 - May
1.0 - June
1.0 - July
1.0 - Aug
1.0 - Sept
1.0 - Oct
1.0 - Nov
1.0 - Dec
1.0 - Jan
1.0 -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28</v>
      </c>
      <c r="X3" s="7">
        <f>W3/D3</f>
        <v>0.15053763440860216</v>
      </c>
      <c r="Y3" s="6"/>
      <c r="Z3" s="5"/>
      <c r="AA3" s="5"/>
      <c r="AB3" s="5"/>
      <c r="AC3" s="5"/>
      <c r="AD3" s="6">
        <f>SUM(AD4:AD99767)</f>
        <v>-53.418245493755627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Info!B2:BZ3000""),37,FALSE)),"""")*-1"),-4.756650575)</f>
        <v>-4.7566505750000001</v>
      </c>
      <c r="AG3" s="6">
        <f>SUM(AG4:AG99767)</f>
        <v>0</v>
      </c>
    </row>
    <row r="4" spans="1:33" x14ac:dyDescent="0.2">
      <c r="A4" s="1" t="s">
        <v>32</v>
      </c>
      <c r="B4" s="2" t="s">
        <v>105</v>
      </c>
      <c r="C4" s="14">
        <f t="shared" ref="C4:C32" si="4">IFERROR(F4/D4," - ")</f>
        <v>14.990000000000004</v>
      </c>
      <c r="D4" s="15">
        <v>24</v>
      </c>
      <c r="E4" s="15">
        <v>0</v>
      </c>
      <c r="F4" s="16">
        <v>359.7600000000001</v>
      </c>
      <c r="G4" s="16">
        <v>-45.790000000000006</v>
      </c>
      <c r="H4" s="17">
        <f t="shared" si="1"/>
        <v>0.12727929730931731</v>
      </c>
      <c r="I4" s="17">
        <f t="shared" si="2"/>
        <v>2.7864367490785389E-2</v>
      </c>
      <c r="J4" s="16">
        <f t="shared" ref="J4:J32" si="5">F4*0.85+G4+AF4*D4+D4*AE4+AG4+AD4</f>
        <v>10.024484848484954</v>
      </c>
      <c r="K4" s="16">
        <f t="shared" si="3"/>
        <v>0.4176868686868731</v>
      </c>
      <c r="L4" s="15">
        <v>58</v>
      </c>
      <c r="M4" s="18">
        <f t="shared" ref="M4:M32" si="6">IFERROR(D4/L4,"-")</f>
        <v>0.41379310344827586</v>
      </c>
      <c r="N4" s="15">
        <v>163</v>
      </c>
      <c r="O4" s="19">
        <f t="shared" ref="O4:P4" si="7">D4/7</f>
        <v>3.4285714285714284</v>
      </c>
      <c r="P4" s="19">
        <f t="shared" si="7"/>
        <v>0</v>
      </c>
      <c r="Q4" s="15">
        <f t="shared" ref="Q4:Q32" si="8">ROUNDDOWN(N4/(O4+P4),0)</f>
        <v>47</v>
      </c>
      <c r="R4" s="15"/>
      <c r="S4" s="20">
        <v>0.61948142957252905</v>
      </c>
      <c r="T4" s="2">
        <v>0</v>
      </c>
      <c r="U4" s="2" t="s">
        <v>34</v>
      </c>
      <c r="V4" s="21" t="s">
        <v>34</v>
      </c>
      <c r="W4" s="22">
        <v>7</v>
      </c>
      <c r="X4" s="23">
        <f t="shared" ref="X4:X32" si="9">IFERROR(W4/D4,0)</f>
        <v>0.29166666666666669</v>
      </c>
      <c r="Y4" s="24">
        <f t="shared" ref="Y4:Y32" si="10">IFERROR(G4/(W4+Z4)*-1,0)</f>
        <v>5.7237500000000008</v>
      </c>
      <c r="Z4" s="22">
        <v>1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0.20810185185185184</v>
      </c>
      <c r="AD4" s="24">
        <f t="shared" ref="AD4:AD32" si="12">IFERROR(AB4*AC4*D4*2,0)</f>
        <v>-6.8923333333333314</v>
      </c>
      <c r="AE4" s="24">
        <v>-5.42</v>
      </c>
      <c r="AF4" s="24">
        <v>-4.708715909090909</v>
      </c>
      <c r="AG4" s="24">
        <v>0</v>
      </c>
    </row>
    <row r="5" spans="1:33" ht="15.75" customHeight="1" x14ac:dyDescent="0.2">
      <c r="A5" s="26" t="s">
        <v>35</v>
      </c>
      <c r="B5" s="26" t="s">
        <v>1262</v>
      </c>
      <c r="C5" s="14">
        <f t="shared" si="4"/>
        <v>14.989999999999998</v>
      </c>
      <c r="D5" s="27">
        <v>8</v>
      </c>
      <c r="E5" s="27">
        <v>0</v>
      </c>
      <c r="F5" s="28">
        <v>119.91999999999999</v>
      </c>
      <c r="G5" s="28">
        <v>-16.510000000000002</v>
      </c>
      <c r="H5" s="29">
        <f t="shared" si="1"/>
        <v>0.13767511674449637</v>
      </c>
      <c r="I5" s="29">
        <f t="shared" si="2"/>
        <v>1.7446348585773586E-2</v>
      </c>
      <c r="J5" s="30">
        <f t="shared" si="5"/>
        <v>2.0921661224059682</v>
      </c>
      <c r="K5" s="30">
        <f t="shared" si="3"/>
        <v>0.26152076530074603</v>
      </c>
      <c r="L5" s="27">
        <v>120</v>
      </c>
      <c r="M5" s="31">
        <f t="shared" si="6"/>
        <v>6.6666666666666666E-2</v>
      </c>
      <c r="N5" s="27">
        <v>152</v>
      </c>
      <c r="O5" s="32">
        <f t="shared" ref="O5:P5" si="13">D5/7</f>
        <v>1.1428571428571428</v>
      </c>
      <c r="P5" s="32">
        <f t="shared" si="13"/>
        <v>0</v>
      </c>
      <c r="Q5" s="27">
        <f t="shared" si="8"/>
        <v>133</v>
      </c>
      <c r="R5" s="27"/>
      <c r="S5" s="33">
        <v>0.68242245199409102</v>
      </c>
      <c r="T5" s="26">
        <v>0</v>
      </c>
      <c r="U5" s="34" t="s">
        <v>34</v>
      </c>
      <c r="V5" s="35" t="s">
        <v>34</v>
      </c>
      <c r="W5" s="26">
        <v>3</v>
      </c>
      <c r="X5" s="36">
        <f t="shared" si="9"/>
        <v>0.375</v>
      </c>
      <c r="Y5" s="37">
        <f t="shared" si="10"/>
        <v>2.7516666666666669</v>
      </c>
      <c r="Z5" s="26">
        <v>3</v>
      </c>
      <c r="AA5" s="26" t="s">
        <v>37</v>
      </c>
      <c r="AB5" s="38">
        <f t="shared" si="11"/>
        <v>-0.69</v>
      </c>
      <c r="AC5" s="39">
        <v>0.20834298957126302</v>
      </c>
      <c r="AD5" s="37">
        <f t="shared" si="12"/>
        <v>-2.3001066048667433</v>
      </c>
      <c r="AE5" s="37">
        <v>-5.42</v>
      </c>
      <c r="AF5" s="37">
        <v>-4.708715909090909</v>
      </c>
      <c r="AG5" s="37">
        <v>0</v>
      </c>
    </row>
    <row r="6" spans="1:33" ht="15.75" customHeight="1" x14ac:dyDescent="0.2">
      <c r="A6" s="26" t="s">
        <v>38</v>
      </c>
      <c r="B6" s="26" t="s">
        <v>1262</v>
      </c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150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>
        <v>0.73098039215686195</v>
      </c>
      <c r="T6" s="26">
        <v>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0.20810185185185184</v>
      </c>
      <c r="AD6" s="37">
        <f t="shared" si="12"/>
        <v>0</v>
      </c>
      <c r="AE6" s="37">
        <v>-5.42</v>
      </c>
      <c r="AF6" s="37">
        <v>-4.708715909090909</v>
      </c>
      <c r="AG6" s="37">
        <v>0</v>
      </c>
    </row>
    <row r="7" spans="1:33" ht="15.75" customHeight="1" x14ac:dyDescent="0.2">
      <c r="A7" s="26" t="s">
        <v>41</v>
      </c>
      <c r="B7" s="26" t="s">
        <v>1263</v>
      </c>
      <c r="C7" s="14">
        <f t="shared" si="4"/>
        <v>14.99</v>
      </c>
      <c r="D7" s="27">
        <v>9</v>
      </c>
      <c r="E7" s="27">
        <v>0</v>
      </c>
      <c r="F7" s="28">
        <v>134.91</v>
      </c>
      <c r="G7" s="28">
        <v>-8.99</v>
      </c>
      <c r="H7" s="29">
        <f t="shared" si="1"/>
        <v>6.6637017270773105E-2</v>
      </c>
      <c r="I7" s="29">
        <f t="shared" si="2"/>
        <v>8.8506647529329269E-2</v>
      </c>
      <c r="J7" s="30">
        <f t="shared" si="5"/>
        <v>11.940431818181811</v>
      </c>
      <c r="K7" s="30">
        <f t="shared" si="3"/>
        <v>1.3267146464646455</v>
      </c>
      <c r="L7" s="27">
        <v>107</v>
      </c>
      <c r="M7" s="31">
        <f t="shared" si="6"/>
        <v>8.4112149532710276E-2</v>
      </c>
      <c r="N7" s="27">
        <v>145</v>
      </c>
      <c r="O7" s="32">
        <f t="shared" ref="O7:P7" si="15">D7/7</f>
        <v>1.2857142857142858</v>
      </c>
      <c r="P7" s="32">
        <f t="shared" si="15"/>
        <v>0</v>
      </c>
      <c r="Q7" s="27">
        <f t="shared" si="8"/>
        <v>112</v>
      </c>
      <c r="R7" s="27"/>
      <c r="S7" s="33">
        <v>0.86274509803921495</v>
      </c>
      <c r="T7" s="26">
        <v>0</v>
      </c>
      <c r="U7" s="34" t="s">
        <v>34</v>
      </c>
      <c r="V7" s="35"/>
      <c r="W7" s="26">
        <v>2</v>
      </c>
      <c r="X7" s="36">
        <f t="shared" si="9"/>
        <v>0.22222222222222221</v>
      </c>
      <c r="Y7" s="37">
        <f t="shared" si="10"/>
        <v>4.4950000000000001</v>
      </c>
      <c r="Z7" s="26">
        <v>0</v>
      </c>
      <c r="AA7" s="26" t="s">
        <v>37</v>
      </c>
      <c r="AB7" s="38">
        <f t="shared" si="11"/>
        <v>-0.69</v>
      </c>
      <c r="AC7" s="39">
        <v>0.20810185185185184</v>
      </c>
      <c r="AD7" s="37">
        <f t="shared" si="12"/>
        <v>-2.5846249999999995</v>
      </c>
      <c r="AE7" s="37">
        <v>-5.42</v>
      </c>
      <c r="AF7" s="37">
        <v>-4.708715909090909</v>
      </c>
      <c r="AG7" s="37">
        <v>0</v>
      </c>
    </row>
    <row r="8" spans="1:33" ht="15.75" customHeight="1" x14ac:dyDescent="0.2">
      <c r="A8" s="26" t="s">
        <v>43</v>
      </c>
      <c r="B8" s="26" t="s">
        <v>1264</v>
      </c>
      <c r="C8" s="14">
        <f t="shared" si="4"/>
        <v>14.990000000000007</v>
      </c>
      <c r="D8" s="27">
        <v>46</v>
      </c>
      <c r="E8" s="27">
        <v>0</v>
      </c>
      <c r="F8" s="28">
        <v>689.5400000000003</v>
      </c>
      <c r="G8" s="28">
        <v>-60.560000000000016</v>
      </c>
      <c r="H8" s="29">
        <f t="shared" si="1"/>
        <v>8.7826667053397908E-2</v>
      </c>
      <c r="I8" s="29">
        <f t="shared" si="2"/>
        <v>6.7231334577319196E-2</v>
      </c>
      <c r="J8" s="30">
        <f t="shared" si="5"/>
        <v>46.358694444444694</v>
      </c>
      <c r="K8" s="30">
        <f t="shared" si="3"/>
        <v>1.007797705314015</v>
      </c>
      <c r="L8" s="27">
        <v>115</v>
      </c>
      <c r="M8" s="31">
        <f t="shared" si="6"/>
        <v>0.4</v>
      </c>
      <c r="N8" s="27">
        <v>102</v>
      </c>
      <c r="O8" s="32">
        <f t="shared" ref="O8:P8" si="16">D8/7</f>
        <v>6.5714285714285712</v>
      </c>
      <c r="P8" s="32">
        <f t="shared" si="16"/>
        <v>0</v>
      </c>
      <c r="Q8" s="27">
        <f t="shared" si="8"/>
        <v>15</v>
      </c>
      <c r="R8" s="27"/>
      <c r="S8" s="33">
        <v>1.03153988868274</v>
      </c>
      <c r="T8" s="26">
        <v>0</v>
      </c>
      <c r="U8" s="34" t="s">
        <v>34</v>
      </c>
      <c r="V8" s="35"/>
      <c r="W8" s="26">
        <v>15</v>
      </c>
      <c r="X8" s="36">
        <f t="shared" si="9"/>
        <v>0.32608695652173914</v>
      </c>
      <c r="Y8" s="37">
        <f t="shared" si="10"/>
        <v>3.3644444444444455</v>
      </c>
      <c r="Z8" s="26">
        <v>3</v>
      </c>
      <c r="AA8" s="26" t="s">
        <v>37</v>
      </c>
      <c r="AB8" s="38">
        <f t="shared" si="11"/>
        <v>-0.69</v>
      </c>
      <c r="AC8" s="39">
        <v>0.20810185185185184</v>
      </c>
      <c r="AD8" s="37">
        <f t="shared" si="12"/>
        <v>-13.210305555555554</v>
      </c>
      <c r="AE8" s="37">
        <v>-5.42</v>
      </c>
      <c r="AF8" s="37">
        <v>-4.71</v>
      </c>
      <c r="AG8" s="37">
        <v>0</v>
      </c>
    </row>
    <row r="9" spans="1:33" ht="15.75" customHeight="1" x14ac:dyDescent="0.2">
      <c r="A9" s="26" t="s">
        <v>45</v>
      </c>
      <c r="B9" s="26" t="s">
        <v>1265</v>
      </c>
      <c r="C9" s="14">
        <f t="shared" si="4"/>
        <v>14.990000000000004</v>
      </c>
      <c r="D9" s="27">
        <v>17</v>
      </c>
      <c r="E9" s="27">
        <v>1</v>
      </c>
      <c r="F9" s="28">
        <v>254.83000000000007</v>
      </c>
      <c r="G9" s="28">
        <v>-1.4300000000000002</v>
      </c>
      <c r="H9" s="29">
        <f t="shared" si="1"/>
        <v>5.6115841933838239E-3</v>
      </c>
      <c r="I9" s="29">
        <f t="shared" si="2"/>
        <v>0.14596000225145198</v>
      </c>
      <c r="J9" s="30">
        <f t="shared" si="5"/>
        <v>37.194987373737519</v>
      </c>
      <c r="K9" s="30">
        <f t="shared" si="3"/>
        <v>2.1879404337492656</v>
      </c>
      <c r="L9" s="27">
        <v>91</v>
      </c>
      <c r="M9" s="31">
        <f t="shared" si="6"/>
        <v>0.18681318681318682</v>
      </c>
      <c r="N9" s="27">
        <v>80</v>
      </c>
      <c r="O9" s="32">
        <f t="shared" ref="O9:P9" si="17">D9/7</f>
        <v>2.4285714285714284</v>
      </c>
      <c r="P9" s="32">
        <f t="shared" si="17"/>
        <v>0.14285714285714285</v>
      </c>
      <c r="Q9" s="27">
        <f t="shared" si="8"/>
        <v>31</v>
      </c>
      <c r="R9" s="27"/>
      <c r="S9" s="33">
        <v>1.2144288577154301</v>
      </c>
      <c r="T9" s="26">
        <v>0</v>
      </c>
      <c r="U9" s="34" t="s">
        <v>34</v>
      </c>
      <c r="V9" s="35" t="s">
        <v>34</v>
      </c>
      <c r="W9" s="26">
        <v>1</v>
      </c>
      <c r="X9" s="36">
        <f t="shared" si="9"/>
        <v>5.8823529411764705E-2</v>
      </c>
      <c r="Y9" s="37">
        <f t="shared" si="10"/>
        <v>1.4300000000000002</v>
      </c>
      <c r="Z9" s="26">
        <v>0</v>
      </c>
      <c r="AA9" s="26" t="s">
        <v>37</v>
      </c>
      <c r="AB9" s="38">
        <f t="shared" si="11"/>
        <v>-0.69</v>
      </c>
      <c r="AC9" s="39">
        <v>0.20810185185185184</v>
      </c>
      <c r="AD9" s="37">
        <f t="shared" si="12"/>
        <v>-4.8820694444444435</v>
      </c>
      <c r="AE9" s="37">
        <v>-5.42</v>
      </c>
      <c r="AF9" s="37">
        <v>-4.7622613636363598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15.823333333333336</v>
      </c>
      <c r="D10" s="27">
        <v>12</v>
      </c>
      <c r="E10" s="27">
        <v>0</v>
      </c>
      <c r="F10" s="28">
        <v>189.88000000000002</v>
      </c>
      <c r="G10" s="28">
        <v>0</v>
      </c>
      <c r="H10" s="29">
        <f t="shared" si="1"/>
        <v>0</v>
      </c>
      <c r="I10" s="29">
        <f t="shared" si="2"/>
        <v>0.18835420776120204</v>
      </c>
      <c r="J10" s="30">
        <f t="shared" si="5"/>
        <v>35.764696969697049</v>
      </c>
      <c r="K10" s="30">
        <f t="shared" si="3"/>
        <v>2.9803914141414207</v>
      </c>
      <c r="L10" s="27">
        <v>67</v>
      </c>
      <c r="M10" s="31">
        <f t="shared" si="6"/>
        <v>0.17910447761194029</v>
      </c>
      <c r="N10" s="27">
        <v>66</v>
      </c>
      <c r="O10" s="32">
        <f t="shared" ref="O10:P10" si="18">D10/7</f>
        <v>1.7142857142857142</v>
      </c>
      <c r="P10" s="32">
        <f t="shared" si="18"/>
        <v>0</v>
      </c>
      <c r="Q10" s="27">
        <f t="shared" si="8"/>
        <v>38</v>
      </c>
      <c r="R10" s="27"/>
      <c r="S10" s="33">
        <v>1.2991452991452901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0.20810185185185184</v>
      </c>
      <c r="AD10" s="37">
        <f t="shared" si="12"/>
        <v>-3.4461666666666657</v>
      </c>
      <c r="AE10" s="37">
        <v>-5.42</v>
      </c>
      <c r="AF10" s="37">
        <v>-4.7622613636363598</v>
      </c>
      <c r="AG10" s="37">
        <v>0</v>
      </c>
    </row>
    <row r="11" spans="1:33" ht="15.75" customHeight="1" x14ac:dyDescent="0.2">
      <c r="A11" s="26" t="s">
        <v>50</v>
      </c>
      <c r="B11" s="26" t="s">
        <v>1266</v>
      </c>
      <c r="C11" s="14">
        <f t="shared" si="4"/>
        <v>15.990000000000002</v>
      </c>
      <c r="D11" s="27">
        <v>12</v>
      </c>
      <c r="E11" s="27">
        <v>0</v>
      </c>
      <c r="F11" s="28">
        <v>191.88000000000002</v>
      </c>
      <c r="G11" s="28">
        <v>0</v>
      </c>
      <c r="H11" s="29">
        <f t="shared" si="1"/>
        <v>0</v>
      </c>
      <c r="I11" s="29">
        <f t="shared" si="2"/>
        <v>0.19525066171407668</v>
      </c>
      <c r="J11" s="30">
        <f t="shared" si="5"/>
        <v>37.464696969697037</v>
      </c>
      <c r="K11" s="30">
        <f t="shared" si="3"/>
        <v>3.1220580808080864</v>
      </c>
      <c r="L11" s="27">
        <v>45</v>
      </c>
      <c r="M11" s="31">
        <f t="shared" si="6"/>
        <v>0.26666666666666666</v>
      </c>
      <c r="N11" s="27">
        <v>55</v>
      </c>
      <c r="O11" s="32">
        <f t="shared" ref="O11:P11" si="19">D11/7</f>
        <v>1.7142857142857142</v>
      </c>
      <c r="P11" s="32">
        <f t="shared" si="19"/>
        <v>0</v>
      </c>
      <c r="Q11" s="27">
        <f t="shared" si="8"/>
        <v>32</v>
      </c>
      <c r="R11" s="27"/>
      <c r="S11" s="33">
        <v>1.3822485207100501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0.20810185185185184</v>
      </c>
      <c r="AD11" s="37">
        <f t="shared" si="12"/>
        <v>-3.4461666666666657</v>
      </c>
      <c r="AE11" s="37">
        <v>-5.42</v>
      </c>
      <c r="AF11" s="37">
        <v>-4.7622613636363598</v>
      </c>
      <c r="AG11" s="37">
        <v>0</v>
      </c>
    </row>
    <row r="12" spans="1:33" ht="15.75" customHeight="1" x14ac:dyDescent="0.2">
      <c r="A12" s="26" t="s">
        <v>52</v>
      </c>
      <c r="B12" s="26" t="s">
        <v>1267</v>
      </c>
      <c r="C12" s="14">
        <f t="shared" si="4"/>
        <v>16.990000000000002</v>
      </c>
      <c r="D12" s="27">
        <v>13</v>
      </c>
      <c r="E12" s="27">
        <v>0</v>
      </c>
      <c r="F12" s="28">
        <v>220.87</v>
      </c>
      <c r="G12" s="28">
        <v>0</v>
      </c>
      <c r="H12" s="29">
        <f t="shared" si="1"/>
        <v>0</v>
      </c>
      <c r="I12" s="29">
        <f t="shared" si="2"/>
        <v>0.2337879976932363</v>
      </c>
      <c r="J12" s="30">
        <f t="shared" si="5"/>
        <v>51.636755050505101</v>
      </c>
      <c r="K12" s="30">
        <f t="shared" si="3"/>
        <v>3.9720580808080848</v>
      </c>
      <c r="L12" s="27">
        <v>53</v>
      </c>
      <c r="M12" s="31">
        <f t="shared" si="6"/>
        <v>0.24528301886792453</v>
      </c>
      <c r="N12" s="27">
        <v>40</v>
      </c>
      <c r="O12" s="32">
        <f t="shared" ref="O12:P12" si="20">D12/7</f>
        <v>1.8571428571428572</v>
      </c>
      <c r="P12" s="32">
        <f t="shared" si="20"/>
        <v>0</v>
      </c>
      <c r="Q12" s="27">
        <f t="shared" si="8"/>
        <v>21</v>
      </c>
      <c r="R12" s="27"/>
      <c r="S12" s="33">
        <v>1.5084525357607199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0.20810185185185184</v>
      </c>
      <c r="AD12" s="37">
        <f t="shared" si="12"/>
        <v>-3.7333472222222213</v>
      </c>
      <c r="AE12" s="37">
        <v>-5.42</v>
      </c>
      <c r="AF12" s="37">
        <v>-4.7622613636363598</v>
      </c>
      <c r="AG12" s="37">
        <v>0</v>
      </c>
    </row>
    <row r="13" spans="1:33" ht="15.75" customHeight="1" x14ac:dyDescent="0.2">
      <c r="A13" s="26" t="s">
        <v>54</v>
      </c>
      <c r="B13" s="26" t="s">
        <v>1268</v>
      </c>
      <c r="C13" s="14">
        <f t="shared" si="4"/>
        <v>17.990000000000002</v>
      </c>
      <c r="D13" s="27">
        <v>18</v>
      </c>
      <c r="E13" s="27">
        <v>0</v>
      </c>
      <c r="F13" s="30">
        <v>323.82000000000005</v>
      </c>
      <c r="G13" s="28">
        <v>0</v>
      </c>
      <c r="H13" s="29">
        <f t="shared" si="1"/>
        <v>0</v>
      </c>
      <c r="I13" s="29">
        <f t="shared" si="2"/>
        <v>0.26647450042391685</v>
      </c>
      <c r="J13" s="30">
        <f t="shared" si="5"/>
        <v>86.289772727272776</v>
      </c>
      <c r="K13" s="30">
        <f t="shared" si="3"/>
        <v>4.7938762626262656</v>
      </c>
      <c r="L13" s="27">
        <v>45</v>
      </c>
      <c r="M13" s="31">
        <f t="shared" si="6"/>
        <v>0.4</v>
      </c>
      <c r="N13" s="27">
        <v>24</v>
      </c>
      <c r="O13" s="32">
        <f t="shared" ref="O13:P13" si="21">D13/7</f>
        <v>2.5714285714285716</v>
      </c>
      <c r="P13" s="32">
        <f t="shared" si="21"/>
        <v>0</v>
      </c>
      <c r="Q13" s="27">
        <f t="shared" si="8"/>
        <v>9</v>
      </c>
      <c r="R13" s="27"/>
      <c r="S13" s="33">
        <v>1.5690607734806601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0.20810185185185184</v>
      </c>
      <c r="AD13" s="37">
        <f t="shared" si="12"/>
        <v>-5.169249999999999</v>
      </c>
      <c r="AE13" s="37">
        <v>-5.42</v>
      </c>
      <c r="AF13" s="37">
        <v>-4.7904431818181799</v>
      </c>
      <c r="AG13" s="37">
        <v>0</v>
      </c>
    </row>
    <row r="14" spans="1:33" ht="15.75" customHeight="1" x14ac:dyDescent="0.2">
      <c r="A14" s="26" t="s">
        <v>56</v>
      </c>
      <c r="B14" s="26" t="s">
        <v>1269</v>
      </c>
      <c r="C14" s="14">
        <f t="shared" si="4"/>
        <v>18.767777777777777</v>
      </c>
      <c r="D14" s="27">
        <v>9</v>
      </c>
      <c r="E14" s="27">
        <v>1</v>
      </c>
      <c r="F14" s="30">
        <v>168.91</v>
      </c>
      <c r="G14" s="28">
        <v>0</v>
      </c>
      <c r="H14" s="29">
        <f t="shared" si="1"/>
        <v>0</v>
      </c>
      <c r="I14" s="29">
        <f t="shared" si="2"/>
        <v>0.29065707396623275</v>
      </c>
      <c r="J14" s="30">
        <f t="shared" si="5"/>
        <v>49.094886363636377</v>
      </c>
      <c r="K14" s="30">
        <f t="shared" si="3"/>
        <v>5.4549873737373753</v>
      </c>
      <c r="L14" s="27">
        <v>56</v>
      </c>
      <c r="M14" s="31">
        <f t="shared" si="6"/>
        <v>0.16071428571428573</v>
      </c>
      <c r="N14" s="27">
        <v>15</v>
      </c>
      <c r="O14" s="32">
        <f t="shared" ref="O14:P14" si="22">D14/7</f>
        <v>1.2857142857142858</v>
      </c>
      <c r="P14" s="32">
        <f t="shared" si="22"/>
        <v>0.14285714285714285</v>
      </c>
      <c r="Q14" s="27">
        <f t="shared" si="8"/>
        <v>10</v>
      </c>
      <c r="R14" s="27"/>
      <c r="S14" s="33">
        <v>1.86754966887417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0.20810185185185184</v>
      </c>
      <c r="AD14" s="37">
        <f t="shared" si="12"/>
        <v>-2.5846249999999995</v>
      </c>
      <c r="AE14" s="37">
        <v>-5.42</v>
      </c>
      <c r="AF14" s="37">
        <v>-4.7904431818181799</v>
      </c>
      <c r="AG14" s="37">
        <v>0</v>
      </c>
    </row>
    <row r="15" spans="1:33" ht="15.75" customHeight="1" x14ac:dyDescent="0.2">
      <c r="A15" s="26" t="s">
        <v>58</v>
      </c>
      <c r="B15" s="26" t="s">
        <v>1164</v>
      </c>
      <c r="C15" s="14">
        <f t="shared" si="4"/>
        <v>18.999285714285715</v>
      </c>
      <c r="D15" s="27">
        <v>14</v>
      </c>
      <c r="E15" s="27">
        <v>0</v>
      </c>
      <c r="F15" s="30">
        <v>265.99</v>
      </c>
      <c r="G15" s="28">
        <v>0</v>
      </c>
      <c r="H15" s="29">
        <f t="shared" si="1"/>
        <v>0</v>
      </c>
      <c r="I15" s="29">
        <f t="shared" si="2"/>
        <v>0.29747271580423212</v>
      </c>
      <c r="J15" s="30">
        <f t="shared" si="5"/>
        <v>79.124767676767704</v>
      </c>
      <c r="K15" s="30">
        <f t="shared" si="3"/>
        <v>5.6517691197691216</v>
      </c>
      <c r="L15" s="27">
        <v>51</v>
      </c>
      <c r="M15" s="31">
        <f t="shared" si="6"/>
        <v>0.27450980392156865</v>
      </c>
      <c r="N15" s="27">
        <v>1</v>
      </c>
      <c r="O15" s="32">
        <f t="shared" ref="O15:P15" si="23">D15/7</f>
        <v>2</v>
      </c>
      <c r="P15" s="32">
        <f t="shared" si="23"/>
        <v>0</v>
      </c>
      <c r="Q15" s="27">
        <f t="shared" si="8"/>
        <v>0</v>
      </c>
      <c r="R15" s="27"/>
      <c r="S15" s="33">
        <v>2.0948766603415501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0.20810185185185184</v>
      </c>
      <c r="AD15" s="37">
        <f t="shared" si="12"/>
        <v>-4.0205277777777768</v>
      </c>
      <c r="AE15" s="37">
        <v>-5.42</v>
      </c>
      <c r="AF15" s="37">
        <v>-4.7904431818181799</v>
      </c>
      <c r="AG15" s="37">
        <v>0</v>
      </c>
    </row>
    <row r="16" spans="1:33" ht="15.75" customHeight="1" x14ac:dyDescent="0.2">
      <c r="A16" s="26" t="s">
        <v>60</v>
      </c>
      <c r="B16" s="26" t="s">
        <v>1164</v>
      </c>
      <c r="C16" s="14">
        <f t="shared" si="4"/>
        <v>18.989999999999998</v>
      </c>
      <c r="D16" s="27">
        <v>2</v>
      </c>
      <c r="E16" s="27">
        <v>0</v>
      </c>
      <c r="F16" s="30">
        <v>37.979999999999997</v>
      </c>
      <c r="G16" s="28">
        <v>0</v>
      </c>
      <c r="H16" s="29">
        <f t="shared" si="1"/>
        <v>0</v>
      </c>
      <c r="I16" s="29">
        <f t="shared" si="2"/>
        <v>0.29720254147584318</v>
      </c>
      <c r="J16" s="30">
        <f t="shared" si="5"/>
        <v>11.287752525252523</v>
      </c>
      <c r="K16" s="30">
        <f t="shared" si="3"/>
        <v>5.6438762626262617</v>
      </c>
      <c r="L16" s="27">
        <v>8</v>
      </c>
      <c r="M16" s="31">
        <f t="shared" si="6"/>
        <v>0.25</v>
      </c>
      <c r="N16" s="27">
        <v>0</v>
      </c>
      <c r="O16" s="32">
        <f t="shared" ref="O16:P16" si="24">D16/7</f>
        <v>0.2857142857142857</v>
      </c>
      <c r="P16" s="32">
        <f t="shared" si="24"/>
        <v>0</v>
      </c>
      <c r="Q16" s="27">
        <f t="shared" si="8"/>
        <v>0</v>
      </c>
      <c r="R16" s="27"/>
      <c r="S16" s="33">
        <v>2.3859649122806998</v>
      </c>
      <c r="T16" s="26">
        <v>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0.20810185185185184</v>
      </c>
      <c r="AD16" s="37">
        <f t="shared" si="12"/>
        <v>-0.57436111111111099</v>
      </c>
      <c r="AE16" s="37">
        <v>-5.42</v>
      </c>
      <c r="AF16" s="37">
        <v>-4.7904431818181799</v>
      </c>
      <c r="AG16" s="37">
        <v>0</v>
      </c>
    </row>
    <row r="17" spans="1:33" ht="15.75" customHeight="1" x14ac:dyDescent="0.2">
      <c r="A17" s="26" t="s">
        <v>61</v>
      </c>
      <c r="B17" s="26"/>
      <c r="C17" s="14">
        <f t="shared" si="4"/>
        <v>18.989999999999998</v>
      </c>
      <c r="D17" s="27">
        <v>1</v>
      </c>
      <c r="E17" s="27">
        <v>0</v>
      </c>
      <c r="F17" s="30">
        <v>18.989999999999998</v>
      </c>
      <c r="G17" s="28">
        <v>0</v>
      </c>
      <c r="H17" s="29">
        <f t="shared" si="1"/>
        <v>0</v>
      </c>
      <c r="I17" s="29">
        <f t="shared" si="2"/>
        <v>0.29720254147584318</v>
      </c>
      <c r="J17" s="30">
        <f t="shared" si="5"/>
        <v>5.6438762626262617</v>
      </c>
      <c r="K17" s="30">
        <f t="shared" si="3"/>
        <v>5.6438762626262617</v>
      </c>
      <c r="L17" s="27">
        <v>5</v>
      </c>
      <c r="M17" s="31">
        <f t="shared" si="6"/>
        <v>0.2</v>
      </c>
      <c r="N17" s="27">
        <v>0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0</v>
      </c>
      <c r="R17" s="27"/>
      <c r="S17" s="33">
        <v>2.54177215189873</v>
      </c>
      <c r="T17" s="26">
        <v>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0.20810185185185184</v>
      </c>
      <c r="AD17" s="37">
        <f t="shared" si="12"/>
        <v>-0.28718055555555549</v>
      </c>
      <c r="AE17" s="37">
        <v>-5.42</v>
      </c>
      <c r="AF17" s="37">
        <v>-4.7904431818181799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2.7777777777777701</v>
      </c>
      <c r="T18" s="26">
        <v>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0.20810185185185184</v>
      </c>
      <c r="AD18" s="37">
        <f t="shared" si="12"/>
        <v>0</v>
      </c>
      <c r="AE18" s="37">
        <v>-5.42</v>
      </c>
      <c r="AF18" s="37">
        <v>-4.7904431818181799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0.20810185185185184</v>
      </c>
      <c r="AD19" s="37">
        <f t="shared" si="12"/>
        <v>0</v>
      </c>
      <c r="AE19" s="37">
        <v>-5.42</v>
      </c>
      <c r="AF19" s="37">
        <v>-4.7904431818181816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0.20810185185185184</v>
      </c>
      <c r="AD20" s="37">
        <f t="shared" si="12"/>
        <v>0</v>
      </c>
      <c r="AE20" s="37">
        <v>-5.42</v>
      </c>
      <c r="AF20" s="37">
        <v>-4.7904431818181816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0.20810185185185184</v>
      </c>
      <c r="AD21" s="37">
        <f t="shared" si="12"/>
        <v>0</v>
      </c>
      <c r="AE21" s="37">
        <v>-5.42</v>
      </c>
      <c r="AF21" s="37">
        <v>-4.7904431818181816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0.20810185185185184</v>
      </c>
      <c r="AD22" s="37">
        <f t="shared" si="12"/>
        <v>0</v>
      </c>
      <c r="AE22" s="37">
        <v>-5.42</v>
      </c>
      <c r="AF22" s="37">
        <v>-4.7904431818181816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0.20810185185185184</v>
      </c>
      <c r="AD23" s="37">
        <f t="shared" si="12"/>
        <v>0</v>
      </c>
      <c r="AE23" s="37">
        <v>-5.42</v>
      </c>
      <c r="AF23" s="37">
        <v>-4.7904431818181816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1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0.20810185185185184</v>
      </c>
      <c r="AD24" s="37">
        <f t="shared" si="12"/>
        <v>0</v>
      </c>
      <c r="AE24" s="37">
        <v>-5.42</v>
      </c>
      <c r="AF24" s="37">
        <v>-4.7904431818181816</v>
      </c>
      <c r="AG24" s="37">
        <v>0</v>
      </c>
    </row>
    <row r="25" spans="1:33" ht="15.75" customHeight="1" x14ac:dyDescent="0.2">
      <c r="A25" s="40" t="s">
        <v>73</v>
      </c>
      <c r="B25" s="40" t="s">
        <v>76</v>
      </c>
      <c r="C25" s="14">
        <f t="shared" si="4"/>
        <v>18.989999999999998</v>
      </c>
      <c r="D25" s="15">
        <v>1</v>
      </c>
      <c r="E25" s="15">
        <v>0</v>
      </c>
      <c r="F25" s="16">
        <v>18.989999999999998</v>
      </c>
      <c r="G25" s="16">
        <v>0</v>
      </c>
      <c r="H25" s="29">
        <f t="shared" si="1"/>
        <v>0</v>
      </c>
      <c r="I25" s="29">
        <f t="shared" si="2"/>
        <v>0.29722587911766418</v>
      </c>
      <c r="J25" s="30">
        <f t="shared" si="5"/>
        <v>5.6443194444444424</v>
      </c>
      <c r="K25" s="30">
        <f t="shared" si="3"/>
        <v>5.6443194444444424</v>
      </c>
      <c r="L25" s="15">
        <v>33</v>
      </c>
      <c r="M25" s="31">
        <f t="shared" si="6"/>
        <v>3.0303030303030304E-2</v>
      </c>
      <c r="N25" s="15">
        <v>1</v>
      </c>
      <c r="O25" s="32">
        <f t="shared" ref="O25:P25" si="33">D25/7</f>
        <v>0.14285714285714285</v>
      </c>
      <c r="P25" s="32">
        <f t="shared" si="33"/>
        <v>0</v>
      </c>
      <c r="Q25" s="27">
        <f t="shared" si="8"/>
        <v>7</v>
      </c>
      <c r="R25" s="27"/>
      <c r="S25" s="41">
        <v>3.4482758620689649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0.20810185185185184</v>
      </c>
      <c r="AD25" s="37">
        <f t="shared" si="12"/>
        <v>-0.28718055555555549</v>
      </c>
      <c r="AE25" s="42">
        <v>-5.42</v>
      </c>
      <c r="AF25" s="42">
        <v>-4.79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0.20810185185185184</v>
      </c>
      <c r="AD26" s="37">
        <f t="shared" si="12"/>
        <v>0</v>
      </c>
      <c r="AE26" s="42">
        <v>-5.68</v>
      </c>
      <c r="AF26" s="42">
        <v>-4.7904431818181799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0.20810185185185184</v>
      </c>
      <c r="AD27" s="37">
        <f t="shared" si="12"/>
        <v>0</v>
      </c>
      <c r="AE27" s="42">
        <v>-5.68</v>
      </c>
      <c r="AF27" s="42">
        <v>-4.7904431818181799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0.20810185185185184</v>
      </c>
      <c r="AD28" s="37">
        <f t="shared" si="12"/>
        <v>0</v>
      </c>
      <c r="AE28" s="42">
        <v>-5.68</v>
      </c>
      <c r="AF28" s="42">
        <v>-4.7904431818181799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0.20810185185185184</v>
      </c>
      <c r="AD29" s="37">
        <f t="shared" si="12"/>
        <v>0</v>
      </c>
      <c r="AE29" s="37">
        <v>-5.68</v>
      </c>
      <c r="AF29" s="42">
        <v>-4.7904431818181799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0.20810185185185184</v>
      </c>
      <c r="AD30" s="37">
        <f t="shared" si="12"/>
        <v>0</v>
      </c>
      <c r="AE30" s="42">
        <v>-5.68</v>
      </c>
      <c r="AF30" s="42">
        <v>-4.7566505750000001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0.20810185185185184</v>
      </c>
      <c r="AD31" s="37">
        <f t="shared" si="12"/>
        <v>0</v>
      </c>
      <c r="AE31" s="45">
        <v>-5.68</v>
      </c>
      <c r="AF31" s="45">
        <v>-4.7566505750000001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0.20810185185185184</v>
      </c>
      <c r="AD32" s="37">
        <f t="shared" si="12"/>
        <v>0</v>
      </c>
      <c r="AE32" s="42">
        <v>-5.68</v>
      </c>
      <c r="AF32" s="42">
        <v>-4.7566505750000001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Info!B1:BJ5000""),3,FALSE),"""")"),"Tissue Box Cover Square - Rustic Galvanized Metal Tissue Box Holder")</f>
        <v>Tissue Box Cover Square - Rustic Galvanized Metal Tissue Box Holder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Info!B1:BJ5000""),2,FALSE),"""")"),"B07SQF8WVF")</f>
        <v>B07SQF8WVF</v>
      </c>
      <c r="B2" s="3" t="s">
        <v>1270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08.75" customHeight="1" x14ac:dyDescent="0.2">
      <c r="A3" s="68" t="s">
        <v>31</v>
      </c>
      <c r="B3" s="69"/>
      <c r="C3" s="48">
        <f>((AE32+AF32)/0.85)*-1</f>
        <v>8.4408661792279425</v>
      </c>
      <c r="D3" s="5">
        <f>SUM(D4:D99767)</f>
        <v>376</v>
      </c>
      <c r="E3" s="5"/>
      <c r="F3" s="6">
        <f t="shared" ref="F3:G3" si="0">SUM(F4:F99767)</f>
        <v>5001.0599999999995</v>
      </c>
      <c r="G3" s="6">
        <f t="shared" si="0"/>
        <v>-14.15</v>
      </c>
      <c r="H3" s="7">
        <f t="shared" ref="H3:H32" si="1">G3/F3*-1</f>
        <v>2.8294001671645614E-3</v>
      </c>
      <c r="I3" s="8">
        <f t="shared" ref="I3:I32" si="2">J3/F3</f>
        <v>0.3050942326420617</v>
      </c>
      <c r="J3" s="6">
        <f>SUM(J4:J99767)</f>
        <v>1525.7945630969089</v>
      </c>
      <c r="K3" s="6">
        <f t="shared" ref="K3:K32" si="3">J3/D3</f>
        <v>4.0579642635556086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Sheet!a1:g5000""),2,FALSE),"""")"),"3.0 - March
3.0 - April
3.0 - May
3.0 - June
3.0 - July
3.0 - Aug
3.0 - Sept
3.0 - Oct
3.0 - Nov
3.0 - Dec
3.0 - Jan
3.0 - Feb")</f>
        <v>3.0 - March
3.0 - April
3.0 - May
3.0 - June
3.0 - July
3.0 - Aug
3.0 - Sept
3.0 - Oct
3.0 - Nov
3.0 - Dec
3.0 - Jan
3.0 -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QTY-234")</f>
        <v>US QTY-234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SUM(W4:W99767)</f>
        <v>12</v>
      </c>
      <c r="X3" s="7">
        <f>W3/D3</f>
        <v>3.1914893617021274E-2</v>
      </c>
      <c r="Y3" s="6"/>
      <c r="Z3" s="5"/>
      <c r="AA3" s="5"/>
      <c r="AB3" s="5"/>
      <c r="AC3" s="5"/>
      <c r="AD3" s="6">
        <f>SUM(AD4:AD99767)</f>
        <v>-57.564627443148908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Info!B2:BZ3000""),37,FALSE)),"""")*-1"),-3.53473625234375)</f>
        <v>-3.53473625234375</v>
      </c>
      <c r="AG3" s="6">
        <f>SUM(AG4:AG99767)</f>
        <v>0</v>
      </c>
    </row>
    <row r="4" spans="1:33" x14ac:dyDescent="0.2">
      <c r="A4" s="1" t="s">
        <v>32</v>
      </c>
      <c r="B4" s="2" t="s">
        <v>1271</v>
      </c>
      <c r="C4" s="14">
        <f t="shared" ref="C4:C32" si="4">IFERROR(F4/D4," - ")</f>
        <v>13.994705882352942</v>
      </c>
      <c r="D4" s="15">
        <v>17</v>
      </c>
      <c r="E4" s="15">
        <v>0</v>
      </c>
      <c r="F4" s="16">
        <v>237.91000000000003</v>
      </c>
      <c r="G4" s="16">
        <v>-0.48000000000000004</v>
      </c>
      <c r="H4" s="17">
        <f t="shared" si="1"/>
        <v>2.0175696692026398E-3</v>
      </c>
      <c r="I4" s="17">
        <f t="shared" si="2"/>
        <v>0.34233069192035959</v>
      </c>
      <c r="J4" s="16">
        <f t="shared" ref="J4:J32" si="5">F4*0.85+G4+AF4*D4+D4*AE4+AG4+AD4</f>
        <v>81.443894914772756</v>
      </c>
      <c r="K4" s="16">
        <f t="shared" si="3"/>
        <v>4.7908173479278089</v>
      </c>
      <c r="L4" s="15">
        <v>50</v>
      </c>
      <c r="M4" s="18">
        <f t="shared" ref="M4:M32" si="6">IFERROR(D4/L4,"-")</f>
        <v>0.34</v>
      </c>
      <c r="N4" s="15">
        <v>59</v>
      </c>
      <c r="O4" s="19">
        <f t="shared" ref="O4:P4" si="7">D4/7</f>
        <v>2.4285714285714284</v>
      </c>
      <c r="P4" s="19">
        <f t="shared" si="7"/>
        <v>0</v>
      </c>
      <c r="Q4" s="15">
        <f t="shared" ref="Q4:Q32" si="8">ROUNDDOWN(N4/(O4+P4),0)</f>
        <v>24</v>
      </c>
      <c r="R4" s="15"/>
      <c r="S4" s="20">
        <v>1.3159609120521101</v>
      </c>
      <c r="T4" s="2">
        <v>612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0.11093229166666668</v>
      </c>
      <c r="AD4" s="24">
        <f t="shared" ref="AD4:AD32" si="12">IFERROR(AB4*AC4*D4*2,0)</f>
        <v>-2.6024715625000003</v>
      </c>
      <c r="AE4" s="24">
        <v>-3.48</v>
      </c>
      <c r="AF4" s="24">
        <v>-3.443360795454546</v>
      </c>
      <c r="AG4" s="24">
        <v>0</v>
      </c>
    </row>
    <row r="5" spans="1:33" ht="15.75" customHeight="1" x14ac:dyDescent="0.2">
      <c r="A5" s="26" t="s">
        <v>35</v>
      </c>
      <c r="B5" s="2" t="s">
        <v>1271</v>
      </c>
      <c r="C5" s="14">
        <f t="shared" si="4"/>
        <v>12.56565217391304</v>
      </c>
      <c r="D5" s="27">
        <v>23</v>
      </c>
      <c r="E5" s="27">
        <v>0</v>
      </c>
      <c r="F5" s="28">
        <v>289.00999999999993</v>
      </c>
      <c r="G5" s="28">
        <v>-0.86</v>
      </c>
      <c r="H5" s="29">
        <f t="shared" si="1"/>
        <v>2.9756755821597875E-3</v>
      </c>
      <c r="I5" s="29">
        <f t="shared" si="2"/>
        <v>0.28385222249713321</v>
      </c>
      <c r="J5" s="30">
        <f t="shared" si="5"/>
        <v>82.036130823896457</v>
      </c>
      <c r="K5" s="30">
        <f t="shared" si="3"/>
        <v>3.5667882966911502</v>
      </c>
      <c r="L5" s="27">
        <v>106</v>
      </c>
      <c r="M5" s="31">
        <f t="shared" si="6"/>
        <v>0.21698113207547171</v>
      </c>
      <c r="N5" s="27">
        <v>84</v>
      </c>
      <c r="O5" s="32">
        <f t="shared" ref="O5:P5" si="13">D5/7</f>
        <v>3.2857142857142856</v>
      </c>
      <c r="P5" s="32">
        <f t="shared" si="13"/>
        <v>0</v>
      </c>
      <c r="Q5" s="27">
        <f t="shared" si="8"/>
        <v>25</v>
      </c>
      <c r="R5" s="27"/>
      <c r="S5" s="33">
        <v>1.3173241852487101</v>
      </c>
      <c r="T5" s="26">
        <v>612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0.11106083429895715</v>
      </c>
      <c r="AD5" s="37">
        <f t="shared" si="12"/>
        <v>-3.5250708806488995</v>
      </c>
      <c r="AE5" s="37">
        <v>-3.48</v>
      </c>
      <c r="AF5" s="37">
        <v>-3.443360795454546</v>
      </c>
      <c r="AG5" s="37">
        <v>0</v>
      </c>
    </row>
    <row r="6" spans="1:33" ht="15.75" customHeight="1" x14ac:dyDescent="0.2">
      <c r="A6" s="26" t="s">
        <v>38</v>
      </c>
      <c r="B6" s="2" t="s">
        <v>1271</v>
      </c>
      <c r="C6" s="14">
        <f t="shared" si="4"/>
        <v>12.028571428571428</v>
      </c>
      <c r="D6" s="27">
        <v>21</v>
      </c>
      <c r="E6" s="27">
        <v>0</v>
      </c>
      <c r="F6" s="28">
        <v>252.6</v>
      </c>
      <c r="G6" s="28">
        <v>-0.36000000000000004</v>
      </c>
      <c r="H6" s="29">
        <f t="shared" si="1"/>
        <v>1.4251781472684087E-3</v>
      </c>
      <c r="I6" s="29">
        <f t="shared" si="2"/>
        <v>0.26027159731969318</v>
      </c>
      <c r="J6" s="30">
        <f t="shared" si="5"/>
        <v>65.744605482954498</v>
      </c>
      <c r="K6" s="30">
        <f t="shared" si="3"/>
        <v>3.1306954991883096</v>
      </c>
      <c r="L6" s="27">
        <v>93</v>
      </c>
      <c r="M6" s="31">
        <f t="shared" si="6"/>
        <v>0.22580645161290322</v>
      </c>
      <c r="N6" s="27">
        <v>63</v>
      </c>
      <c r="O6" s="32">
        <f t="shared" ref="O6:P6" si="14">D6/7</f>
        <v>3</v>
      </c>
      <c r="P6" s="32">
        <f t="shared" si="14"/>
        <v>0</v>
      </c>
      <c r="Q6" s="27">
        <f t="shared" si="8"/>
        <v>21</v>
      </c>
      <c r="R6" s="27"/>
      <c r="S6" s="33">
        <v>1.4637964774951</v>
      </c>
      <c r="T6" s="26">
        <v>612</v>
      </c>
      <c r="U6" s="34">
        <v>132</v>
      </c>
      <c r="V6" s="49" t="s">
        <v>1272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0.11093229166666668</v>
      </c>
      <c r="AD6" s="37">
        <f t="shared" si="12"/>
        <v>-3.2148178125000006</v>
      </c>
      <c r="AE6" s="37">
        <v>-3.48</v>
      </c>
      <c r="AF6" s="37">
        <v>-3.443360795454546</v>
      </c>
      <c r="AG6" s="37">
        <v>0</v>
      </c>
    </row>
    <row r="7" spans="1:33" ht="15.75" customHeight="1" x14ac:dyDescent="0.2">
      <c r="A7" s="26" t="s">
        <v>41</v>
      </c>
      <c r="B7" s="26" t="s">
        <v>1273</v>
      </c>
      <c r="C7" s="14">
        <f t="shared" si="4"/>
        <v>12.122857142857148</v>
      </c>
      <c r="D7" s="27">
        <v>28</v>
      </c>
      <c r="E7" s="27">
        <v>0</v>
      </c>
      <c r="F7" s="28">
        <v>339.44000000000017</v>
      </c>
      <c r="G7" s="28">
        <v>-0.91999999999999993</v>
      </c>
      <c r="H7" s="29">
        <f t="shared" si="1"/>
        <v>2.7103464529813796E-3</v>
      </c>
      <c r="I7" s="29">
        <f t="shared" si="2"/>
        <v>0.26356196670184057</v>
      </c>
      <c r="J7" s="30">
        <f t="shared" si="5"/>
        <v>89.463473977272812</v>
      </c>
      <c r="K7" s="30">
        <f t="shared" si="3"/>
        <v>3.195124070616886</v>
      </c>
      <c r="L7" s="27">
        <v>95</v>
      </c>
      <c r="M7" s="31">
        <f t="shared" si="6"/>
        <v>0.29473684210526313</v>
      </c>
      <c r="N7" s="27">
        <v>37</v>
      </c>
      <c r="O7" s="32">
        <f t="shared" ref="O7:P7" si="15">D7/7</f>
        <v>4</v>
      </c>
      <c r="P7" s="32">
        <f t="shared" si="15"/>
        <v>0</v>
      </c>
      <c r="Q7" s="27">
        <f t="shared" si="8"/>
        <v>9</v>
      </c>
      <c r="R7" s="27"/>
      <c r="S7" s="33">
        <v>1.68564920273348</v>
      </c>
      <c r="T7" s="26">
        <v>612</v>
      </c>
      <c r="U7" s="34">
        <v>132</v>
      </c>
      <c r="V7" s="49" t="s">
        <v>1274</v>
      </c>
      <c r="W7" s="26">
        <v>2</v>
      </c>
      <c r="X7" s="36">
        <f t="shared" si="9"/>
        <v>7.1428571428571425E-2</v>
      </c>
      <c r="Y7" s="37">
        <f t="shared" si="10"/>
        <v>0.30666666666666664</v>
      </c>
      <c r="Z7" s="26">
        <v>1</v>
      </c>
      <c r="AA7" s="26" t="s">
        <v>37</v>
      </c>
      <c r="AB7" s="38">
        <f t="shared" si="11"/>
        <v>-0.69</v>
      </c>
      <c r="AC7" s="39">
        <v>0.11093229166666668</v>
      </c>
      <c r="AD7" s="37">
        <f t="shared" si="12"/>
        <v>-4.2864237500000009</v>
      </c>
      <c r="AE7" s="37">
        <v>-3.48</v>
      </c>
      <c r="AF7" s="37">
        <v>-3.443360795454546</v>
      </c>
      <c r="AG7" s="37">
        <v>0</v>
      </c>
    </row>
    <row r="8" spans="1:33" ht="15.75" customHeight="1" x14ac:dyDescent="0.2">
      <c r="A8" s="26" t="s">
        <v>43</v>
      </c>
      <c r="B8" s="26" t="s">
        <v>1275</v>
      </c>
      <c r="C8" s="14">
        <f t="shared" si="4"/>
        <v>13.034499999999998</v>
      </c>
      <c r="D8" s="27">
        <v>20</v>
      </c>
      <c r="E8" s="27">
        <v>0</v>
      </c>
      <c r="F8" s="28">
        <v>260.68999999999994</v>
      </c>
      <c r="G8" s="28">
        <v>-1.3100000000000003</v>
      </c>
      <c r="H8" s="29">
        <f t="shared" si="1"/>
        <v>5.0251256281407053E-3</v>
      </c>
      <c r="I8" s="29">
        <f t="shared" si="2"/>
        <v>0.30233138497832657</v>
      </c>
      <c r="J8" s="30">
        <f t="shared" si="5"/>
        <v>78.814768749999942</v>
      </c>
      <c r="K8" s="30">
        <f t="shared" si="3"/>
        <v>3.9407384374999972</v>
      </c>
      <c r="L8" s="27">
        <v>87</v>
      </c>
      <c r="M8" s="31">
        <f t="shared" si="6"/>
        <v>0.22988505747126436</v>
      </c>
      <c r="N8" s="27">
        <v>14</v>
      </c>
      <c r="O8" s="32">
        <f t="shared" ref="O8:P8" si="16">D8/7</f>
        <v>2.8571428571428572</v>
      </c>
      <c r="P8" s="32">
        <f t="shared" si="16"/>
        <v>0</v>
      </c>
      <c r="Q8" s="27">
        <f t="shared" si="8"/>
        <v>4</v>
      </c>
      <c r="R8" s="27"/>
      <c r="S8" s="33">
        <v>2.0634920634920602</v>
      </c>
      <c r="T8" s="26">
        <v>612</v>
      </c>
      <c r="U8" s="34">
        <v>132</v>
      </c>
      <c r="V8" s="35" t="s">
        <v>1276</v>
      </c>
      <c r="W8" s="26">
        <v>1</v>
      </c>
      <c r="X8" s="36">
        <f t="shared" si="9"/>
        <v>0.05</v>
      </c>
      <c r="Y8" s="37">
        <f t="shared" si="10"/>
        <v>1.3100000000000003</v>
      </c>
      <c r="Z8" s="26">
        <v>0</v>
      </c>
      <c r="AA8" s="26" t="s">
        <v>37</v>
      </c>
      <c r="AB8" s="38">
        <f t="shared" si="11"/>
        <v>-0.69</v>
      </c>
      <c r="AC8" s="39">
        <v>0.11093229166666668</v>
      </c>
      <c r="AD8" s="37">
        <f t="shared" si="12"/>
        <v>-3.0617312500000002</v>
      </c>
      <c r="AE8" s="37">
        <v>-3.48</v>
      </c>
      <c r="AF8" s="37">
        <v>-3.44</v>
      </c>
      <c r="AG8" s="37">
        <v>0</v>
      </c>
    </row>
    <row r="9" spans="1:33" ht="15.75" customHeight="1" x14ac:dyDescent="0.2">
      <c r="A9" s="26" t="s">
        <v>45</v>
      </c>
      <c r="B9" s="26" t="s">
        <v>461</v>
      </c>
      <c r="C9" s="14">
        <f t="shared" si="4"/>
        <v>13.502499999999998</v>
      </c>
      <c r="D9" s="27">
        <v>8</v>
      </c>
      <c r="E9" s="27">
        <v>1</v>
      </c>
      <c r="F9" s="28">
        <v>108.01999999999998</v>
      </c>
      <c r="G9" s="28">
        <v>-0.78999999999999992</v>
      </c>
      <c r="H9" s="29">
        <f t="shared" si="1"/>
        <v>7.313460470283281E-3</v>
      </c>
      <c r="I9" s="29">
        <f t="shared" si="2"/>
        <v>0.31104288978472039</v>
      </c>
      <c r="J9" s="30">
        <f t="shared" si="5"/>
        <v>33.598852954545492</v>
      </c>
      <c r="K9" s="30">
        <f t="shared" si="3"/>
        <v>4.1998566193181865</v>
      </c>
      <c r="L9" s="27">
        <v>59</v>
      </c>
      <c r="M9" s="31">
        <f t="shared" si="6"/>
        <v>0.13559322033898305</v>
      </c>
      <c r="N9" s="27">
        <v>0</v>
      </c>
      <c r="O9" s="32">
        <f t="shared" ref="O9:P9" si="17">D9/7</f>
        <v>1.1428571428571428</v>
      </c>
      <c r="P9" s="32">
        <f t="shared" si="17"/>
        <v>0.14285714285714285</v>
      </c>
      <c r="Q9" s="27">
        <f t="shared" si="8"/>
        <v>0</v>
      </c>
      <c r="R9" s="27"/>
      <c r="S9" s="33">
        <v>2.2307692307692299</v>
      </c>
      <c r="T9" s="26">
        <v>612</v>
      </c>
      <c r="U9" s="34">
        <v>132</v>
      </c>
      <c r="V9" s="35" t="s">
        <v>1277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0.11093229166666668</v>
      </c>
      <c r="AD9" s="37">
        <f t="shared" si="12"/>
        <v>-1.2246925000000002</v>
      </c>
      <c r="AE9" s="37">
        <v>-3.48</v>
      </c>
      <c r="AF9" s="37">
        <v>-3.5454318181818101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1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>
        <v>2.4675324675324601</v>
      </c>
      <c r="T10" s="26">
        <v>612</v>
      </c>
      <c r="U10" s="34">
        <v>132</v>
      </c>
      <c r="V10" s="35" t="s">
        <v>1277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0.11093229166666668</v>
      </c>
      <c r="AD10" s="37">
        <f t="shared" si="12"/>
        <v>0</v>
      </c>
      <c r="AE10" s="37">
        <v>-3.48</v>
      </c>
      <c r="AF10" s="37">
        <v>-3.5454318181818101</v>
      </c>
      <c r="AG10" s="37">
        <v>0</v>
      </c>
    </row>
    <row r="11" spans="1:33" ht="15.75" customHeight="1" x14ac:dyDescent="0.2">
      <c r="A11" s="26" t="s">
        <v>50</v>
      </c>
      <c r="B11" s="26" t="s">
        <v>461</v>
      </c>
      <c r="C11" s="14">
        <f t="shared" si="4"/>
        <v>13.99</v>
      </c>
      <c r="D11" s="27">
        <v>1</v>
      </c>
      <c r="E11" s="27">
        <v>0</v>
      </c>
      <c r="F11" s="28">
        <v>13.99</v>
      </c>
      <c r="G11" s="28">
        <v>0</v>
      </c>
      <c r="H11" s="29">
        <f t="shared" si="1"/>
        <v>0</v>
      </c>
      <c r="I11" s="29">
        <f t="shared" si="2"/>
        <v>0.33688217436155743</v>
      </c>
      <c r="J11" s="30">
        <f t="shared" si="5"/>
        <v>4.7129816193181888</v>
      </c>
      <c r="K11" s="30">
        <f t="shared" si="3"/>
        <v>4.7129816193181888</v>
      </c>
      <c r="L11" s="27">
        <v>12</v>
      </c>
      <c r="M11" s="31">
        <f t="shared" si="6"/>
        <v>8.3333333333333329E-2</v>
      </c>
      <c r="N11" s="27">
        <v>0</v>
      </c>
      <c r="O11" s="32">
        <f t="shared" ref="O11:P11" si="19">D11/7</f>
        <v>0.14285714285714285</v>
      </c>
      <c r="P11" s="32">
        <f t="shared" si="19"/>
        <v>0</v>
      </c>
      <c r="Q11" s="27">
        <f t="shared" si="8"/>
        <v>0</v>
      </c>
      <c r="R11" s="27"/>
      <c r="S11" s="33">
        <v>2.6717557251908302</v>
      </c>
      <c r="T11" s="26">
        <v>612</v>
      </c>
      <c r="U11" s="34">
        <v>132</v>
      </c>
      <c r="V11" s="35" t="s">
        <v>1278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0.11093229166666668</v>
      </c>
      <c r="AD11" s="37">
        <f t="shared" si="12"/>
        <v>-0.15308656250000002</v>
      </c>
      <c r="AE11" s="37">
        <v>-3.48</v>
      </c>
      <c r="AF11" s="37">
        <v>-3.5454318181818101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612</v>
      </c>
      <c r="U12" s="34">
        <v>132</v>
      </c>
      <c r="V12" s="35" t="s">
        <v>1279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-3.5454318181818101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612</v>
      </c>
      <c r="U13" s="34">
        <v>132</v>
      </c>
      <c r="V13" s="35" t="s">
        <v>1280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-3.5991534090909001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480</v>
      </c>
      <c r="U14" s="34">
        <v>480</v>
      </c>
      <c r="V14" s="35" t="s">
        <v>1281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-3.5991534090909001</v>
      </c>
      <c r="AG14" s="37">
        <v>0</v>
      </c>
    </row>
    <row r="15" spans="1:33" ht="15.75" customHeight="1" x14ac:dyDescent="0.2">
      <c r="A15" s="26" t="s">
        <v>58</v>
      </c>
      <c r="B15" s="26" t="s">
        <v>1282</v>
      </c>
      <c r="C15" s="14">
        <f t="shared" si="4"/>
        <v>13.989999999999998</v>
      </c>
      <c r="D15" s="27">
        <v>10</v>
      </c>
      <c r="E15" s="27">
        <v>0</v>
      </c>
      <c r="F15" s="30">
        <v>139.89999999999998</v>
      </c>
      <c r="G15" s="28">
        <v>-1.3100000000000003</v>
      </c>
      <c r="H15" s="29">
        <f t="shared" si="1"/>
        <v>9.3638313080772022E-3</v>
      </c>
      <c r="I15" s="29">
        <f t="shared" si="2"/>
        <v>0.32367834370329512</v>
      </c>
      <c r="J15" s="30">
        <f t="shared" si="5"/>
        <v>45.282600284090982</v>
      </c>
      <c r="K15" s="30">
        <f t="shared" si="3"/>
        <v>4.5282600284090986</v>
      </c>
      <c r="L15" s="27">
        <v>18</v>
      </c>
      <c r="M15" s="31">
        <f t="shared" si="6"/>
        <v>0.55555555555555558</v>
      </c>
      <c r="N15" s="27">
        <v>125</v>
      </c>
      <c r="O15" s="32">
        <f t="shared" ref="O15:P15" si="23">D15/7</f>
        <v>1.4285714285714286</v>
      </c>
      <c r="P15" s="32">
        <f t="shared" si="23"/>
        <v>0</v>
      </c>
      <c r="Q15" s="27">
        <f t="shared" si="8"/>
        <v>87</v>
      </c>
      <c r="R15" s="27"/>
      <c r="S15" s="33">
        <v>1.8405797101449199</v>
      </c>
      <c r="T15" s="26">
        <v>480</v>
      </c>
      <c r="U15" s="34">
        <v>480</v>
      </c>
      <c r="V15" s="35" t="s">
        <v>1283</v>
      </c>
      <c r="W15" s="26">
        <v>1</v>
      </c>
      <c r="X15" s="36">
        <f t="shared" si="9"/>
        <v>0.1</v>
      </c>
      <c r="Y15" s="37">
        <f t="shared" si="10"/>
        <v>1.3100000000000003</v>
      </c>
      <c r="Z15" s="26">
        <v>0</v>
      </c>
      <c r="AA15" s="26" t="s">
        <v>37</v>
      </c>
      <c r="AB15" s="38">
        <f t="shared" si="11"/>
        <v>-0.69</v>
      </c>
      <c r="AC15" s="39">
        <v>0.11093229166666668</v>
      </c>
      <c r="AD15" s="37">
        <f t="shared" si="12"/>
        <v>-1.5308656250000001</v>
      </c>
      <c r="AE15" s="37">
        <v>-3.48</v>
      </c>
      <c r="AF15" s="37">
        <v>-3.5991534090909001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14.003076923076922</v>
      </c>
      <c r="D16" s="27">
        <v>13</v>
      </c>
      <c r="E16" s="27">
        <v>0</v>
      </c>
      <c r="F16" s="30">
        <v>182.04</v>
      </c>
      <c r="G16" s="28">
        <v>-1.6</v>
      </c>
      <c r="H16" s="29">
        <f t="shared" si="1"/>
        <v>8.7892770819600098E-3</v>
      </c>
      <c r="I16" s="29">
        <f t="shared" si="2"/>
        <v>0.32473566452053559</v>
      </c>
      <c r="J16" s="30">
        <f t="shared" si="5"/>
        <v>59.114880369318293</v>
      </c>
      <c r="K16" s="30">
        <f t="shared" si="3"/>
        <v>4.5472984899475613</v>
      </c>
      <c r="L16" s="27">
        <v>48</v>
      </c>
      <c r="M16" s="31">
        <f t="shared" si="6"/>
        <v>0.27083333333333331</v>
      </c>
      <c r="N16" s="27">
        <v>108</v>
      </c>
      <c r="O16" s="32">
        <f t="shared" ref="O16:P16" si="24">D16/7</f>
        <v>1.8571428571428572</v>
      </c>
      <c r="P16" s="32">
        <f t="shared" si="24"/>
        <v>0</v>
      </c>
      <c r="Q16" s="27">
        <f t="shared" si="8"/>
        <v>58</v>
      </c>
      <c r="R16" s="27"/>
      <c r="S16" s="33">
        <v>2.4173913043478201</v>
      </c>
      <c r="T16" s="26">
        <v>480</v>
      </c>
      <c r="U16" s="34">
        <v>480</v>
      </c>
      <c r="V16" s="35" t="s">
        <v>1284</v>
      </c>
      <c r="W16" s="26">
        <v>1</v>
      </c>
      <c r="X16" s="36">
        <f t="shared" si="9"/>
        <v>7.6923076923076927E-2</v>
      </c>
      <c r="Y16" s="37">
        <f t="shared" si="10"/>
        <v>1.6</v>
      </c>
      <c r="Z16" s="26">
        <v>0</v>
      </c>
      <c r="AA16" s="26" t="s">
        <v>37</v>
      </c>
      <c r="AB16" s="38">
        <f t="shared" si="11"/>
        <v>-0.69</v>
      </c>
      <c r="AC16" s="39">
        <v>0.11093229166666668</v>
      </c>
      <c r="AD16" s="37">
        <f t="shared" si="12"/>
        <v>-1.9901253125000002</v>
      </c>
      <c r="AE16" s="37">
        <v>-3.48</v>
      </c>
      <c r="AF16" s="37">
        <v>-3.5991534090909001</v>
      </c>
      <c r="AG16" s="37">
        <v>0</v>
      </c>
    </row>
    <row r="17" spans="1:33" ht="15.75" customHeight="1" x14ac:dyDescent="0.2">
      <c r="A17" s="26" t="s">
        <v>61</v>
      </c>
      <c r="B17" s="26" t="s">
        <v>53</v>
      </c>
      <c r="C17" s="14">
        <f t="shared" si="4"/>
        <v>13.035714285714286</v>
      </c>
      <c r="D17" s="27">
        <v>14</v>
      </c>
      <c r="E17" s="27">
        <v>0</v>
      </c>
      <c r="F17" s="30">
        <v>182.5</v>
      </c>
      <c r="G17" s="28">
        <v>-1.5500000000000003</v>
      </c>
      <c r="H17" s="29">
        <f t="shared" si="1"/>
        <v>8.4931506849315087E-3</v>
      </c>
      <c r="I17" s="29">
        <f t="shared" si="2"/>
        <v>0.28670487889165686</v>
      </c>
      <c r="J17" s="30">
        <f t="shared" si="5"/>
        <v>52.323640397727381</v>
      </c>
      <c r="K17" s="30">
        <f t="shared" si="3"/>
        <v>3.7374028855519557</v>
      </c>
      <c r="L17" s="27">
        <v>74</v>
      </c>
      <c r="M17" s="31">
        <f t="shared" si="6"/>
        <v>0.1891891891891892</v>
      </c>
      <c r="N17" s="27">
        <v>87</v>
      </c>
      <c r="O17" s="32">
        <f t="shared" ref="O17:P17" si="25">D17/7</f>
        <v>2</v>
      </c>
      <c r="P17" s="32">
        <f t="shared" si="25"/>
        <v>0</v>
      </c>
      <c r="Q17" s="27">
        <f t="shared" si="8"/>
        <v>43</v>
      </c>
      <c r="R17" s="27"/>
      <c r="S17" s="33">
        <v>3.0967741935483799</v>
      </c>
      <c r="T17" s="26">
        <v>480</v>
      </c>
      <c r="U17" s="34">
        <v>480</v>
      </c>
      <c r="V17" s="35" t="s">
        <v>1284</v>
      </c>
      <c r="W17" s="26">
        <v>1</v>
      </c>
      <c r="X17" s="36">
        <f t="shared" si="9"/>
        <v>7.1428571428571425E-2</v>
      </c>
      <c r="Y17" s="37">
        <f t="shared" si="10"/>
        <v>0.51666666666666672</v>
      </c>
      <c r="Z17" s="26">
        <v>2</v>
      </c>
      <c r="AA17" s="26" t="s">
        <v>37</v>
      </c>
      <c r="AB17" s="38">
        <f t="shared" si="11"/>
        <v>-0.69</v>
      </c>
      <c r="AC17" s="39">
        <v>0.11093229166666668</v>
      </c>
      <c r="AD17" s="37">
        <f t="shared" si="12"/>
        <v>-2.1432118750000004</v>
      </c>
      <c r="AE17" s="37">
        <v>-3.48</v>
      </c>
      <c r="AF17" s="37">
        <v>-3.5991534090909001</v>
      </c>
      <c r="AG17" s="37">
        <v>0</v>
      </c>
    </row>
    <row r="18" spans="1:33" ht="15.75" customHeight="1" x14ac:dyDescent="0.2">
      <c r="A18" s="26" t="s">
        <v>62</v>
      </c>
      <c r="B18" s="26" t="s">
        <v>53</v>
      </c>
      <c r="C18" s="14">
        <f t="shared" si="4"/>
        <v>13.034800000000002</v>
      </c>
      <c r="D18" s="27">
        <v>25</v>
      </c>
      <c r="E18" s="27">
        <v>0</v>
      </c>
      <c r="F18" s="30">
        <v>325.87000000000006</v>
      </c>
      <c r="G18" s="28">
        <v>-0.85999999999999976</v>
      </c>
      <c r="H18" s="29">
        <f t="shared" si="1"/>
        <v>2.6390892073526241E-3</v>
      </c>
      <c r="I18" s="29">
        <f t="shared" si="2"/>
        <v>0.29252002550166473</v>
      </c>
      <c r="J18" s="30">
        <f t="shared" si="5"/>
        <v>95.323500710227506</v>
      </c>
      <c r="K18" s="30">
        <f t="shared" si="3"/>
        <v>3.8129400284091002</v>
      </c>
      <c r="L18" s="27">
        <v>76</v>
      </c>
      <c r="M18" s="31">
        <f t="shared" si="6"/>
        <v>0.32894736842105265</v>
      </c>
      <c r="N18" s="27">
        <v>69</v>
      </c>
      <c r="O18" s="32">
        <f t="shared" ref="O18:P18" si="26">D18/7</f>
        <v>3.5714285714285716</v>
      </c>
      <c r="P18" s="32">
        <f t="shared" si="26"/>
        <v>0</v>
      </c>
      <c r="Q18" s="27">
        <f t="shared" si="8"/>
        <v>19</v>
      </c>
      <c r="R18" s="27"/>
      <c r="S18" s="33">
        <v>3.1264367816091898</v>
      </c>
      <c r="T18" s="26">
        <v>480</v>
      </c>
      <c r="U18" s="34">
        <v>480</v>
      </c>
      <c r="V18" s="35" t="s">
        <v>1284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0.11093229166666668</v>
      </c>
      <c r="AD18" s="37">
        <f t="shared" si="12"/>
        <v>-3.8271640625000005</v>
      </c>
      <c r="AE18" s="37">
        <v>-3.48</v>
      </c>
      <c r="AF18" s="37">
        <v>-3.5991534090909001</v>
      </c>
      <c r="AG18" s="37">
        <v>0</v>
      </c>
    </row>
    <row r="19" spans="1:33" ht="15.75" customHeight="1" x14ac:dyDescent="0.2">
      <c r="A19" s="26" t="s">
        <v>64</v>
      </c>
      <c r="B19" s="26" t="s">
        <v>53</v>
      </c>
      <c r="C19" s="14">
        <f t="shared" si="4"/>
        <v>13.123157894736842</v>
      </c>
      <c r="D19" s="27">
        <v>19</v>
      </c>
      <c r="E19" s="27">
        <v>0</v>
      </c>
      <c r="F19" s="30">
        <v>249.34</v>
      </c>
      <c r="G19" s="28">
        <v>-0.69</v>
      </c>
      <c r="H19" s="29">
        <f t="shared" si="1"/>
        <v>2.7673056870137162E-3</v>
      </c>
      <c r="I19" s="29">
        <f t="shared" si="2"/>
        <v>0.29612753886168569</v>
      </c>
      <c r="J19" s="30">
        <f t="shared" si="5"/>
        <v>73.83644053977271</v>
      </c>
      <c r="K19" s="30">
        <f t="shared" si="3"/>
        <v>3.8861284494617214</v>
      </c>
      <c r="L19" s="27">
        <v>67</v>
      </c>
      <c r="M19" s="31">
        <f t="shared" si="6"/>
        <v>0.28358208955223879</v>
      </c>
      <c r="N19" s="27">
        <v>178</v>
      </c>
      <c r="O19" s="32">
        <f t="shared" ref="O19:P19" si="27">D19/7</f>
        <v>2.7142857142857144</v>
      </c>
      <c r="P19" s="32">
        <f t="shared" si="27"/>
        <v>0</v>
      </c>
      <c r="Q19" s="27">
        <f t="shared" si="8"/>
        <v>65</v>
      </c>
      <c r="R19" s="27"/>
      <c r="S19" s="33">
        <v>3.7105263157894699</v>
      </c>
      <c r="T19" s="26">
        <v>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0.11093229166666668</v>
      </c>
      <c r="AD19" s="37">
        <f t="shared" si="12"/>
        <v>-2.9086446875000003</v>
      </c>
      <c r="AE19" s="37">
        <v>-3.48</v>
      </c>
      <c r="AF19" s="37">
        <v>-3.5991534090909094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13.045384615384616</v>
      </c>
      <c r="D20" s="27">
        <v>13</v>
      </c>
      <c r="E20" s="27">
        <v>1</v>
      </c>
      <c r="F20" s="30">
        <v>169.59</v>
      </c>
      <c r="G20" s="28">
        <v>-0.64</v>
      </c>
      <c r="H20" s="29">
        <f t="shared" si="1"/>
        <v>3.7738074178902056E-3</v>
      </c>
      <c r="I20" s="29">
        <f t="shared" si="2"/>
        <v>0.29183548776058843</v>
      </c>
      <c r="J20" s="30">
        <f t="shared" si="5"/>
        <v>49.492380369318191</v>
      </c>
      <c r="K20" s="30">
        <f t="shared" si="3"/>
        <v>3.8071061822552457</v>
      </c>
      <c r="L20" s="27">
        <v>51</v>
      </c>
      <c r="M20" s="31">
        <f t="shared" si="6"/>
        <v>0.25490196078431371</v>
      </c>
      <c r="N20" s="27">
        <v>163</v>
      </c>
      <c r="O20" s="32">
        <f t="shared" ref="O20:P20" si="28">D20/7</f>
        <v>1.8571428571428572</v>
      </c>
      <c r="P20" s="32">
        <f t="shared" si="28"/>
        <v>0.14285714285714285</v>
      </c>
      <c r="Q20" s="27">
        <f t="shared" si="8"/>
        <v>81</v>
      </c>
      <c r="R20" s="27"/>
      <c r="S20" s="33">
        <v>1.51603498542274</v>
      </c>
      <c r="T20" s="26">
        <v>0</v>
      </c>
      <c r="U20" s="34" t="s">
        <v>34</v>
      </c>
      <c r="V20" s="35" t="s">
        <v>34</v>
      </c>
      <c r="W20" s="26">
        <v>2</v>
      </c>
      <c r="X20" s="36">
        <f t="shared" si="9"/>
        <v>0.15384615384615385</v>
      </c>
      <c r="Y20" s="37">
        <f t="shared" si="10"/>
        <v>0.32</v>
      </c>
      <c r="Z20" s="26">
        <v>0</v>
      </c>
      <c r="AA20" s="26" t="s">
        <v>37</v>
      </c>
      <c r="AB20" s="38">
        <f t="shared" si="11"/>
        <v>-0.69</v>
      </c>
      <c r="AC20" s="39">
        <v>0.11093229166666668</v>
      </c>
      <c r="AD20" s="37">
        <f t="shared" si="12"/>
        <v>-1.9901253125000002</v>
      </c>
      <c r="AE20" s="37">
        <v>-3.48</v>
      </c>
      <c r="AF20" s="37">
        <v>-3.5991534090909094</v>
      </c>
      <c r="AG20" s="37">
        <v>0</v>
      </c>
    </row>
    <row r="21" spans="1:33" ht="15.75" customHeight="1" x14ac:dyDescent="0.2">
      <c r="A21" s="26" t="s">
        <v>66</v>
      </c>
      <c r="B21" s="26" t="s">
        <v>1285</v>
      </c>
      <c r="C21" s="14">
        <f t="shared" si="4"/>
        <v>13.024482758620694</v>
      </c>
      <c r="D21" s="27">
        <v>29</v>
      </c>
      <c r="E21" s="27">
        <v>0</v>
      </c>
      <c r="F21" s="30">
        <v>377.71000000000015</v>
      </c>
      <c r="G21" s="28">
        <v>-0.95999999999999985</v>
      </c>
      <c r="H21" s="29">
        <f t="shared" si="1"/>
        <v>2.5416324693547944E-3</v>
      </c>
      <c r="I21" s="29">
        <f t="shared" si="2"/>
        <v>0.29217796940473822</v>
      </c>
      <c r="J21" s="30">
        <f t="shared" si="5"/>
        <v>110.35854082386372</v>
      </c>
      <c r="K21" s="30">
        <f t="shared" si="3"/>
        <v>3.8054669249608177</v>
      </c>
      <c r="L21" s="27">
        <v>35</v>
      </c>
      <c r="M21" s="31">
        <f t="shared" si="6"/>
        <v>0.82857142857142863</v>
      </c>
      <c r="N21" s="27">
        <v>121</v>
      </c>
      <c r="O21" s="32">
        <f t="shared" ref="O21:P21" si="29">D21/7</f>
        <v>4.1428571428571432</v>
      </c>
      <c r="P21" s="32">
        <f t="shared" si="29"/>
        <v>0</v>
      </c>
      <c r="Q21" s="27">
        <f t="shared" si="8"/>
        <v>29</v>
      </c>
      <c r="R21" s="27"/>
      <c r="S21" s="33">
        <v>2.04580152671755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3.4482758620689655E-2</v>
      </c>
      <c r="Y21" s="37">
        <f t="shared" si="10"/>
        <v>0.47999999999999993</v>
      </c>
      <c r="Z21" s="26">
        <v>1</v>
      </c>
      <c r="AA21" s="26" t="s">
        <v>37</v>
      </c>
      <c r="AB21" s="38">
        <f t="shared" si="11"/>
        <v>-0.69</v>
      </c>
      <c r="AC21" s="39">
        <v>0.11093229166666668</v>
      </c>
      <c r="AD21" s="37">
        <f t="shared" si="12"/>
        <v>-4.4395103125000004</v>
      </c>
      <c r="AE21" s="37">
        <v>-3.48</v>
      </c>
      <c r="AF21" s="37">
        <v>-3.5991534090909094</v>
      </c>
      <c r="AG21" s="37">
        <v>0</v>
      </c>
    </row>
    <row r="22" spans="1:33" ht="15.75" customHeight="1" x14ac:dyDescent="0.2">
      <c r="A22" s="26" t="s">
        <v>67</v>
      </c>
      <c r="B22" s="26" t="s">
        <v>1286</v>
      </c>
      <c r="C22" s="14">
        <f t="shared" si="4"/>
        <v>13.822499999999998</v>
      </c>
      <c r="D22" s="27">
        <v>12</v>
      </c>
      <c r="E22" s="27">
        <v>0</v>
      </c>
      <c r="F22" s="28">
        <v>165.86999999999998</v>
      </c>
      <c r="G22" s="28">
        <v>-0.16</v>
      </c>
      <c r="H22" s="29">
        <f t="shared" si="1"/>
        <v>9.6461083981431257E-4</v>
      </c>
      <c r="I22" s="29">
        <f t="shared" si="2"/>
        <v>0.32581310870506458</v>
      </c>
      <c r="J22" s="30">
        <f t="shared" si="5"/>
        <v>54.042620340909053</v>
      </c>
      <c r="K22" s="30">
        <f t="shared" si="3"/>
        <v>4.5035516950757541</v>
      </c>
      <c r="L22" s="27">
        <v>63</v>
      </c>
      <c r="M22" s="31">
        <f t="shared" si="6"/>
        <v>0.19047619047619047</v>
      </c>
      <c r="N22" s="27">
        <v>120</v>
      </c>
      <c r="O22" s="32">
        <f t="shared" ref="O22:P22" si="30">D22/7</f>
        <v>1.7142857142857142</v>
      </c>
      <c r="P22" s="32">
        <f t="shared" si="30"/>
        <v>0</v>
      </c>
      <c r="Q22" s="27">
        <f t="shared" si="8"/>
        <v>70</v>
      </c>
      <c r="R22" s="27"/>
      <c r="S22" s="33">
        <v>2.5370370370370301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0.11093229166666668</v>
      </c>
      <c r="AD22" s="37">
        <f t="shared" si="12"/>
        <v>-1.8370387500000003</v>
      </c>
      <c r="AE22" s="37">
        <v>-3.48</v>
      </c>
      <c r="AF22" s="37">
        <v>-3.5991534090909094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13.43105263157895</v>
      </c>
      <c r="D23" s="27">
        <v>19</v>
      </c>
      <c r="E23" s="27">
        <v>0</v>
      </c>
      <c r="F23" s="30">
        <v>255.19000000000005</v>
      </c>
      <c r="G23" s="28">
        <v>-0.51</v>
      </c>
      <c r="H23" s="29">
        <f t="shared" si="1"/>
        <v>1.9985109134370467E-3</v>
      </c>
      <c r="I23" s="29">
        <f t="shared" si="2"/>
        <v>0.30952992099914867</v>
      </c>
      <c r="J23" s="30">
        <f t="shared" si="5"/>
        <v>78.98894053977277</v>
      </c>
      <c r="K23" s="30">
        <f t="shared" si="3"/>
        <v>4.1573126599880403</v>
      </c>
      <c r="L23" s="27">
        <v>53</v>
      </c>
      <c r="M23" s="31">
        <f t="shared" si="6"/>
        <v>0.35849056603773582</v>
      </c>
      <c r="N23" s="27">
        <v>104</v>
      </c>
      <c r="O23" s="32">
        <f t="shared" ref="O23:P23" si="31">D23/7</f>
        <v>2.7142857142857144</v>
      </c>
      <c r="P23" s="32">
        <f t="shared" si="31"/>
        <v>0</v>
      </c>
      <c r="Q23" s="27">
        <f t="shared" si="8"/>
        <v>38</v>
      </c>
      <c r="R23" s="27"/>
      <c r="S23" s="33">
        <v>3.0416666666666599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0.11093229166666668</v>
      </c>
      <c r="AD23" s="37">
        <f t="shared" si="12"/>
        <v>-2.9086446875000003</v>
      </c>
      <c r="AE23" s="37">
        <v>-3.48</v>
      </c>
      <c r="AF23" s="37">
        <v>-3.5991534090909094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13.000000000000002</v>
      </c>
      <c r="D24" s="27">
        <v>24</v>
      </c>
      <c r="E24" s="27">
        <v>1</v>
      </c>
      <c r="F24" s="30">
        <v>312.00000000000006</v>
      </c>
      <c r="G24" s="30">
        <v>-0.4</v>
      </c>
      <c r="H24" s="29">
        <f t="shared" si="1"/>
        <v>1.2820512820512818E-3</v>
      </c>
      <c r="I24" s="29">
        <f t="shared" si="2"/>
        <v>0.29239179705710971</v>
      </c>
      <c r="J24" s="30">
        <f t="shared" si="5"/>
        <v>91.22624068181824</v>
      </c>
      <c r="K24" s="30">
        <f t="shared" si="3"/>
        <v>3.8010933617424265</v>
      </c>
      <c r="L24" s="27">
        <v>63</v>
      </c>
      <c r="M24" s="31">
        <f t="shared" si="6"/>
        <v>0.38095238095238093</v>
      </c>
      <c r="N24" s="27">
        <v>80</v>
      </c>
      <c r="O24" s="32">
        <f t="shared" ref="O24:P24" si="32">D24/7</f>
        <v>3.4285714285714284</v>
      </c>
      <c r="P24" s="32">
        <f t="shared" si="32"/>
        <v>0.14285714285714285</v>
      </c>
      <c r="Q24" s="27">
        <f t="shared" si="8"/>
        <v>22</v>
      </c>
      <c r="R24" s="27"/>
      <c r="S24" s="33">
        <v>1.55555555555555</v>
      </c>
      <c r="T24" s="26">
        <v>0</v>
      </c>
      <c r="U24" s="34" t="s">
        <v>34</v>
      </c>
      <c r="V24" s="35" t="s">
        <v>34</v>
      </c>
      <c r="W24" s="26">
        <v>2</v>
      </c>
      <c r="X24" s="36">
        <f t="shared" si="9"/>
        <v>8.3333333333333329E-2</v>
      </c>
      <c r="Y24" s="37">
        <f t="shared" si="10"/>
        <v>0.13333333333333333</v>
      </c>
      <c r="Z24" s="26">
        <v>1</v>
      </c>
      <c r="AA24" s="26" t="s">
        <v>37</v>
      </c>
      <c r="AB24" s="38">
        <f t="shared" si="11"/>
        <v>-0.69</v>
      </c>
      <c r="AC24" s="39">
        <v>0.11093229166666668</v>
      </c>
      <c r="AD24" s="37">
        <f t="shared" si="12"/>
        <v>-3.6740775000000006</v>
      </c>
      <c r="AE24" s="37">
        <v>-3.48</v>
      </c>
      <c r="AF24" s="37">
        <v>-3.5991534090909094</v>
      </c>
      <c r="AG24" s="37">
        <v>0</v>
      </c>
    </row>
    <row r="25" spans="1:33" ht="15.75" customHeight="1" x14ac:dyDescent="0.2">
      <c r="A25" s="40" t="s">
        <v>73</v>
      </c>
      <c r="B25" s="40" t="s">
        <v>1287</v>
      </c>
      <c r="C25" s="14">
        <f t="shared" si="4"/>
        <v>13.055555555555555</v>
      </c>
      <c r="D25" s="15">
        <v>18</v>
      </c>
      <c r="E25" s="15">
        <v>2</v>
      </c>
      <c r="F25" s="16">
        <v>235</v>
      </c>
      <c r="G25" s="16">
        <v>-0.08</v>
      </c>
      <c r="H25" s="29">
        <f t="shared" si="1"/>
        <v>3.4042553191489364E-4</v>
      </c>
      <c r="I25" s="29">
        <f t="shared" si="2"/>
        <v>0.29563592287234042</v>
      </c>
      <c r="J25" s="30">
        <f t="shared" si="5"/>
        <v>69.474441874999997</v>
      </c>
      <c r="K25" s="30">
        <f t="shared" si="3"/>
        <v>3.8596912152777776</v>
      </c>
      <c r="L25" s="15">
        <v>75</v>
      </c>
      <c r="M25" s="31">
        <f t="shared" si="6"/>
        <v>0.24</v>
      </c>
      <c r="N25" s="15">
        <v>55</v>
      </c>
      <c r="O25" s="32">
        <f t="shared" ref="O25:P25" si="33">D25/7</f>
        <v>2.5714285714285716</v>
      </c>
      <c r="P25" s="32">
        <f t="shared" si="33"/>
        <v>0.2857142857142857</v>
      </c>
      <c r="Q25" s="27">
        <f t="shared" si="8"/>
        <v>19</v>
      </c>
      <c r="R25" s="27"/>
      <c r="S25" s="41">
        <v>2.404907975460123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0.11093229166666668</v>
      </c>
      <c r="AD25" s="37">
        <f t="shared" si="12"/>
        <v>-2.7555581250000003</v>
      </c>
      <c r="AE25" s="42">
        <v>-3.48</v>
      </c>
      <c r="AF25" s="42">
        <v>-3.6</v>
      </c>
      <c r="AG25" s="42">
        <v>0</v>
      </c>
    </row>
    <row r="26" spans="1:33" ht="15.75" customHeight="1" x14ac:dyDescent="0.2">
      <c r="A26" s="40" t="s">
        <v>75</v>
      </c>
      <c r="B26" s="40" t="s">
        <v>1288</v>
      </c>
      <c r="C26" s="14">
        <f t="shared" si="4"/>
        <v>13.831818181818182</v>
      </c>
      <c r="D26" s="15">
        <v>22</v>
      </c>
      <c r="E26" s="15">
        <v>1</v>
      </c>
      <c r="F26" s="16">
        <v>304.3</v>
      </c>
      <c r="G26" s="16">
        <v>0</v>
      </c>
      <c r="H26" s="29">
        <f t="shared" si="1"/>
        <v>0</v>
      </c>
      <c r="I26" s="29">
        <f t="shared" si="2"/>
        <v>0.31556267047321795</v>
      </c>
      <c r="J26" s="30">
        <f t="shared" si="5"/>
        <v>96.025720625000233</v>
      </c>
      <c r="K26" s="30">
        <f t="shared" si="3"/>
        <v>4.3648054829545559</v>
      </c>
      <c r="L26" s="15">
        <v>61</v>
      </c>
      <c r="M26" s="31">
        <f t="shared" si="6"/>
        <v>0.36065573770491804</v>
      </c>
      <c r="N26" s="15">
        <v>34</v>
      </c>
      <c r="O26" s="32">
        <f t="shared" ref="O26:P26" si="34">D26/7</f>
        <v>3.1428571428571428</v>
      </c>
      <c r="P26" s="32">
        <f t="shared" si="34"/>
        <v>0.14285714285714285</v>
      </c>
      <c r="Q26" s="27">
        <f t="shared" si="8"/>
        <v>10</v>
      </c>
      <c r="R26" s="27"/>
      <c r="S26" s="41">
        <v>3.1970260223048328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0.11093229166666668</v>
      </c>
      <c r="AD26" s="37">
        <f t="shared" si="12"/>
        <v>-3.3679043750000006</v>
      </c>
      <c r="AE26" s="42">
        <v>-3.64</v>
      </c>
      <c r="AF26" s="42">
        <v>-3.5991534090909001</v>
      </c>
      <c r="AG26" s="42">
        <v>0</v>
      </c>
    </row>
    <row r="27" spans="1:33" ht="15.75" customHeight="1" x14ac:dyDescent="0.2">
      <c r="A27" s="40" t="s">
        <v>77</v>
      </c>
      <c r="B27" s="26" t="s">
        <v>53</v>
      </c>
      <c r="C27" s="14">
        <f t="shared" si="4"/>
        <v>14.89</v>
      </c>
      <c r="D27" s="15">
        <v>10</v>
      </c>
      <c r="E27" s="15">
        <v>0</v>
      </c>
      <c r="F27" s="16">
        <v>148.9</v>
      </c>
      <c r="G27" s="16">
        <v>0</v>
      </c>
      <c r="H27" s="29">
        <f t="shared" si="1"/>
        <v>0</v>
      </c>
      <c r="I27" s="29">
        <f t="shared" si="2"/>
        <v>0.35354331957079249</v>
      </c>
      <c r="J27" s="30">
        <f t="shared" si="5"/>
        <v>52.642600284091003</v>
      </c>
      <c r="K27" s="30">
        <f t="shared" si="3"/>
        <v>5.2642600284091001</v>
      </c>
      <c r="L27" s="15">
        <v>62</v>
      </c>
      <c r="M27" s="31">
        <f t="shared" si="6"/>
        <v>0.16129032258064516</v>
      </c>
      <c r="N27" s="15">
        <v>24</v>
      </c>
      <c r="O27" s="32">
        <f t="shared" ref="O27:P27" si="35">D27/7</f>
        <v>1.4285714285714286</v>
      </c>
      <c r="P27" s="32">
        <f t="shared" si="35"/>
        <v>0</v>
      </c>
      <c r="Q27" s="27">
        <f t="shared" si="8"/>
        <v>16</v>
      </c>
      <c r="R27" s="27"/>
      <c r="S27" s="41">
        <v>4.2592592592592604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0.11093229166666668</v>
      </c>
      <c r="AD27" s="37">
        <f t="shared" si="12"/>
        <v>-1.5308656250000001</v>
      </c>
      <c r="AE27" s="42">
        <v>-3.64</v>
      </c>
      <c r="AF27" s="42">
        <v>-3.5991534090909001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15.123333333333335</v>
      </c>
      <c r="D28" s="15">
        <v>9</v>
      </c>
      <c r="E28" s="15">
        <v>0</v>
      </c>
      <c r="F28" s="16">
        <v>136.11000000000001</v>
      </c>
      <c r="G28" s="16">
        <v>-0.24</v>
      </c>
      <c r="H28" s="29">
        <f t="shared" si="1"/>
        <v>1.7632797002424508E-3</v>
      </c>
      <c r="I28" s="29">
        <f t="shared" si="2"/>
        <v>0.35943971975374256</v>
      </c>
      <c r="J28" s="30">
        <f t="shared" si="5"/>
        <v>48.923340255681907</v>
      </c>
      <c r="K28" s="30">
        <f t="shared" si="3"/>
        <v>5.4359266950757679</v>
      </c>
      <c r="L28" s="15">
        <v>46</v>
      </c>
      <c r="M28" s="31">
        <f t="shared" si="6"/>
        <v>0.19565217391304349</v>
      </c>
      <c r="N28" s="15">
        <v>16</v>
      </c>
      <c r="O28" s="32">
        <f t="shared" ref="O28:P28" si="36">D28/7</f>
        <v>1.2857142857142858</v>
      </c>
      <c r="P28" s="32">
        <f t="shared" si="36"/>
        <v>0</v>
      </c>
      <c r="Q28" s="27">
        <f t="shared" si="8"/>
        <v>12</v>
      </c>
      <c r="R28" s="27"/>
      <c r="S28" s="41">
        <v>2.1552511415525109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0.11093229166666668</v>
      </c>
      <c r="AD28" s="37">
        <f t="shared" si="12"/>
        <v>-1.3777790625000002</v>
      </c>
      <c r="AE28" s="42">
        <v>-3.64</v>
      </c>
      <c r="AF28" s="42">
        <v>-3.5991534090909001</v>
      </c>
      <c r="AG28" s="42">
        <v>0</v>
      </c>
    </row>
    <row r="29" spans="1:33" ht="15.75" customHeight="1" x14ac:dyDescent="0.2">
      <c r="A29" s="26" t="s">
        <v>82</v>
      </c>
      <c r="B29" s="26" t="s">
        <v>76</v>
      </c>
      <c r="C29" s="14">
        <f t="shared" si="4"/>
        <v>15.02222222222222</v>
      </c>
      <c r="D29" s="27">
        <v>9</v>
      </c>
      <c r="E29" s="27">
        <v>0</v>
      </c>
      <c r="F29" s="30">
        <v>135.19999999999999</v>
      </c>
      <c r="G29" s="30">
        <v>-0.16</v>
      </c>
      <c r="H29" s="29">
        <f t="shared" si="1"/>
        <v>1.1834319526627221E-3</v>
      </c>
      <c r="I29" s="29">
        <f t="shared" si="2"/>
        <v>0.35672958768995477</v>
      </c>
      <c r="J29" s="30">
        <f t="shared" si="5"/>
        <v>48.229840255681879</v>
      </c>
      <c r="K29" s="30">
        <f t="shared" si="3"/>
        <v>5.3588711395202084</v>
      </c>
      <c r="L29" s="27">
        <v>51</v>
      </c>
      <c r="M29" s="31">
        <f t="shared" si="6"/>
        <v>0.17647058823529413</v>
      </c>
      <c r="N29" s="15">
        <v>7</v>
      </c>
      <c r="O29" s="32">
        <f t="shared" ref="O29:P29" si="37">D29/7</f>
        <v>1.2857142857142858</v>
      </c>
      <c r="P29" s="32">
        <f t="shared" si="37"/>
        <v>0</v>
      </c>
      <c r="Q29" s="27">
        <f t="shared" si="8"/>
        <v>5</v>
      </c>
      <c r="R29" s="27"/>
      <c r="S29" s="41">
        <v>2.584269662921348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0.16</v>
      </c>
      <c r="Z29" s="40">
        <v>1</v>
      </c>
      <c r="AA29" s="26" t="s">
        <v>37</v>
      </c>
      <c r="AB29" s="38">
        <f t="shared" si="11"/>
        <v>-0.69</v>
      </c>
      <c r="AC29" s="39">
        <v>0.11093229166666668</v>
      </c>
      <c r="AD29" s="37">
        <f t="shared" si="12"/>
        <v>-1.3777790625000002</v>
      </c>
      <c r="AE29" s="37">
        <v>-3.64</v>
      </c>
      <c r="AF29" s="42">
        <v>-3.5991534090909001</v>
      </c>
      <c r="AG29" s="37">
        <v>0</v>
      </c>
    </row>
    <row r="30" spans="1:33" ht="15.75" customHeight="1" x14ac:dyDescent="0.2">
      <c r="A30" s="40" t="s">
        <v>84</v>
      </c>
      <c r="B30" s="26" t="s">
        <v>76</v>
      </c>
      <c r="C30" s="14">
        <f t="shared" si="4"/>
        <v>14.989999999999998</v>
      </c>
      <c r="D30" s="15">
        <v>7</v>
      </c>
      <c r="E30" s="15">
        <v>0</v>
      </c>
      <c r="F30" s="16">
        <v>104.92999999999999</v>
      </c>
      <c r="G30" s="16">
        <v>-0.03</v>
      </c>
      <c r="H30" s="29">
        <f t="shared" si="1"/>
        <v>2.8590488897360146E-4</v>
      </c>
      <c r="I30" s="29">
        <f t="shared" si="2"/>
        <v>0.36086667584193011</v>
      </c>
      <c r="J30" s="30">
        <f t="shared" si="5"/>
        <v>37.865740296093726</v>
      </c>
      <c r="K30" s="30">
        <f t="shared" si="3"/>
        <v>5.4093914708705322</v>
      </c>
      <c r="L30" s="15">
        <v>26</v>
      </c>
      <c r="M30" s="31">
        <f t="shared" si="6"/>
        <v>0.26923076923076922</v>
      </c>
      <c r="N30" s="15">
        <v>1</v>
      </c>
      <c r="O30" s="32">
        <f t="shared" ref="O30:P30" si="38">D30/7</f>
        <v>1</v>
      </c>
      <c r="P30" s="32">
        <f t="shared" si="38"/>
        <v>0</v>
      </c>
      <c r="Q30" s="27">
        <f t="shared" si="8"/>
        <v>1</v>
      </c>
      <c r="R30" s="27"/>
      <c r="S30" s="41">
        <v>2.9042904290429039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0.11093229166666668</v>
      </c>
      <c r="AD30" s="37">
        <f t="shared" si="12"/>
        <v>-1.0716059375000002</v>
      </c>
      <c r="AE30" s="42">
        <v>-3.64</v>
      </c>
      <c r="AF30" s="42">
        <v>-3.53473625234375</v>
      </c>
      <c r="AG30" s="42">
        <v>0</v>
      </c>
    </row>
    <row r="31" spans="1:33" ht="15.75" customHeight="1" x14ac:dyDescent="0.2">
      <c r="A31" s="40" t="s">
        <v>87</v>
      </c>
      <c r="B31" s="26" t="s">
        <v>981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0.11093229166666668</v>
      </c>
      <c r="AD31" s="37">
        <f t="shared" si="12"/>
        <v>0</v>
      </c>
      <c r="AE31" s="45">
        <v>-3.64</v>
      </c>
      <c r="AF31" s="45">
        <v>-3.5347362523437504</v>
      </c>
      <c r="AG31" s="42">
        <v>0</v>
      </c>
    </row>
    <row r="32" spans="1:33" ht="15.75" customHeight="1" x14ac:dyDescent="0.2">
      <c r="A32" s="40" t="s">
        <v>90</v>
      </c>
      <c r="B32" s="50" t="s">
        <v>551</v>
      </c>
      <c r="C32" s="14">
        <f t="shared" si="4"/>
        <v>14.99</v>
      </c>
      <c r="D32" s="15">
        <v>5</v>
      </c>
      <c r="E32" s="15">
        <v>0</v>
      </c>
      <c r="F32" s="16">
        <v>74.95</v>
      </c>
      <c r="G32" s="16">
        <v>-0.24</v>
      </c>
      <c r="H32" s="29">
        <f t="shared" si="1"/>
        <v>3.2021347565043359E-3</v>
      </c>
      <c r="I32" s="29">
        <f t="shared" si="2"/>
        <v>0.35795044597439968</v>
      </c>
      <c r="J32" s="30">
        <f t="shared" si="5"/>
        <v>26.828385925781255</v>
      </c>
      <c r="K32" s="30">
        <f t="shared" si="3"/>
        <v>5.365677185156251</v>
      </c>
      <c r="L32" s="15">
        <v>35</v>
      </c>
      <c r="M32" s="31">
        <f t="shared" si="6"/>
        <v>0.14285714285714285</v>
      </c>
      <c r="N32" s="15">
        <v>122</v>
      </c>
      <c r="O32" s="32">
        <f t="shared" ref="O32:P32" si="40">D32/7</f>
        <v>0.7142857142857143</v>
      </c>
      <c r="P32" s="32">
        <f t="shared" si="40"/>
        <v>0</v>
      </c>
      <c r="Q32" s="27">
        <f t="shared" si="8"/>
        <v>170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1.663636363636364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1</v>
      </c>
      <c r="X32" s="36">
        <f t="shared" si="9"/>
        <v>0.2</v>
      </c>
      <c r="Y32" s="37">
        <f t="shared" si="10"/>
        <v>0.24</v>
      </c>
      <c r="Z32" s="40">
        <v>0</v>
      </c>
      <c r="AA32" s="40" t="s">
        <v>37</v>
      </c>
      <c r="AB32" s="38">
        <f t="shared" si="11"/>
        <v>-0.69</v>
      </c>
      <c r="AC32" s="44">
        <v>0.11093229166666668</v>
      </c>
      <c r="AD32" s="37">
        <f t="shared" si="12"/>
        <v>-0.76543281250000006</v>
      </c>
      <c r="AE32" s="42">
        <v>-3.64</v>
      </c>
      <c r="AF32" s="42">
        <v>-3.53473625234375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Info!B1:BJ5000""),3,FALSE),"""")"),"Tissue Box Cover Square, 2 Pack - Rustic Galvanized Metal Tissue Box Holders")</f>
        <v>Tissue Box Cover Square, 2 Pack - Rustic Galvanized Metal Tissue Box Holders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Info!B1:BJ5000""),2,FALSE),"""")"),"B084CZB5KQ")</f>
        <v>B084CZB5KQ</v>
      </c>
      <c r="B2" s="3" t="s">
        <v>1289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14.939224088235292</v>
      </c>
      <c r="D3" s="5">
        <f>SUM(D4:D99767)</f>
        <v>142</v>
      </c>
      <c r="E3" s="5"/>
      <c r="F3" s="6">
        <f t="shared" ref="F3:G3" si="0">SUM(F4:F99767)</f>
        <v>2958.0299999999988</v>
      </c>
      <c r="G3" s="6">
        <f t="shared" si="0"/>
        <v>-7.0400000000000018</v>
      </c>
      <c r="H3" s="7">
        <f t="shared" ref="H3:H32" si="1">G3/F3*-1</f>
        <v>2.379962339800477E-3</v>
      </c>
      <c r="I3" s="8">
        <f t="shared" ref="I3:I32" si="2">J3/F3</f>
        <v>0.21570641644143665</v>
      </c>
      <c r="J3" s="6">
        <f>SUM(J4:J99767)</f>
        <v>638.06605102626258</v>
      </c>
      <c r="K3" s="6">
        <f t="shared" ref="K3:K32" si="3">J3/D3</f>
        <v>4.493422894551145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Sheet!a1:g5000""),2,FALSE),"""")"),"1.0 - March
1.0 - April
1.0 - May
1.0 - June
1.0 - July
1.0 - Aug
1.0 - Sept
1.0 - Oct
1.0 - Nov
1.0 - Dec
1.0 - Jan
1.0 - Feb")</f>
        <v>1.0 - March
1.0 - April
1.0 - May
1.0 - June
1.0 - July
1.0 - Aug
1.0 - Sept
1.0 - Oct
1.0 - Nov
1.0 - Dec
1.0 - Jan
1.0 -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</v>
      </c>
      <c r="X3" s="7">
        <f>W3/D3</f>
        <v>5.6338028169014086E-2</v>
      </c>
      <c r="Y3" s="6"/>
      <c r="Z3" s="5"/>
      <c r="AA3" s="5"/>
      <c r="AB3" s="5"/>
      <c r="AC3" s="5"/>
      <c r="AD3" s="6">
        <f>SUM(AD4:AD99767)</f>
        <v>-43.423057638888899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Info!B2:BZ3000""),37,FALSE)),"""")*-1"),-7.018340475)</f>
        <v>-7.0183404749999996</v>
      </c>
      <c r="AG3" s="6">
        <f>SUM(AG4:AG99767)</f>
        <v>0</v>
      </c>
    </row>
    <row r="4" spans="1:33" ht="16" x14ac:dyDescent="0.2">
      <c r="A4" s="1" t="s">
        <v>32</v>
      </c>
      <c r="B4" s="2"/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116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-6.8487651515151518</v>
      </c>
      <c r="AG4" s="24">
        <v>0</v>
      </c>
    </row>
    <row r="5" spans="1:33" ht="15.75" customHeight="1" x14ac:dyDescent="0.2">
      <c r="A5" s="26" t="s">
        <v>35</v>
      </c>
      <c r="B5" s="26" t="s">
        <v>1290</v>
      </c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72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>
        <v>0.151898734177215</v>
      </c>
      <c r="T5" s="26">
        <v>116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0.22184820393974511</v>
      </c>
      <c r="AD5" s="37">
        <f t="shared" si="12"/>
        <v>0</v>
      </c>
      <c r="AE5" s="37">
        <v>-5.8</v>
      </c>
      <c r="AF5" s="37">
        <v>-6.8487651515151518</v>
      </c>
      <c r="AG5" s="37">
        <v>0</v>
      </c>
    </row>
    <row r="6" spans="1:33" ht="15.75" customHeight="1" x14ac:dyDescent="0.2">
      <c r="A6" s="26" t="s">
        <v>38</v>
      </c>
      <c r="B6" s="26" t="s">
        <v>1291</v>
      </c>
      <c r="C6" s="14">
        <f t="shared" si="4"/>
        <v>19.989999999999998</v>
      </c>
      <c r="D6" s="27">
        <v>10</v>
      </c>
      <c r="E6" s="27">
        <v>0</v>
      </c>
      <c r="F6" s="28">
        <v>199.89999999999998</v>
      </c>
      <c r="G6" s="28">
        <v>0</v>
      </c>
      <c r="H6" s="29">
        <f t="shared" si="1"/>
        <v>0</v>
      </c>
      <c r="I6" s="29">
        <f t="shared" si="2"/>
        <v>0.20194790735013957</v>
      </c>
      <c r="J6" s="30">
        <f t="shared" si="5"/>
        <v>40.369386679292894</v>
      </c>
      <c r="K6" s="30">
        <f t="shared" si="3"/>
        <v>4.0369386679292898</v>
      </c>
      <c r="L6" s="27">
        <v>43</v>
      </c>
      <c r="M6" s="31">
        <f t="shared" si="6"/>
        <v>0.23255813953488372</v>
      </c>
      <c r="N6" s="27">
        <v>52</v>
      </c>
      <c r="O6" s="32">
        <f t="shared" ref="O6:P6" si="14">D6/7</f>
        <v>1.4285714285714286</v>
      </c>
      <c r="P6" s="32">
        <f t="shared" si="14"/>
        <v>0</v>
      </c>
      <c r="Q6" s="27">
        <f t="shared" si="8"/>
        <v>36</v>
      </c>
      <c r="R6" s="27"/>
      <c r="S6" s="33">
        <v>0.18181818181818099</v>
      </c>
      <c r="T6" s="26">
        <v>120</v>
      </c>
      <c r="U6" s="34">
        <v>120</v>
      </c>
      <c r="V6" s="35" t="s">
        <v>1233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0.22159143518518523</v>
      </c>
      <c r="AD6" s="37">
        <f t="shared" si="12"/>
        <v>-3.0579618055555557</v>
      </c>
      <c r="AE6" s="37">
        <v>-5.8</v>
      </c>
      <c r="AF6" s="37">
        <v>-6.8487651515151518</v>
      </c>
      <c r="AG6" s="37">
        <v>0</v>
      </c>
    </row>
    <row r="7" spans="1:33" ht="15.75" customHeight="1" x14ac:dyDescent="0.2">
      <c r="A7" s="26" t="s">
        <v>41</v>
      </c>
      <c r="B7" s="26" t="s">
        <v>630</v>
      </c>
      <c r="C7" s="14">
        <f t="shared" si="4"/>
        <v>22.54</v>
      </c>
      <c r="D7" s="27">
        <v>1</v>
      </c>
      <c r="E7" s="27">
        <v>0</v>
      </c>
      <c r="F7" s="28">
        <v>22.54</v>
      </c>
      <c r="G7" s="28">
        <v>0</v>
      </c>
      <c r="H7" s="29">
        <f t="shared" si="1"/>
        <v>0</v>
      </c>
      <c r="I7" s="29">
        <f t="shared" si="2"/>
        <v>0.27526347240147697</v>
      </c>
      <c r="J7" s="30">
        <f t="shared" si="5"/>
        <v>6.2044386679292911</v>
      </c>
      <c r="K7" s="30">
        <f t="shared" si="3"/>
        <v>6.2044386679292911</v>
      </c>
      <c r="L7" s="27">
        <v>34</v>
      </c>
      <c r="M7" s="31">
        <f t="shared" si="6"/>
        <v>2.9411764705882353E-2</v>
      </c>
      <c r="N7" s="27">
        <v>44</v>
      </c>
      <c r="O7" s="32">
        <f t="shared" ref="O7:P7" si="15">D7/7</f>
        <v>0.14285714285714285</v>
      </c>
      <c r="P7" s="32">
        <f t="shared" si="15"/>
        <v>0</v>
      </c>
      <c r="Q7" s="27">
        <f t="shared" si="8"/>
        <v>308</v>
      </c>
      <c r="R7" s="27"/>
      <c r="S7" s="33">
        <v>0.83333333333333304</v>
      </c>
      <c r="T7" s="26">
        <v>120</v>
      </c>
      <c r="U7" s="34">
        <v>120</v>
      </c>
      <c r="V7" s="35" t="s">
        <v>1233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0.22159143518518523</v>
      </c>
      <c r="AD7" s="37">
        <f t="shared" si="12"/>
        <v>-0.30579618055555557</v>
      </c>
      <c r="AE7" s="37">
        <v>-5.8</v>
      </c>
      <c r="AF7" s="37">
        <v>-6.8487651515151518</v>
      </c>
      <c r="AG7" s="37">
        <v>0</v>
      </c>
    </row>
    <row r="8" spans="1:33" ht="15.75" customHeight="1" x14ac:dyDescent="0.2">
      <c r="A8" s="26" t="s">
        <v>43</v>
      </c>
      <c r="B8" s="26" t="s">
        <v>1292</v>
      </c>
      <c r="C8" s="14">
        <f t="shared" si="4"/>
        <v>23.151999999999997</v>
      </c>
      <c r="D8" s="27">
        <v>10</v>
      </c>
      <c r="E8" s="27">
        <v>0</v>
      </c>
      <c r="F8" s="28">
        <v>231.51999999999998</v>
      </c>
      <c r="G8" s="28">
        <v>0</v>
      </c>
      <c r="H8" s="29">
        <f t="shared" si="1"/>
        <v>0</v>
      </c>
      <c r="I8" s="29">
        <f t="shared" si="2"/>
        <v>0.2904027219870613</v>
      </c>
      <c r="J8" s="30">
        <f t="shared" si="5"/>
        <v>67.234038194444423</v>
      </c>
      <c r="K8" s="30">
        <f t="shared" si="3"/>
        <v>6.7234038194444423</v>
      </c>
      <c r="L8" s="27">
        <v>44</v>
      </c>
      <c r="M8" s="31">
        <f t="shared" si="6"/>
        <v>0.22727272727272727</v>
      </c>
      <c r="N8" s="27">
        <v>34</v>
      </c>
      <c r="O8" s="32">
        <f t="shared" ref="O8:P8" si="16">D8/7</f>
        <v>1.4285714285714286</v>
      </c>
      <c r="P8" s="32">
        <f t="shared" si="16"/>
        <v>0</v>
      </c>
      <c r="Q8" s="27">
        <f t="shared" si="8"/>
        <v>23</v>
      </c>
      <c r="R8" s="27"/>
      <c r="S8" s="33">
        <v>2.1621621621621601</v>
      </c>
      <c r="T8" s="26">
        <v>120</v>
      </c>
      <c r="U8" s="34">
        <v>120</v>
      </c>
      <c r="V8" s="35" t="s">
        <v>1233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0.22159143518518523</v>
      </c>
      <c r="AD8" s="37">
        <f t="shared" si="12"/>
        <v>-3.0579618055555557</v>
      </c>
      <c r="AE8" s="37">
        <v>-5.8</v>
      </c>
      <c r="AF8" s="37">
        <v>-6.85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24.105</v>
      </c>
      <c r="D9" s="27">
        <v>2</v>
      </c>
      <c r="E9" s="27">
        <v>0</v>
      </c>
      <c r="F9" s="28">
        <v>48.21</v>
      </c>
      <c r="G9" s="28">
        <v>0</v>
      </c>
      <c r="H9" s="29">
        <f t="shared" si="1"/>
        <v>0</v>
      </c>
      <c r="I9" s="29">
        <f t="shared" si="2"/>
        <v>0.30471953642418803</v>
      </c>
      <c r="J9" s="30">
        <f t="shared" si="5"/>
        <v>14.690528851010106</v>
      </c>
      <c r="K9" s="30">
        <f t="shared" si="3"/>
        <v>7.3452644255050528</v>
      </c>
      <c r="L9" s="27">
        <v>41</v>
      </c>
      <c r="M9" s="31">
        <f t="shared" si="6"/>
        <v>4.878048780487805E-2</v>
      </c>
      <c r="N9" s="27">
        <v>31</v>
      </c>
      <c r="O9" s="32">
        <f t="shared" ref="O9:P9" si="17">D9/7</f>
        <v>0.2857142857142857</v>
      </c>
      <c r="P9" s="32">
        <f t="shared" si="17"/>
        <v>0</v>
      </c>
      <c r="Q9" s="27">
        <f t="shared" si="8"/>
        <v>108</v>
      </c>
      <c r="R9" s="27"/>
      <c r="S9" s="33">
        <v>0.94845360824742198</v>
      </c>
      <c r="T9" s="26">
        <v>120</v>
      </c>
      <c r="U9" s="34">
        <v>120</v>
      </c>
      <c r="V9" s="35" t="s">
        <v>1234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0.22159143518518523</v>
      </c>
      <c r="AD9" s="37">
        <f t="shared" si="12"/>
        <v>-0.61159236111111115</v>
      </c>
      <c r="AE9" s="37">
        <v>-5.8</v>
      </c>
      <c r="AF9" s="37">
        <v>-7.0381893939393896</v>
      </c>
      <c r="AG9" s="37">
        <v>0</v>
      </c>
    </row>
    <row r="10" spans="1:33" ht="15.75" customHeight="1" x14ac:dyDescent="0.2">
      <c r="A10" s="26" t="s">
        <v>48</v>
      </c>
      <c r="B10" s="26" t="s">
        <v>630</v>
      </c>
      <c r="C10" s="14">
        <f t="shared" si="4"/>
        <v>21.48</v>
      </c>
      <c r="D10" s="27">
        <v>1</v>
      </c>
      <c r="E10" s="27">
        <v>0</v>
      </c>
      <c r="F10" s="28">
        <v>21.48</v>
      </c>
      <c r="G10" s="28">
        <v>-0.42000000000000004</v>
      </c>
      <c r="H10" s="29">
        <f t="shared" si="1"/>
        <v>1.9553072625698324E-2</v>
      </c>
      <c r="I10" s="29">
        <f t="shared" si="2"/>
        <v>0.21852953563803779</v>
      </c>
      <c r="J10" s="30">
        <f t="shared" si="5"/>
        <v>4.6940144255050518</v>
      </c>
      <c r="K10" s="30">
        <f t="shared" si="3"/>
        <v>4.6940144255050518</v>
      </c>
      <c r="L10" s="27">
        <v>32</v>
      </c>
      <c r="M10" s="31">
        <f t="shared" si="6"/>
        <v>3.125E-2</v>
      </c>
      <c r="N10" s="27">
        <v>30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210</v>
      </c>
      <c r="R10" s="27"/>
      <c r="S10" s="33">
        <v>1.0105263157894699</v>
      </c>
      <c r="T10" s="26">
        <v>120</v>
      </c>
      <c r="U10" s="34">
        <v>120</v>
      </c>
      <c r="V10" s="35" t="s">
        <v>1234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0.22159143518518523</v>
      </c>
      <c r="AD10" s="37">
        <f t="shared" si="12"/>
        <v>-0.30579618055555557</v>
      </c>
      <c r="AE10" s="37">
        <v>-5.8</v>
      </c>
      <c r="AF10" s="37">
        <v>-7.0381893939393896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19.989999999999998</v>
      </c>
      <c r="D11" s="27">
        <v>5</v>
      </c>
      <c r="E11" s="27">
        <v>0</v>
      </c>
      <c r="F11" s="28">
        <v>99.949999999999989</v>
      </c>
      <c r="G11" s="28">
        <v>-0.16</v>
      </c>
      <c r="H11" s="29">
        <f t="shared" si="1"/>
        <v>1.6008004002001004E-3</v>
      </c>
      <c r="I11" s="29">
        <f t="shared" si="2"/>
        <v>0.19087115685367947</v>
      </c>
      <c r="J11" s="30">
        <f t="shared" si="5"/>
        <v>19.077572127525261</v>
      </c>
      <c r="K11" s="30">
        <f t="shared" si="3"/>
        <v>3.8155144255050524</v>
      </c>
      <c r="L11" s="27">
        <v>26</v>
      </c>
      <c r="M11" s="31">
        <f t="shared" si="6"/>
        <v>0.19230769230769232</v>
      </c>
      <c r="N11" s="27">
        <v>27</v>
      </c>
      <c r="O11" s="32">
        <f t="shared" ref="O11:P11" si="19">D11/7</f>
        <v>0.7142857142857143</v>
      </c>
      <c r="P11" s="32">
        <f t="shared" si="19"/>
        <v>0</v>
      </c>
      <c r="Q11" s="27">
        <f t="shared" si="8"/>
        <v>37</v>
      </c>
      <c r="R11" s="27"/>
      <c r="S11" s="33">
        <v>1.3333333333333299</v>
      </c>
      <c r="T11" s="26">
        <v>116</v>
      </c>
      <c r="U11" s="34">
        <v>116</v>
      </c>
      <c r="V11" s="35" t="s">
        <v>1293</v>
      </c>
      <c r="W11" s="26">
        <v>1</v>
      </c>
      <c r="X11" s="36">
        <f t="shared" si="9"/>
        <v>0.2</v>
      </c>
      <c r="Y11" s="37">
        <f t="shared" si="10"/>
        <v>0.16</v>
      </c>
      <c r="Z11" s="26">
        <v>0</v>
      </c>
      <c r="AA11" s="26" t="s">
        <v>37</v>
      </c>
      <c r="AB11" s="38">
        <f t="shared" si="11"/>
        <v>-0.69</v>
      </c>
      <c r="AC11" s="39">
        <v>0.22159143518518523</v>
      </c>
      <c r="AD11" s="37">
        <f t="shared" si="12"/>
        <v>-1.5289809027777779</v>
      </c>
      <c r="AE11" s="37">
        <v>-5.8</v>
      </c>
      <c r="AF11" s="37">
        <v>-7.0381893939393896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21.081428571428571</v>
      </c>
      <c r="D12" s="27">
        <v>7</v>
      </c>
      <c r="E12" s="27">
        <v>0</v>
      </c>
      <c r="F12" s="28">
        <v>147.57</v>
      </c>
      <c r="G12" s="28">
        <v>-0.59</v>
      </c>
      <c r="H12" s="29">
        <f t="shared" si="1"/>
        <v>3.9981025953784643E-3</v>
      </c>
      <c r="I12" s="29">
        <f t="shared" si="2"/>
        <v>0.22251542304354119</v>
      </c>
      <c r="J12" s="30">
        <f t="shared" si="5"/>
        <v>32.836600978535373</v>
      </c>
      <c r="K12" s="30">
        <f t="shared" si="3"/>
        <v>4.6909429969336243</v>
      </c>
      <c r="L12" s="27">
        <v>29</v>
      </c>
      <c r="M12" s="31">
        <f t="shared" si="6"/>
        <v>0.2413793103448276</v>
      </c>
      <c r="N12" s="27">
        <v>20</v>
      </c>
      <c r="O12" s="32">
        <f t="shared" ref="O12:P12" si="20">D12/7</f>
        <v>1</v>
      </c>
      <c r="P12" s="32">
        <f t="shared" si="20"/>
        <v>0</v>
      </c>
      <c r="Q12" s="27">
        <f t="shared" si="8"/>
        <v>20</v>
      </c>
      <c r="R12" s="27"/>
      <c r="S12" s="33">
        <v>2.19354838709677</v>
      </c>
      <c r="T12" s="26">
        <v>116</v>
      </c>
      <c r="U12" s="34">
        <v>116</v>
      </c>
      <c r="V12" s="35" t="s">
        <v>1294</v>
      </c>
      <c r="W12" s="26">
        <v>1</v>
      </c>
      <c r="X12" s="36">
        <f t="shared" si="9"/>
        <v>0.14285714285714285</v>
      </c>
      <c r="Y12" s="37">
        <f t="shared" si="10"/>
        <v>0.59</v>
      </c>
      <c r="Z12" s="26">
        <v>0</v>
      </c>
      <c r="AA12" s="26" t="s">
        <v>37</v>
      </c>
      <c r="AB12" s="38">
        <f t="shared" si="11"/>
        <v>-0.69</v>
      </c>
      <c r="AC12" s="39">
        <v>0.22159143518518523</v>
      </c>
      <c r="AD12" s="37">
        <f t="shared" si="12"/>
        <v>-2.1405732638888892</v>
      </c>
      <c r="AE12" s="37">
        <v>-5.8</v>
      </c>
      <c r="AF12" s="37">
        <v>-7.0381893939393896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20.95</v>
      </c>
      <c r="D13" s="27">
        <v>5</v>
      </c>
      <c r="E13" s="27">
        <v>0</v>
      </c>
      <c r="F13" s="30">
        <v>104.75</v>
      </c>
      <c r="G13" s="28">
        <v>-0.79999999999999993</v>
      </c>
      <c r="H13" s="29">
        <f t="shared" si="1"/>
        <v>7.6372315035799516E-3</v>
      </c>
      <c r="I13" s="29">
        <f t="shared" si="2"/>
        <v>0.21020608380945505</v>
      </c>
      <c r="J13" s="30">
        <f t="shared" si="5"/>
        <v>22.019087279040416</v>
      </c>
      <c r="K13" s="30">
        <f t="shared" si="3"/>
        <v>4.4038174558080829</v>
      </c>
      <c r="L13" s="27">
        <v>26</v>
      </c>
      <c r="M13" s="31">
        <f t="shared" si="6"/>
        <v>0.19230769230769232</v>
      </c>
      <c r="N13" s="27">
        <v>13</v>
      </c>
      <c r="O13" s="32">
        <f t="shared" ref="O13:P13" si="21">D13/7</f>
        <v>0.7142857142857143</v>
      </c>
      <c r="P13" s="32">
        <f t="shared" si="21"/>
        <v>0</v>
      </c>
      <c r="Q13" s="27">
        <f t="shared" si="8"/>
        <v>18</v>
      </c>
      <c r="R13" s="27"/>
      <c r="S13" s="33">
        <v>2.74074074074074</v>
      </c>
      <c r="T13" s="26">
        <v>116</v>
      </c>
      <c r="U13" s="34">
        <v>116</v>
      </c>
      <c r="V13" s="35" t="s">
        <v>1295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0.22159143518518523</v>
      </c>
      <c r="AD13" s="37">
        <f t="shared" si="12"/>
        <v>-1.5289809027777779</v>
      </c>
      <c r="AE13" s="37">
        <v>-5.8</v>
      </c>
      <c r="AF13" s="37">
        <v>-7.1378863636363601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20.619999999999997</v>
      </c>
      <c r="D14" s="27">
        <v>4</v>
      </c>
      <c r="E14" s="27">
        <v>0</v>
      </c>
      <c r="F14" s="30">
        <v>82.47999999999999</v>
      </c>
      <c r="G14" s="28">
        <v>-0.41000000000000003</v>
      </c>
      <c r="H14" s="29">
        <f t="shared" si="1"/>
        <v>4.9709020368574209E-3</v>
      </c>
      <c r="I14" s="29">
        <f t="shared" si="2"/>
        <v>0.20275545372493131</v>
      </c>
      <c r="J14" s="30">
        <f t="shared" si="5"/>
        <v>16.723269823232332</v>
      </c>
      <c r="K14" s="30">
        <f t="shared" si="3"/>
        <v>4.1808174558080831</v>
      </c>
      <c r="L14" s="27">
        <v>30</v>
      </c>
      <c r="M14" s="31">
        <f t="shared" si="6"/>
        <v>0.13333333333333333</v>
      </c>
      <c r="N14" s="27">
        <v>9</v>
      </c>
      <c r="O14" s="32">
        <f t="shared" ref="O14:P14" si="22">D14/7</f>
        <v>0.5714285714285714</v>
      </c>
      <c r="P14" s="32">
        <f t="shared" si="22"/>
        <v>0</v>
      </c>
      <c r="Q14" s="27">
        <f t="shared" si="8"/>
        <v>15</v>
      </c>
      <c r="R14" s="27"/>
      <c r="S14" s="33">
        <v>1.63636363636363</v>
      </c>
      <c r="T14" s="26">
        <v>0</v>
      </c>
      <c r="U14" s="34" t="s">
        <v>34</v>
      </c>
      <c r="V14" s="35" t="s">
        <v>34</v>
      </c>
      <c r="W14" s="26">
        <v>1</v>
      </c>
      <c r="X14" s="36">
        <f t="shared" si="9"/>
        <v>0.25</v>
      </c>
      <c r="Y14" s="37">
        <f t="shared" si="10"/>
        <v>0.41000000000000003</v>
      </c>
      <c r="Z14" s="26">
        <v>0</v>
      </c>
      <c r="AA14" s="26" t="s">
        <v>37</v>
      </c>
      <c r="AB14" s="38">
        <f t="shared" si="11"/>
        <v>-0.69</v>
      </c>
      <c r="AC14" s="39">
        <v>0.22159143518518523</v>
      </c>
      <c r="AD14" s="37">
        <f t="shared" si="12"/>
        <v>-1.2231847222222223</v>
      </c>
      <c r="AE14" s="37">
        <v>-5.8</v>
      </c>
      <c r="AF14" s="37">
        <v>-7.1378863636363601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21.211999999999996</v>
      </c>
      <c r="D15" s="27">
        <v>5</v>
      </c>
      <c r="E15" s="27">
        <v>0</v>
      </c>
      <c r="F15" s="30">
        <v>106.05999999999999</v>
      </c>
      <c r="G15" s="28">
        <v>-0.59000000000000008</v>
      </c>
      <c r="H15" s="29">
        <f t="shared" si="1"/>
        <v>5.5628889307938918E-3</v>
      </c>
      <c r="I15" s="29">
        <f t="shared" si="2"/>
        <v>0.22008850913671885</v>
      </c>
      <c r="J15" s="30">
        <f t="shared" si="5"/>
        <v>23.342587279040398</v>
      </c>
      <c r="K15" s="30">
        <f t="shared" si="3"/>
        <v>4.6685174558080798</v>
      </c>
      <c r="L15" s="27">
        <v>23</v>
      </c>
      <c r="M15" s="31">
        <f t="shared" si="6"/>
        <v>0.21739130434782608</v>
      </c>
      <c r="N15" s="27">
        <v>123</v>
      </c>
      <c r="O15" s="32">
        <f t="shared" ref="O15:P15" si="23">D15/7</f>
        <v>0.7142857142857143</v>
      </c>
      <c r="P15" s="32">
        <f t="shared" si="23"/>
        <v>0</v>
      </c>
      <c r="Q15" s="27">
        <f t="shared" si="8"/>
        <v>172</v>
      </c>
      <c r="R15" s="27"/>
      <c r="S15" s="33">
        <v>0.90566037735849003</v>
      </c>
      <c r="T15" s="26">
        <v>0</v>
      </c>
      <c r="U15" s="34" t="s">
        <v>34</v>
      </c>
      <c r="V15" s="35" t="s">
        <v>34</v>
      </c>
      <c r="W15" s="26">
        <v>1</v>
      </c>
      <c r="X15" s="36">
        <f t="shared" si="9"/>
        <v>0.2</v>
      </c>
      <c r="Y15" s="37">
        <f t="shared" si="10"/>
        <v>0.59000000000000008</v>
      </c>
      <c r="Z15" s="26">
        <v>0</v>
      </c>
      <c r="AA15" s="26" t="s">
        <v>37</v>
      </c>
      <c r="AB15" s="38">
        <f t="shared" si="11"/>
        <v>-0.69</v>
      </c>
      <c r="AC15" s="39">
        <v>0.22159143518518523</v>
      </c>
      <c r="AD15" s="37">
        <f t="shared" si="12"/>
        <v>-1.5289809027777779</v>
      </c>
      <c r="AE15" s="37">
        <v>-5.8</v>
      </c>
      <c r="AF15" s="37">
        <v>-7.1378863636363601</v>
      </c>
      <c r="AG15" s="37">
        <v>0</v>
      </c>
    </row>
    <row r="16" spans="1:33" ht="15.75" customHeight="1" x14ac:dyDescent="0.2">
      <c r="A16" s="26" t="s">
        <v>60</v>
      </c>
      <c r="B16" s="26" t="s">
        <v>666</v>
      </c>
      <c r="C16" s="14">
        <f t="shared" si="4"/>
        <v>24.466000000000001</v>
      </c>
      <c r="D16" s="27">
        <v>5</v>
      </c>
      <c r="E16" s="27">
        <v>0</v>
      </c>
      <c r="F16" s="30">
        <v>122.33</v>
      </c>
      <c r="G16" s="28">
        <v>-0.8</v>
      </c>
      <c r="H16" s="29">
        <f t="shared" si="1"/>
        <v>6.5396877299108971E-3</v>
      </c>
      <c r="I16" s="29">
        <f t="shared" si="2"/>
        <v>0.30215063581329532</v>
      </c>
      <c r="J16" s="30">
        <f t="shared" si="5"/>
        <v>36.962087279040418</v>
      </c>
      <c r="K16" s="30">
        <f t="shared" si="3"/>
        <v>7.3924174558080837</v>
      </c>
      <c r="L16" s="27">
        <v>18</v>
      </c>
      <c r="M16" s="31">
        <f t="shared" si="6"/>
        <v>0.27777777777777779</v>
      </c>
      <c r="N16" s="27">
        <v>116</v>
      </c>
      <c r="O16" s="32">
        <f t="shared" ref="O16:P16" si="24">D16/7</f>
        <v>0.7142857142857143</v>
      </c>
      <c r="P16" s="32">
        <f t="shared" si="24"/>
        <v>0</v>
      </c>
      <c r="Q16" s="27">
        <f t="shared" si="8"/>
        <v>162</v>
      </c>
      <c r="R16" s="27"/>
      <c r="S16" s="33">
        <v>1.1956521739130399</v>
      </c>
      <c r="T16" s="26">
        <v>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0.8</v>
      </c>
      <c r="Z16" s="26">
        <v>1</v>
      </c>
      <c r="AA16" s="26" t="s">
        <v>37</v>
      </c>
      <c r="AB16" s="38">
        <f t="shared" si="11"/>
        <v>-0.69</v>
      </c>
      <c r="AC16" s="39">
        <v>0.22159143518518523</v>
      </c>
      <c r="AD16" s="37">
        <f t="shared" si="12"/>
        <v>-1.5289809027777779</v>
      </c>
      <c r="AE16" s="37">
        <v>-5.8</v>
      </c>
      <c r="AF16" s="37">
        <v>-7.1378863636363601</v>
      </c>
      <c r="AG16" s="37">
        <v>0</v>
      </c>
    </row>
    <row r="17" spans="1:33" ht="15.75" customHeight="1" x14ac:dyDescent="0.2">
      <c r="A17" s="26" t="s">
        <v>61</v>
      </c>
      <c r="B17" s="26" t="s">
        <v>1296</v>
      </c>
      <c r="C17" s="14">
        <f t="shared" si="4"/>
        <v>21.383333333333336</v>
      </c>
      <c r="D17" s="27">
        <v>3</v>
      </c>
      <c r="E17" s="27">
        <v>0</v>
      </c>
      <c r="F17" s="30">
        <v>64.150000000000006</v>
      </c>
      <c r="G17" s="28">
        <v>-0.7</v>
      </c>
      <c r="H17" s="29">
        <f t="shared" si="1"/>
        <v>1.0911925175370225E-2</v>
      </c>
      <c r="I17" s="29">
        <f t="shared" si="2"/>
        <v>0.21974204781643422</v>
      </c>
      <c r="J17" s="30">
        <f t="shared" si="5"/>
        <v>14.096452367424257</v>
      </c>
      <c r="K17" s="30">
        <f t="shared" si="3"/>
        <v>4.6988174558080855</v>
      </c>
      <c r="L17" s="27">
        <v>22</v>
      </c>
      <c r="M17" s="31">
        <f t="shared" si="6"/>
        <v>0.13636363636363635</v>
      </c>
      <c r="N17" s="27">
        <v>86</v>
      </c>
      <c r="O17" s="32">
        <f t="shared" ref="O17:P17" si="25">D17/7</f>
        <v>0.42857142857142855</v>
      </c>
      <c r="P17" s="32">
        <f t="shared" si="25"/>
        <v>0</v>
      </c>
      <c r="Q17" s="27">
        <f t="shared" si="8"/>
        <v>200</v>
      </c>
      <c r="R17" s="27"/>
      <c r="S17" s="33">
        <v>1.64028776978417</v>
      </c>
      <c r="T17" s="26">
        <v>0</v>
      </c>
      <c r="U17" s="34" t="s">
        <v>34</v>
      </c>
      <c r="V17" s="35" t="s">
        <v>34</v>
      </c>
      <c r="W17" s="26">
        <v>1</v>
      </c>
      <c r="X17" s="36">
        <f t="shared" si="9"/>
        <v>0.33333333333333331</v>
      </c>
      <c r="Y17" s="37">
        <f t="shared" si="10"/>
        <v>0.7</v>
      </c>
      <c r="Z17" s="26">
        <v>0</v>
      </c>
      <c r="AA17" s="26" t="s">
        <v>37</v>
      </c>
      <c r="AB17" s="38">
        <f t="shared" si="11"/>
        <v>-0.69</v>
      </c>
      <c r="AC17" s="39">
        <v>0.22159143518518523</v>
      </c>
      <c r="AD17" s="37">
        <f t="shared" si="12"/>
        <v>-0.91738854166666672</v>
      </c>
      <c r="AE17" s="37">
        <v>-5.8</v>
      </c>
      <c r="AF17" s="37">
        <v>-7.1378863636363601</v>
      </c>
      <c r="AG17" s="37">
        <v>0</v>
      </c>
    </row>
    <row r="18" spans="1:33" ht="15.75" customHeight="1" x14ac:dyDescent="0.2">
      <c r="A18" s="26" t="s">
        <v>62</v>
      </c>
      <c r="B18" s="26" t="s">
        <v>53</v>
      </c>
      <c r="C18" s="14">
        <f t="shared" si="4"/>
        <v>18.784545454545452</v>
      </c>
      <c r="D18" s="27">
        <v>11</v>
      </c>
      <c r="E18" s="27">
        <v>0</v>
      </c>
      <c r="F18" s="30">
        <v>206.62999999999997</v>
      </c>
      <c r="G18" s="28">
        <v>-0.24</v>
      </c>
      <c r="H18" s="29">
        <f t="shared" si="1"/>
        <v>1.1614963945216089E-3</v>
      </c>
      <c r="I18" s="29">
        <f t="shared" si="2"/>
        <v>0.14380773369737651</v>
      </c>
      <c r="J18" s="30">
        <f t="shared" si="5"/>
        <v>29.714992013888903</v>
      </c>
      <c r="K18" s="30">
        <f t="shared" si="3"/>
        <v>2.7013629103535366</v>
      </c>
      <c r="L18" s="27">
        <v>16</v>
      </c>
      <c r="M18" s="31">
        <f t="shared" si="6"/>
        <v>0.6875</v>
      </c>
      <c r="N18" s="27">
        <v>75</v>
      </c>
      <c r="O18" s="32">
        <f t="shared" ref="O18:P18" si="26">D18/7</f>
        <v>1.5714285714285714</v>
      </c>
      <c r="P18" s="32">
        <f t="shared" si="26"/>
        <v>0</v>
      </c>
      <c r="Q18" s="27">
        <f t="shared" si="8"/>
        <v>47</v>
      </c>
      <c r="R18" s="27"/>
      <c r="S18" s="33">
        <v>1.3886010362694301</v>
      </c>
      <c r="T18" s="26">
        <v>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0.22159143518518523</v>
      </c>
      <c r="AD18" s="37">
        <f t="shared" si="12"/>
        <v>-3.3637579861111115</v>
      </c>
      <c r="AE18" s="37">
        <v>-5.8</v>
      </c>
      <c r="AF18" s="37">
        <v>-7.1378863636363601</v>
      </c>
      <c r="AG18" s="37">
        <v>0</v>
      </c>
    </row>
    <row r="19" spans="1:33" ht="15.75" customHeight="1" x14ac:dyDescent="0.2">
      <c r="A19" s="26" t="s">
        <v>64</v>
      </c>
      <c r="B19" s="26" t="s">
        <v>727</v>
      </c>
      <c r="C19" s="14">
        <f t="shared" si="4"/>
        <v>18.034444444444446</v>
      </c>
      <c r="D19" s="27">
        <v>9</v>
      </c>
      <c r="E19" s="27">
        <v>0</v>
      </c>
      <c r="F19" s="30">
        <v>162.31</v>
      </c>
      <c r="G19" s="28">
        <v>-0.4</v>
      </c>
      <c r="H19" s="29">
        <f t="shared" si="1"/>
        <v>2.4644199371572917E-3</v>
      </c>
      <c r="I19" s="29">
        <f t="shared" si="2"/>
        <v>0.11318068573884991</v>
      </c>
      <c r="J19" s="30">
        <f t="shared" si="5"/>
        <v>18.370357102272731</v>
      </c>
      <c r="K19" s="30">
        <f t="shared" si="3"/>
        <v>2.0411507891414145</v>
      </c>
      <c r="L19" s="27">
        <v>20</v>
      </c>
      <c r="M19" s="31">
        <f t="shared" si="6"/>
        <v>0.45</v>
      </c>
      <c r="N19" s="27">
        <v>65</v>
      </c>
      <c r="O19" s="32">
        <f t="shared" ref="O19:P19" si="27">D19/7</f>
        <v>1.2857142857142858</v>
      </c>
      <c r="P19" s="32">
        <f t="shared" si="27"/>
        <v>0</v>
      </c>
      <c r="Q19" s="27">
        <f t="shared" si="8"/>
        <v>50</v>
      </c>
      <c r="R19" s="27"/>
      <c r="S19" s="33">
        <v>1.6551724137931001</v>
      </c>
      <c r="T19" s="26">
        <v>0</v>
      </c>
      <c r="U19" s="34" t="s">
        <v>34</v>
      </c>
      <c r="V19" s="35" t="s">
        <v>34</v>
      </c>
      <c r="W19" s="26">
        <v>1</v>
      </c>
      <c r="X19" s="36">
        <f t="shared" si="9"/>
        <v>0.1111111111111111</v>
      </c>
      <c r="Y19" s="37">
        <f t="shared" si="10"/>
        <v>0.4</v>
      </c>
      <c r="Z19" s="26">
        <v>0</v>
      </c>
      <c r="AA19" s="26" t="s">
        <v>37</v>
      </c>
      <c r="AB19" s="38">
        <f t="shared" si="11"/>
        <v>-0.69</v>
      </c>
      <c r="AC19" s="39">
        <v>0.22159143518518523</v>
      </c>
      <c r="AD19" s="37">
        <f t="shared" si="12"/>
        <v>-2.7521656249999999</v>
      </c>
      <c r="AE19" s="37">
        <v>-5.8</v>
      </c>
      <c r="AF19" s="37">
        <v>-7.1378863636363645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18.837499999999999</v>
      </c>
      <c r="D20" s="27">
        <v>4</v>
      </c>
      <c r="E20" s="27">
        <v>0</v>
      </c>
      <c r="F20" s="30">
        <v>75.349999999999994</v>
      </c>
      <c r="G20" s="28">
        <v>-0.32</v>
      </c>
      <c r="H20" s="29">
        <f t="shared" si="1"/>
        <v>4.2468480424684811E-3</v>
      </c>
      <c r="I20" s="29">
        <f t="shared" si="2"/>
        <v>0.14270431085908858</v>
      </c>
      <c r="J20" s="30">
        <f t="shared" si="5"/>
        <v>10.752769823232324</v>
      </c>
      <c r="K20" s="30">
        <f t="shared" si="3"/>
        <v>2.688192455808081</v>
      </c>
      <c r="L20" s="27">
        <v>18</v>
      </c>
      <c r="M20" s="31">
        <f t="shared" si="6"/>
        <v>0.22222222222222221</v>
      </c>
      <c r="N20" s="27">
        <v>61</v>
      </c>
      <c r="O20" s="32">
        <f t="shared" ref="O20:P20" si="28">D20/7</f>
        <v>0.5714285714285714</v>
      </c>
      <c r="P20" s="32">
        <f t="shared" si="28"/>
        <v>0</v>
      </c>
      <c r="Q20" s="27">
        <f t="shared" si="8"/>
        <v>106</v>
      </c>
      <c r="R20" s="27"/>
      <c r="S20" s="33">
        <v>1.1294117647058799</v>
      </c>
      <c r="T20" s="26">
        <v>0</v>
      </c>
      <c r="U20" s="34" t="s">
        <v>34</v>
      </c>
      <c r="V20" s="35" t="s">
        <v>34</v>
      </c>
      <c r="W20" s="26">
        <v>1</v>
      </c>
      <c r="X20" s="36">
        <f t="shared" si="9"/>
        <v>0.25</v>
      </c>
      <c r="Y20" s="37">
        <f t="shared" si="10"/>
        <v>0.32</v>
      </c>
      <c r="Z20" s="26">
        <v>0</v>
      </c>
      <c r="AA20" s="26" t="s">
        <v>37</v>
      </c>
      <c r="AB20" s="38">
        <f t="shared" si="11"/>
        <v>-0.69</v>
      </c>
      <c r="AC20" s="39">
        <v>0.22159143518518523</v>
      </c>
      <c r="AD20" s="37">
        <f t="shared" si="12"/>
        <v>-1.2231847222222223</v>
      </c>
      <c r="AE20" s="37">
        <v>-5.8</v>
      </c>
      <c r="AF20" s="37">
        <v>-7.1378863636363645</v>
      </c>
      <c r="AG20" s="37">
        <v>0</v>
      </c>
    </row>
    <row r="21" spans="1:33" ht="15.75" customHeight="1" x14ac:dyDescent="0.2">
      <c r="A21" s="26" t="s">
        <v>66</v>
      </c>
      <c r="B21" s="26" t="s">
        <v>667</v>
      </c>
      <c r="C21" s="14">
        <f t="shared" si="4"/>
        <v>18.990000000000002</v>
      </c>
      <c r="D21" s="27">
        <v>10</v>
      </c>
      <c r="E21" s="27">
        <v>0</v>
      </c>
      <c r="F21" s="30">
        <v>189.90000000000003</v>
      </c>
      <c r="G21" s="28">
        <v>-0.54</v>
      </c>
      <c r="H21" s="29">
        <f t="shared" si="1"/>
        <v>2.843601895734597E-3</v>
      </c>
      <c r="I21" s="29">
        <f t="shared" si="2"/>
        <v>0.14975342052701854</v>
      </c>
      <c r="J21" s="30">
        <f t="shared" si="5"/>
        <v>28.438174558080824</v>
      </c>
      <c r="K21" s="30">
        <f t="shared" si="3"/>
        <v>2.8438174558080824</v>
      </c>
      <c r="L21" s="27">
        <v>9</v>
      </c>
      <c r="M21" s="31">
        <f t="shared" si="6"/>
        <v>1.1111111111111112</v>
      </c>
      <c r="N21" s="27">
        <v>50</v>
      </c>
      <c r="O21" s="32">
        <f t="shared" ref="O21:P21" si="29">D21/7</f>
        <v>1.4285714285714286</v>
      </c>
      <c r="P21" s="32">
        <f t="shared" si="29"/>
        <v>0</v>
      </c>
      <c r="Q21" s="27">
        <f t="shared" si="8"/>
        <v>35</v>
      </c>
      <c r="R21" s="27"/>
      <c r="S21" s="33">
        <v>1.4489795918367301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0.1</v>
      </c>
      <c r="Y21" s="37">
        <f t="shared" si="10"/>
        <v>0.54</v>
      </c>
      <c r="Z21" s="26">
        <v>0</v>
      </c>
      <c r="AA21" s="26" t="s">
        <v>37</v>
      </c>
      <c r="AB21" s="38">
        <f t="shared" si="11"/>
        <v>-0.69</v>
      </c>
      <c r="AC21" s="39">
        <v>0.22159143518518523</v>
      </c>
      <c r="AD21" s="37">
        <f t="shared" si="12"/>
        <v>-3.0579618055555557</v>
      </c>
      <c r="AE21" s="37">
        <v>-5.8</v>
      </c>
      <c r="AF21" s="37">
        <v>-7.1378863636363645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19.79</v>
      </c>
      <c r="D22" s="27">
        <v>5</v>
      </c>
      <c r="E22" s="27">
        <v>0</v>
      </c>
      <c r="F22" s="28">
        <v>98.949999999999989</v>
      </c>
      <c r="G22" s="28">
        <v>-0.24</v>
      </c>
      <c r="H22" s="29">
        <f t="shared" si="1"/>
        <v>2.4254674077817083E-3</v>
      </c>
      <c r="I22" s="29">
        <f t="shared" si="2"/>
        <v>0.17836369155169673</v>
      </c>
      <c r="J22" s="30">
        <f t="shared" si="5"/>
        <v>17.649087279040391</v>
      </c>
      <c r="K22" s="30">
        <f t="shared" si="3"/>
        <v>3.5298174558080779</v>
      </c>
      <c r="L22" s="27">
        <v>16</v>
      </c>
      <c r="M22" s="31">
        <f t="shared" si="6"/>
        <v>0.3125</v>
      </c>
      <c r="N22" s="27">
        <v>45</v>
      </c>
      <c r="O22" s="32">
        <f t="shared" ref="O22:P22" si="30">D22/7</f>
        <v>0.7142857142857143</v>
      </c>
      <c r="P22" s="32">
        <f t="shared" si="30"/>
        <v>0</v>
      </c>
      <c r="Q22" s="27">
        <f t="shared" si="8"/>
        <v>63</v>
      </c>
      <c r="R22" s="27"/>
      <c r="S22" s="33">
        <v>1.71428571428571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0.22159143518518523</v>
      </c>
      <c r="AD22" s="37">
        <f t="shared" si="12"/>
        <v>-1.5289809027777779</v>
      </c>
      <c r="AE22" s="37">
        <v>-5.8</v>
      </c>
      <c r="AF22" s="37">
        <v>-7.1378863636363645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4"/>
        <v>20.039999999999996</v>
      </c>
      <c r="D23" s="27">
        <v>8</v>
      </c>
      <c r="E23" s="27">
        <v>0</v>
      </c>
      <c r="F23" s="30">
        <v>160.31999999999996</v>
      </c>
      <c r="G23" s="28">
        <v>-0.08</v>
      </c>
      <c r="H23" s="29">
        <f t="shared" si="1"/>
        <v>4.990019960079841E-4</v>
      </c>
      <c r="I23" s="29">
        <f t="shared" si="2"/>
        <v>0.18863859559920529</v>
      </c>
      <c r="J23" s="30">
        <f t="shared" si="5"/>
        <v>30.242539646464586</v>
      </c>
      <c r="K23" s="30">
        <f t="shared" si="3"/>
        <v>3.7803174558080732</v>
      </c>
      <c r="L23" s="27">
        <v>15</v>
      </c>
      <c r="M23" s="31">
        <f t="shared" si="6"/>
        <v>0.53333333333333333</v>
      </c>
      <c r="N23" s="27">
        <v>38</v>
      </c>
      <c r="O23" s="32">
        <f t="shared" ref="O23:P23" si="31">D23/7</f>
        <v>1.1428571428571428</v>
      </c>
      <c r="P23" s="32">
        <f t="shared" si="31"/>
        <v>0</v>
      </c>
      <c r="Q23" s="27">
        <f t="shared" si="8"/>
        <v>33</v>
      </c>
      <c r="R23" s="27"/>
      <c r="S23" s="33">
        <v>1.9371069182389899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0.22159143518518523</v>
      </c>
      <c r="AD23" s="37">
        <f t="shared" si="12"/>
        <v>-2.4463694444444446</v>
      </c>
      <c r="AE23" s="37">
        <v>-5.8</v>
      </c>
      <c r="AF23" s="37">
        <v>-7.1378863636363645</v>
      </c>
      <c r="AG23" s="37">
        <v>0</v>
      </c>
    </row>
    <row r="24" spans="1:33" ht="15.75" customHeight="1" x14ac:dyDescent="0.2">
      <c r="A24" s="26" t="s">
        <v>71</v>
      </c>
      <c r="B24" s="26" t="s">
        <v>53</v>
      </c>
      <c r="C24" s="14">
        <f t="shared" si="4"/>
        <v>19.989999999999998</v>
      </c>
      <c r="D24" s="27">
        <v>7</v>
      </c>
      <c r="E24" s="27">
        <v>0</v>
      </c>
      <c r="F24" s="30">
        <v>139.92999999999998</v>
      </c>
      <c r="G24" s="30">
        <v>-0.32</v>
      </c>
      <c r="H24" s="29">
        <f t="shared" si="1"/>
        <v>2.2868577145715718E-3</v>
      </c>
      <c r="I24" s="29">
        <f t="shared" si="2"/>
        <v>0.18519775738338123</v>
      </c>
      <c r="J24" s="30">
        <f t="shared" si="5"/>
        <v>25.914722190656533</v>
      </c>
      <c r="K24" s="30">
        <f t="shared" si="3"/>
        <v>3.7021031700937903</v>
      </c>
      <c r="L24" s="27">
        <v>29</v>
      </c>
      <c r="M24" s="31">
        <f t="shared" si="6"/>
        <v>0.2413793103448276</v>
      </c>
      <c r="N24" s="27">
        <v>30</v>
      </c>
      <c r="O24" s="32">
        <f t="shared" ref="O24:P24" si="32">D24/7</f>
        <v>1</v>
      </c>
      <c r="P24" s="32">
        <f t="shared" si="32"/>
        <v>0</v>
      </c>
      <c r="Q24" s="27">
        <f t="shared" si="8"/>
        <v>30</v>
      </c>
      <c r="R24" s="27"/>
      <c r="S24" s="33">
        <v>1.39130434782608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0.32</v>
      </c>
      <c r="Z24" s="26">
        <v>1</v>
      </c>
      <c r="AA24" s="26" t="s">
        <v>37</v>
      </c>
      <c r="AB24" s="38">
        <f t="shared" si="11"/>
        <v>-0.69</v>
      </c>
      <c r="AC24" s="39">
        <v>0.22159143518518523</v>
      </c>
      <c r="AD24" s="37">
        <f t="shared" si="12"/>
        <v>-2.1405732638888892</v>
      </c>
      <c r="AE24" s="37">
        <v>-5.8</v>
      </c>
      <c r="AF24" s="37">
        <v>-7.1378863636363645</v>
      </c>
      <c r="AG24" s="37">
        <v>0</v>
      </c>
    </row>
    <row r="25" spans="1:33" ht="15.75" customHeight="1" x14ac:dyDescent="0.2">
      <c r="A25" s="40" t="s">
        <v>73</v>
      </c>
      <c r="B25" s="26" t="s">
        <v>53</v>
      </c>
      <c r="C25" s="14">
        <f t="shared" si="4"/>
        <v>19.989999999999998</v>
      </c>
      <c r="D25" s="15">
        <v>4</v>
      </c>
      <c r="E25" s="15">
        <v>0</v>
      </c>
      <c r="F25" s="16">
        <v>79.959999999999994</v>
      </c>
      <c r="G25" s="16">
        <v>-0.19</v>
      </c>
      <c r="H25" s="29">
        <f t="shared" si="1"/>
        <v>2.3761880940470236E-3</v>
      </c>
      <c r="I25" s="29">
        <f t="shared" si="2"/>
        <v>0.18500269231838137</v>
      </c>
      <c r="J25" s="30">
        <f t="shared" si="5"/>
        <v>14.792815277777773</v>
      </c>
      <c r="K25" s="30">
        <f t="shared" si="3"/>
        <v>3.6982038194444433</v>
      </c>
      <c r="L25" s="15">
        <v>38</v>
      </c>
      <c r="M25" s="31">
        <f t="shared" si="6"/>
        <v>0.10526315789473684</v>
      </c>
      <c r="N25" s="15">
        <v>25</v>
      </c>
      <c r="O25" s="32">
        <f t="shared" ref="O25:P25" si="33">D25/7</f>
        <v>0.5714285714285714</v>
      </c>
      <c r="P25" s="32">
        <f t="shared" si="33"/>
        <v>0</v>
      </c>
      <c r="Q25" s="27">
        <f t="shared" si="8"/>
        <v>43</v>
      </c>
      <c r="R25" s="27"/>
      <c r="S25" s="41">
        <v>1.551401869158878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0.22159143518518523</v>
      </c>
      <c r="AD25" s="37">
        <f t="shared" si="12"/>
        <v>-1.2231847222222223</v>
      </c>
      <c r="AE25" s="42">
        <v>-5.8</v>
      </c>
      <c r="AF25" s="42">
        <v>-7.14</v>
      </c>
      <c r="AG25" s="42">
        <v>0</v>
      </c>
    </row>
    <row r="26" spans="1:33" ht="15.75" customHeight="1" x14ac:dyDescent="0.2">
      <c r="A26" s="40" t="s">
        <v>75</v>
      </c>
      <c r="B26" s="40" t="s">
        <v>1297</v>
      </c>
      <c r="C26" s="14">
        <f t="shared" si="4"/>
        <v>19.989999999999998</v>
      </c>
      <c r="D26" s="15">
        <v>4</v>
      </c>
      <c r="E26" s="15">
        <v>0</v>
      </c>
      <c r="F26" s="16">
        <v>79.959999999999994</v>
      </c>
      <c r="G26" s="16">
        <v>0</v>
      </c>
      <c r="H26" s="29">
        <f t="shared" si="1"/>
        <v>0</v>
      </c>
      <c r="I26" s="29">
        <f t="shared" si="2"/>
        <v>0.19348761659870353</v>
      </c>
      <c r="J26" s="30">
        <f t="shared" si="5"/>
        <v>15.471269823232333</v>
      </c>
      <c r="K26" s="30">
        <f t="shared" si="3"/>
        <v>3.8678174558080833</v>
      </c>
      <c r="L26" s="15">
        <v>25</v>
      </c>
      <c r="M26" s="31">
        <f t="shared" si="6"/>
        <v>0.16</v>
      </c>
      <c r="N26" s="15">
        <v>21</v>
      </c>
      <c r="O26" s="32">
        <f t="shared" ref="O26:P26" si="34">D26/7</f>
        <v>0.5714285714285714</v>
      </c>
      <c r="P26" s="32">
        <f t="shared" si="34"/>
        <v>0</v>
      </c>
      <c r="Q26" s="27">
        <f t="shared" si="8"/>
        <v>36</v>
      </c>
      <c r="R26" s="27"/>
      <c r="S26" s="41">
        <v>1.8181818181818179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0.22159143518518523</v>
      </c>
      <c r="AD26" s="37">
        <f t="shared" si="12"/>
        <v>-1.2231847222222223</v>
      </c>
      <c r="AE26" s="42">
        <v>-5.68</v>
      </c>
      <c r="AF26" s="42">
        <v>-7.1378863636363601</v>
      </c>
      <c r="AG26" s="42">
        <v>0</v>
      </c>
    </row>
    <row r="27" spans="1:33" ht="15.75" customHeight="1" x14ac:dyDescent="0.2">
      <c r="A27" s="40" t="s">
        <v>77</v>
      </c>
      <c r="B27" s="40" t="s">
        <v>1298</v>
      </c>
      <c r="C27" s="14">
        <f t="shared" si="4"/>
        <v>21.767777777777777</v>
      </c>
      <c r="D27" s="15">
        <v>9</v>
      </c>
      <c r="E27" s="15">
        <v>0</v>
      </c>
      <c r="F27" s="16">
        <v>195.91</v>
      </c>
      <c r="G27" s="16">
        <v>-0.24</v>
      </c>
      <c r="H27" s="29">
        <f t="shared" si="1"/>
        <v>1.2250523199428308E-3</v>
      </c>
      <c r="I27" s="29">
        <f t="shared" si="2"/>
        <v>0.24588003216922438</v>
      </c>
      <c r="J27" s="30">
        <f t="shared" si="5"/>
        <v>48.170357102272746</v>
      </c>
      <c r="K27" s="30">
        <f t="shared" si="3"/>
        <v>5.3522619002525271</v>
      </c>
      <c r="L27" s="15">
        <v>25</v>
      </c>
      <c r="M27" s="31">
        <f t="shared" si="6"/>
        <v>0.36</v>
      </c>
      <c r="N27" s="15">
        <v>16</v>
      </c>
      <c r="O27" s="32">
        <f t="shared" ref="O27:P27" si="35">D27/7</f>
        <v>1.2857142857142858</v>
      </c>
      <c r="P27" s="32">
        <f t="shared" si="35"/>
        <v>0</v>
      </c>
      <c r="Q27" s="27">
        <f t="shared" si="8"/>
        <v>12</v>
      </c>
      <c r="R27" s="27"/>
      <c r="S27" s="41">
        <v>2.1081081081081079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0.22159143518518523</v>
      </c>
      <c r="AD27" s="37">
        <f t="shared" si="12"/>
        <v>-2.7521656249999999</v>
      </c>
      <c r="AE27" s="42">
        <v>-5.68</v>
      </c>
      <c r="AF27" s="42">
        <v>-7.1378863636363601</v>
      </c>
      <c r="AG27" s="42">
        <v>0</v>
      </c>
    </row>
    <row r="28" spans="1:33" ht="15.75" customHeight="1" x14ac:dyDescent="0.2">
      <c r="A28" s="40" t="s">
        <v>79</v>
      </c>
      <c r="B28" s="26" t="s">
        <v>53</v>
      </c>
      <c r="C28" s="14">
        <f t="shared" si="4"/>
        <v>23.99</v>
      </c>
      <c r="D28" s="15">
        <v>3</v>
      </c>
      <c r="E28" s="15">
        <v>0</v>
      </c>
      <c r="F28" s="16">
        <v>71.97</v>
      </c>
      <c r="G28" s="16">
        <v>0</v>
      </c>
      <c r="H28" s="29">
        <f t="shared" si="1"/>
        <v>0</v>
      </c>
      <c r="I28" s="29">
        <f t="shared" si="2"/>
        <v>0.30295195730754826</v>
      </c>
      <c r="J28" s="30">
        <f t="shared" si="5"/>
        <v>21.803452367424249</v>
      </c>
      <c r="K28" s="30">
        <f t="shared" si="3"/>
        <v>7.2678174558080828</v>
      </c>
      <c r="L28" s="15">
        <v>18</v>
      </c>
      <c r="M28" s="31">
        <f t="shared" si="6"/>
        <v>0.16666666666666666</v>
      </c>
      <c r="N28" s="15">
        <v>12</v>
      </c>
      <c r="O28" s="32">
        <f t="shared" ref="O28:P28" si="36">D28/7</f>
        <v>0.42857142857142855</v>
      </c>
      <c r="P28" s="32">
        <f t="shared" si="36"/>
        <v>0</v>
      </c>
      <c r="Q28" s="27">
        <f t="shared" si="8"/>
        <v>28</v>
      </c>
      <c r="R28" s="27"/>
      <c r="S28" s="41">
        <v>1.417721518987342</v>
      </c>
      <c r="T28" s="40" t="s">
        <v>34</v>
      </c>
      <c r="U28" s="22">
        <v>12</v>
      </c>
      <c r="V28" s="1" t="s">
        <v>1299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0.22159143518518523</v>
      </c>
      <c r="AD28" s="37">
        <f t="shared" si="12"/>
        <v>-0.91738854166666672</v>
      </c>
      <c r="AE28" s="42">
        <v>-5.68</v>
      </c>
      <c r="AF28" s="42">
        <v>-7.1378863636363601</v>
      </c>
      <c r="AG28" s="42">
        <v>0</v>
      </c>
    </row>
    <row r="29" spans="1:33" ht="15.75" customHeight="1" x14ac:dyDescent="0.2">
      <c r="A29" s="26" t="s">
        <v>82</v>
      </c>
      <c r="B29" s="26" t="s">
        <v>1300</v>
      </c>
      <c r="C29" s="14">
        <f t="shared" si="4"/>
        <v>23.99</v>
      </c>
      <c r="D29" s="27">
        <v>4</v>
      </c>
      <c r="E29" s="27">
        <v>0</v>
      </c>
      <c r="F29" s="30">
        <v>95.96</v>
      </c>
      <c r="G29" s="30">
        <v>0</v>
      </c>
      <c r="H29" s="29">
        <f t="shared" si="1"/>
        <v>0</v>
      </c>
      <c r="I29" s="29">
        <f t="shared" si="2"/>
        <v>0.30295195730754826</v>
      </c>
      <c r="J29" s="30">
        <f t="shared" si="5"/>
        <v>29.071269823232328</v>
      </c>
      <c r="K29" s="30">
        <f t="shared" si="3"/>
        <v>7.2678174558080819</v>
      </c>
      <c r="L29" s="27">
        <v>8</v>
      </c>
      <c r="M29" s="31">
        <f t="shared" si="6"/>
        <v>0.5</v>
      </c>
      <c r="N29" s="15">
        <v>7</v>
      </c>
      <c r="O29" s="32">
        <f t="shared" ref="O29:P29" si="37">D29/7</f>
        <v>0.5714285714285714</v>
      </c>
      <c r="P29" s="32">
        <f t="shared" si="37"/>
        <v>0</v>
      </c>
      <c r="Q29" s="27">
        <f t="shared" si="8"/>
        <v>12</v>
      </c>
      <c r="R29" s="27"/>
      <c r="S29" s="41">
        <v>1.6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0.22159143518518523</v>
      </c>
      <c r="AD29" s="37">
        <f t="shared" si="12"/>
        <v>-1.2231847222222223</v>
      </c>
      <c r="AE29" s="37">
        <v>-5.68</v>
      </c>
      <c r="AF29" s="42">
        <v>-7.1378863636363601</v>
      </c>
      <c r="AG29" s="37">
        <v>0</v>
      </c>
    </row>
    <row r="30" spans="1:33" ht="15.75" customHeight="1" x14ac:dyDescent="0.2">
      <c r="A30" s="40" t="s">
        <v>84</v>
      </c>
      <c r="B30" s="26" t="s">
        <v>1301</v>
      </c>
      <c r="C30" s="14">
        <f t="shared" si="4"/>
        <v>24.99</v>
      </c>
      <c r="D30" s="15">
        <v>3</v>
      </c>
      <c r="E30" s="15">
        <v>0</v>
      </c>
      <c r="F30" s="16">
        <v>74.97</v>
      </c>
      <c r="G30" s="16">
        <v>0</v>
      </c>
      <c r="H30" s="29">
        <f t="shared" si="1"/>
        <v>0</v>
      </c>
      <c r="I30" s="29">
        <f t="shared" si="2"/>
        <v>0.32962638433151037</v>
      </c>
      <c r="J30" s="30">
        <f t="shared" si="5"/>
        <v>24.712090033333332</v>
      </c>
      <c r="K30" s="30">
        <f t="shared" si="3"/>
        <v>8.2373633444444447</v>
      </c>
      <c r="L30" s="15">
        <v>17</v>
      </c>
      <c r="M30" s="31">
        <f t="shared" si="6"/>
        <v>0.17647058823529413</v>
      </c>
      <c r="N30" s="15">
        <v>3</v>
      </c>
      <c r="O30" s="32">
        <f t="shared" ref="O30:P30" si="38">D30/7</f>
        <v>0.42857142857142855</v>
      </c>
      <c r="P30" s="32">
        <f t="shared" si="38"/>
        <v>0</v>
      </c>
      <c r="Q30" s="27">
        <f t="shared" si="8"/>
        <v>7</v>
      </c>
      <c r="R30" s="27"/>
      <c r="S30" s="41">
        <v>1.8409090909090911</v>
      </c>
      <c r="T30" s="26">
        <v>12</v>
      </c>
      <c r="U30" s="34">
        <v>12</v>
      </c>
      <c r="V30" s="35" t="s">
        <v>1302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0.22159143518518523</v>
      </c>
      <c r="AD30" s="37">
        <f t="shared" si="12"/>
        <v>-0.91738854166666672</v>
      </c>
      <c r="AE30" s="42">
        <v>-5.68</v>
      </c>
      <c r="AF30" s="42">
        <v>-7.0183404749999996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24.99</v>
      </c>
      <c r="D31" s="15">
        <v>3</v>
      </c>
      <c r="E31" s="15">
        <v>0</v>
      </c>
      <c r="F31" s="16">
        <v>74.97</v>
      </c>
      <c r="G31" s="43">
        <v>0</v>
      </c>
      <c r="H31" s="29">
        <f t="shared" si="1"/>
        <v>0</v>
      </c>
      <c r="I31" s="29">
        <f t="shared" si="2"/>
        <v>0.32962638433151037</v>
      </c>
      <c r="J31" s="30">
        <f t="shared" si="5"/>
        <v>24.712090033333332</v>
      </c>
      <c r="K31" s="30">
        <f t="shared" si="3"/>
        <v>8.2373633444444447</v>
      </c>
      <c r="L31" s="15">
        <v>19</v>
      </c>
      <c r="M31" s="31">
        <f t="shared" si="6"/>
        <v>0.15789473684210525</v>
      </c>
      <c r="N31" s="15">
        <v>0</v>
      </c>
      <c r="O31" s="32">
        <f t="shared" ref="O31:P31" si="39">D31/7</f>
        <v>0.42857142857142855</v>
      </c>
      <c r="P31" s="32">
        <f t="shared" si="39"/>
        <v>0</v>
      </c>
      <c r="Q31" s="27">
        <f t="shared" si="8"/>
        <v>0</v>
      </c>
      <c r="R31" s="27"/>
      <c r="S31" s="41">
        <v>2.0263157894736801</v>
      </c>
      <c r="T31" s="40" t="s">
        <v>34</v>
      </c>
      <c r="U31" s="22">
        <v>12</v>
      </c>
      <c r="V31" s="1" t="s">
        <v>1303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0.22159143518518523</v>
      </c>
      <c r="AD31" s="37">
        <f t="shared" si="12"/>
        <v>-0.91738854166666672</v>
      </c>
      <c r="AE31" s="45">
        <v>-5.68</v>
      </c>
      <c r="AF31" s="45">
        <v>-7.0183404750000005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2.2068965517241379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IFERROR(__xludf.DUMMYFUNCTION("IFERROR(VLOOKUP($B$2,IMPORTRANGE(""https://docs.google.com/spreadsheets/d/1KiWZV1ko8G7lnRucBRBd29jj3Be6ltMfljMDqzOkQmI/edit#gid=1381463014"",""Lookup!A:D""),3,FALSE),"""")"),12)</f>
        <v>12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- 12 units 08/14")</f>
        <v>| AGL230  - 12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0.22159143518518523</v>
      </c>
      <c r="AD32" s="37">
        <f t="shared" si="12"/>
        <v>0</v>
      </c>
      <c r="AE32" s="42">
        <v>-5.68</v>
      </c>
      <c r="AF32" s="42">
        <v>-7.0183404749999996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1:33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1:33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1:33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1:33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1:33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1:33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1:33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6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Hanging Wall Planter 2 Pack - 10"" Metal Wall Vases for Flowers")</f>
        <v>Galvanized Hanging Wall Planter 2 Pack - 10" Metal Wall Vases for Flowers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Info!B1:BJ5000""),2,FALSE),"""")"),"B07STJDYMM")</f>
        <v>B07STJDYMM</v>
      </c>
      <c r="B2" s="3" t="s">
        <v>1304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78.75" customHeight="1" x14ac:dyDescent="0.2">
      <c r="A3" s="68" t="s">
        <v>31</v>
      </c>
      <c r="B3" s="69"/>
      <c r="C3" s="48">
        <f>((AE32+AF32)/0.85)*-1</f>
        <v>13.613084340624999</v>
      </c>
      <c r="D3" s="5">
        <f>SUM(D4:D99767)</f>
        <v>214</v>
      </c>
      <c r="E3" s="5"/>
      <c r="F3" s="6">
        <f t="shared" ref="F3:G3" si="0">SUM(F4:F99767)</f>
        <v>3681.7</v>
      </c>
      <c r="G3" s="6">
        <f t="shared" si="0"/>
        <v>-85.509999999999991</v>
      </c>
      <c r="H3" s="7">
        <f t="shared" ref="H3:H32" si="1">G3/F3*-1</f>
        <v>2.3225683787380828E-2</v>
      </c>
      <c r="I3" s="8">
        <f t="shared" ref="I3:I32" si="2">J3/F3</f>
        <v>0.14656298886362198</v>
      </c>
      <c r="J3" s="6">
        <f>SUM(J4:J99767)</f>
        <v>539.60095609919699</v>
      </c>
      <c r="K3" s="6">
        <f t="shared" ref="K3:K32" si="3">J3/D3</f>
        <v>2.5214997948560609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13</v>
      </c>
      <c r="X3" s="7">
        <f>W3/D3</f>
        <v>6.0747663551401869E-2</v>
      </c>
      <c r="Y3" s="6"/>
      <c r="Z3" s="5"/>
      <c r="AA3" s="5"/>
      <c r="AB3" s="5"/>
      <c r="AC3" s="5"/>
      <c r="AD3" s="6">
        <f>SUM(AD4:AD99767)</f>
        <v>-62.821776377939109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Info!B2:BZ3000""),37,FALSE)),"""")*-1"),-5.89112168953125)</f>
        <v>-5.8911216895312499</v>
      </c>
      <c r="AG3" s="6">
        <f>SUM(AG4:AG99767)</f>
        <v>0</v>
      </c>
    </row>
    <row r="4" spans="1:33" x14ac:dyDescent="0.2">
      <c r="A4" s="1" t="s">
        <v>32</v>
      </c>
      <c r="B4" s="2" t="s">
        <v>53</v>
      </c>
      <c r="C4" s="14">
        <f t="shared" ref="C4:C32" si="4">IFERROR(F4/D4," - ")</f>
        <v>18.989999999999998</v>
      </c>
      <c r="D4" s="15">
        <v>9</v>
      </c>
      <c r="E4" s="15">
        <v>0</v>
      </c>
      <c r="F4" s="16">
        <v>170.91</v>
      </c>
      <c r="G4" s="16">
        <v>-1.58</v>
      </c>
      <c r="H4" s="17">
        <f t="shared" si="1"/>
        <v>9.2446316774910785E-3</v>
      </c>
      <c r="I4" s="17">
        <f t="shared" si="2"/>
        <v>0.23797080599803977</v>
      </c>
      <c r="J4" s="16">
        <f t="shared" ref="J4:J32" si="5">F4*0.85+G4+AF4*D4+D4*AE4+AG4+AD4</f>
        <v>40.671590453124978</v>
      </c>
      <c r="K4" s="16">
        <f t="shared" si="3"/>
        <v>4.5190656059027754</v>
      </c>
      <c r="L4" s="15">
        <v>32</v>
      </c>
      <c r="M4" s="18">
        <f t="shared" ref="M4:M32" si="6">IFERROR(D4/L4,"-")</f>
        <v>0.28125</v>
      </c>
      <c r="N4" s="15">
        <v>33</v>
      </c>
      <c r="O4" s="19">
        <f t="shared" ref="O4:P4" si="7">D4/7</f>
        <v>1.2857142857142858</v>
      </c>
      <c r="P4" s="19">
        <f t="shared" si="7"/>
        <v>0</v>
      </c>
      <c r="Q4" s="15">
        <f t="shared" ref="Q4:Q32" si="8">ROUNDDOWN(N4/(O4+P4),0)</f>
        <v>25</v>
      </c>
      <c r="R4" s="15"/>
      <c r="S4" s="20">
        <v>1.63604852686308</v>
      </c>
      <c r="T4" s="2">
        <v>240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0.21271866319444446</v>
      </c>
      <c r="AD4" s="24">
        <f t="shared" ref="AD4:AD32" si="12">IFERROR(AB4*AC4*D4*2,0)</f>
        <v>-2.6419657968749997</v>
      </c>
      <c r="AE4" s="24">
        <v>-5.42</v>
      </c>
      <c r="AF4" s="24">
        <v>-5.7333270833333332</v>
      </c>
      <c r="AG4" s="24">
        <v>0</v>
      </c>
    </row>
    <row r="5" spans="1:33" ht="15.75" customHeight="1" x14ac:dyDescent="0.2">
      <c r="A5" s="26" t="s">
        <v>35</v>
      </c>
      <c r="B5" s="2" t="s">
        <v>53</v>
      </c>
      <c r="C5" s="14">
        <f t="shared" si="4"/>
        <v>18.989999999999998</v>
      </c>
      <c r="D5" s="27">
        <v>5</v>
      </c>
      <c r="E5" s="27">
        <v>0</v>
      </c>
      <c r="F5" s="28">
        <v>94.949999999999989</v>
      </c>
      <c r="G5" s="28">
        <v>-1.6200000000000003</v>
      </c>
      <c r="H5" s="29">
        <f t="shared" si="1"/>
        <v>1.7061611374407589E-2</v>
      </c>
      <c r="I5" s="29">
        <f t="shared" si="2"/>
        <v>0.23013591410148354</v>
      </c>
      <c r="J5" s="30">
        <f t="shared" si="5"/>
        <v>21.851405043935859</v>
      </c>
      <c r="K5" s="30">
        <f t="shared" si="3"/>
        <v>4.3702810087871722</v>
      </c>
      <c r="L5" s="27">
        <v>75</v>
      </c>
      <c r="M5" s="31">
        <f t="shared" si="6"/>
        <v>6.6666666666666666E-2</v>
      </c>
      <c r="N5" s="27">
        <v>23</v>
      </c>
      <c r="O5" s="32">
        <f t="shared" ref="O5:P5" si="13">D5/7</f>
        <v>0.7142857142857143</v>
      </c>
      <c r="P5" s="32">
        <f t="shared" si="13"/>
        <v>0</v>
      </c>
      <c r="Q5" s="27">
        <f t="shared" si="8"/>
        <v>32</v>
      </c>
      <c r="R5" s="27"/>
      <c r="S5" s="33">
        <v>1.6336842105263101</v>
      </c>
      <c r="T5" s="26">
        <v>240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0.21296515063731172</v>
      </c>
      <c r="AD5" s="37">
        <f t="shared" si="12"/>
        <v>-1.4694595393974508</v>
      </c>
      <c r="AE5" s="37">
        <v>-5.42</v>
      </c>
      <c r="AF5" s="37">
        <v>-5.7333270833333332</v>
      </c>
      <c r="AG5" s="37">
        <v>0</v>
      </c>
    </row>
    <row r="6" spans="1:33" ht="15.75" customHeight="1" x14ac:dyDescent="0.2">
      <c r="A6" s="26" t="s">
        <v>38</v>
      </c>
      <c r="B6" s="26" t="s">
        <v>461</v>
      </c>
      <c r="C6" s="14">
        <f t="shared" si="4"/>
        <v>19.018235294117648</v>
      </c>
      <c r="D6" s="27">
        <v>17</v>
      </c>
      <c r="E6" s="27">
        <v>0</v>
      </c>
      <c r="F6" s="28">
        <v>323.31</v>
      </c>
      <c r="G6" s="28">
        <v>-1.06</v>
      </c>
      <c r="H6" s="29">
        <f t="shared" si="1"/>
        <v>3.2785871145340388E-3</v>
      </c>
      <c r="I6" s="29">
        <f t="shared" si="2"/>
        <v>0.24483177057558272</v>
      </c>
      <c r="J6" s="30">
        <f t="shared" si="5"/>
        <v>79.15655974479165</v>
      </c>
      <c r="K6" s="30">
        <f t="shared" si="3"/>
        <v>4.6562682202818619</v>
      </c>
      <c r="L6" s="27">
        <v>68</v>
      </c>
      <c r="M6" s="31">
        <f t="shared" si="6"/>
        <v>0.25</v>
      </c>
      <c r="N6" s="27">
        <v>6</v>
      </c>
      <c r="O6" s="32">
        <f t="shared" ref="O6:P6" si="14">D6/7</f>
        <v>2.4285714285714284</v>
      </c>
      <c r="P6" s="32">
        <f t="shared" si="14"/>
        <v>0</v>
      </c>
      <c r="Q6" s="27">
        <f t="shared" si="8"/>
        <v>2</v>
      </c>
      <c r="R6" s="27"/>
      <c r="S6" s="33">
        <v>1.7313432835820799</v>
      </c>
      <c r="T6" s="26">
        <v>240</v>
      </c>
      <c r="U6" s="34">
        <v>198</v>
      </c>
      <c r="V6" s="49" t="s">
        <v>1305</v>
      </c>
      <c r="W6" s="26">
        <v>1</v>
      </c>
      <c r="X6" s="36">
        <f t="shared" si="9"/>
        <v>5.8823529411764705E-2</v>
      </c>
      <c r="Y6" s="37">
        <f t="shared" si="10"/>
        <v>1.06</v>
      </c>
      <c r="Z6" s="26">
        <v>0</v>
      </c>
      <c r="AA6" s="26" t="s">
        <v>37</v>
      </c>
      <c r="AB6" s="38">
        <f t="shared" si="11"/>
        <v>-0.69</v>
      </c>
      <c r="AC6" s="39">
        <v>0.21271866319444446</v>
      </c>
      <c r="AD6" s="37">
        <f t="shared" si="12"/>
        <v>-4.9903798385416662</v>
      </c>
      <c r="AE6" s="37">
        <v>-5.42</v>
      </c>
      <c r="AF6" s="37">
        <v>-5.7333270833333332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18.989999999999998</v>
      </c>
      <c r="D7" s="27">
        <v>1</v>
      </c>
      <c r="E7" s="27">
        <v>0</v>
      </c>
      <c r="F7" s="28">
        <v>18.989999999999998</v>
      </c>
      <c r="G7" s="28">
        <v>0</v>
      </c>
      <c r="H7" s="29">
        <f t="shared" si="1"/>
        <v>0</v>
      </c>
      <c r="I7" s="29">
        <f t="shared" si="2"/>
        <v>0.24721543767553092</v>
      </c>
      <c r="J7" s="30">
        <f t="shared" si="5"/>
        <v>4.6946211614583317</v>
      </c>
      <c r="K7" s="30">
        <f t="shared" si="3"/>
        <v>4.6946211614583317</v>
      </c>
      <c r="L7" s="27">
        <v>1</v>
      </c>
      <c r="M7" s="31">
        <f t="shared" si="6"/>
        <v>1</v>
      </c>
      <c r="N7" s="27">
        <v>0</v>
      </c>
      <c r="O7" s="32">
        <f t="shared" ref="O7:P7" si="15">D7/7</f>
        <v>0.14285714285714285</v>
      </c>
      <c r="P7" s="32">
        <f t="shared" si="15"/>
        <v>0</v>
      </c>
      <c r="Q7" s="27">
        <f t="shared" si="8"/>
        <v>0</v>
      </c>
      <c r="R7" s="27"/>
      <c r="S7" s="33">
        <v>1.85669781931464</v>
      </c>
      <c r="T7" s="26">
        <v>240</v>
      </c>
      <c r="U7" s="34">
        <v>198</v>
      </c>
      <c r="V7" s="49" t="s">
        <v>1306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0.21271866319444446</v>
      </c>
      <c r="AD7" s="37">
        <f t="shared" si="12"/>
        <v>-0.29355175520833332</v>
      </c>
      <c r="AE7" s="37">
        <v>-5.42</v>
      </c>
      <c r="AF7" s="37">
        <v>-5.7333270833333332</v>
      </c>
      <c r="AG7" s="37">
        <v>0</v>
      </c>
    </row>
    <row r="8" spans="1:33" ht="15.75" customHeight="1" x14ac:dyDescent="0.2">
      <c r="A8" s="26" t="s">
        <v>43</v>
      </c>
      <c r="B8" s="26" t="s">
        <v>461</v>
      </c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1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>
        <v>1.84397163120567</v>
      </c>
      <c r="T8" s="26">
        <v>240</v>
      </c>
      <c r="U8" s="34">
        <v>198</v>
      </c>
      <c r="V8" s="35" t="s">
        <v>1307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0.21271866319444446</v>
      </c>
      <c r="AD8" s="37">
        <f t="shared" si="12"/>
        <v>0</v>
      </c>
      <c r="AE8" s="37">
        <v>-5.42</v>
      </c>
      <c r="AF8" s="37">
        <v>-5.73</v>
      </c>
      <c r="AG8" s="37">
        <v>0</v>
      </c>
    </row>
    <row r="9" spans="1:33" ht="15.75" customHeight="1" x14ac:dyDescent="0.2">
      <c r="A9" s="26" t="s">
        <v>45</v>
      </c>
      <c r="B9" s="26" t="s">
        <v>461</v>
      </c>
      <c r="C9" s="14">
        <f t="shared" si="4"/>
        <v>18.989999999999998</v>
      </c>
      <c r="D9" s="27">
        <v>1</v>
      </c>
      <c r="E9" s="27">
        <v>1</v>
      </c>
      <c r="F9" s="28">
        <v>18.989999999999998</v>
      </c>
      <c r="G9" s="28">
        <v>0</v>
      </c>
      <c r="H9" s="29">
        <f t="shared" si="1"/>
        <v>0</v>
      </c>
      <c r="I9" s="29">
        <f t="shared" si="2"/>
        <v>0.23793346909557683</v>
      </c>
      <c r="J9" s="30">
        <f t="shared" si="5"/>
        <v>4.5183565781250037</v>
      </c>
      <c r="K9" s="30">
        <f t="shared" si="3"/>
        <v>4.5183565781250037</v>
      </c>
      <c r="L9" s="27">
        <v>1</v>
      </c>
      <c r="M9" s="31">
        <f t="shared" si="6"/>
        <v>1</v>
      </c>
      <c r="N9" s="27">
        <v>0</v>
      </c>
      <c r="O9" s="32">
        <f t="shared" ref="O9:P9" si="17">D9/7</f>
        <v>0.14285714285714285</v>
      </c>
      <c r="P9" s="32">
        <f t="shared" si="17"/>
        <v>0.14285714285714285</v>
      </c>
      <c r="Q9" s="27">
        <f t="shared" si="8"/>
        <v>0</v>
      </c>
      <c r="R9" s="27"/>
      <c r="S9" s="33">
        <v>1.7632653061224399</v>
      </c>
      <c r="T9" s="26">
        <v>240</v>
      </c>
      <c r="U9" s="34">
        <v>198</v>
      </c>
      <c r="V9" s="35" t="s">
        <v>1308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0.21271866319444446</v>
      </c>
      <c r="AD9" s="37">
        <f t="shared" si="12"/>
        <v>-0.29355175520833332</v>
      </c>
      <c r="AE9" s="37">
        <v>-5.42</v>
      </c>
      <c r="AF9" s="37">
        <v>-5.9095916666666604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>
        <v>1.8113207547169801</v>
      </c>
      <c r="T10" s="26">
        <v>240</v>
      </c>
      <c r="U10" s="34">
        <v>198</v>
      </c>
      <c r="V10" s="35" t="s">
        <v>1308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-5.9095916666666604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>
        <v>1.9130434782608601</v>
      </c>
      <c r="T11" s="26">
        <v>240</v>
      </c>
      <c r="U11" s="34">
        <v>198</v>
      </c>
      <c r="V11" s="35" t="s">
        <v>1309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-5.9095916666666604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240</v>
      </c>
      <c r="U12" s="34">
        <v>198</v>
      </c>
      <c r="V12" s="35" t="s">
        <v>1310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-5.9095916666666604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240</v>
      </c>
      <c r="U13" s="34">
        <v>198</v>
      </c>
      <c r="V13" s="35" t="s">
        <v>1311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-6.0023624999999896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292</v>
      </c>
      <c r="U14" s="34">
        <v>42</v>
      </c>
      <c r="V14" s="35" t="s">
        <v>1312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-6.0023624999999896</v>
      </c>
      <c r="AG14" s="37">
        <v>0</v>
      </c>
    </row>
    <row r="15" spans="1:33" ht="15.75" customHeight="1" x14ac:dyDescent="0.2">
      <c r="A15" s="26" t="s">
        <v>58</v>
      </c>
      <c r="B15" s="26" t="s">
        <v>1313</v>
      </c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-0.76</v>
      </c>
      <c r="H15" s="29" t="e">
        <f t="shared" si="1"/>
        <v>#DIV/0!</v>
      </c>
      <c r="I15" s="29" t="e">
        <f t="shared" si="2"/>
        <v>#DIV/0!</v>
      </c>
      <c r="J15" s="30">
        <f t="shared" si="5"/>
        <v>-0.76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198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>
        <v>0.63768115942028902</v>
      </c>
      <c r="T15" s="26">
        <v>292</v>
      </c>
      <c r="U15" s="34">
        <v>42</v>
      </c>
      <c r="V15" s="35" t="s">
        <v>1314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0.21271866319444446</v>
      </c>
      <c r="AD15" s="37">
        <f t="shared" si="12"/>
        <v>0</v>
      </c>
      <c r="AE15" s="37">
        <v>-5.42</v>
      </c>
      <c r="AF15" s="37">
        <v>-6.0023624999999896</v>
      </c>
      <c r="AG15" s="37">
        <v>0</v>
      </c>
    </row>
    <row r="16" spans="1:33" ht="15.75" customHeight="1" x14ac:dyDescent="0.2">
      <c r="A16" s="26" t="s">
        <v>60</v>
      </c>
      <c r="B16" s="26" t="s">
        <v>1315</v>
      </c>
      <c r="C16" s="14">
        <f t="shared" si="4"/>
        <v>18.989999999999998</v>
      </c>
      <c r="D16" s="27">
        <v>5</v>
      </c>
      <c r="E16" s="27">
        <v>0</v>
      </c>
      <c r="F16" s="30">
        <v>94.949999999999989</v>
      </c>
      <c r="G16" s="28">
        <v>-1.6199999999999999</v>
      </c>
      <c r="H16" s="29">
        <f t="shared" si="1"/>
        <v>1.7061611374407582E-2</v>
      </c>
      <c r="I16" s="29">
        <f t="shared" si="2"/>
        <v>0.21598661110014075</v>
      </c>
      <c r="J16" s="30">
        <f t="shared" si="5"/>
        <v>20.507928723958361</v>
      </c>
      <c r="K16" s="30">
        <f t="shared" si="3"/>
        <v>4.1015857447916719</v>
      </c>
      <c r="L16" s="27">
        <v>22</v>
      </c>
      <c r="M16" s="31">
        <f t="shared" si="6"/>
        <v>0.22727272727272727</v>
      </c>
      <c r="N16" s="27">
        <v>193</v>
      </c>
      <c r="O16" s="32">
        <f t="shared" ref="O16:P16" si="24">D16/7</f>
        <v>0.7142857142857143</v>
      </c>
      <c r="P16" s="32">
        <f t="shared" si="24"/>
        <v>0</v>
      </c>
      <c r="Q16" s="27">
        <f t="shared" si="8"/>
        <v>270</v>
      </c>
      <c r="R16" s="27"/>
      <c r="S16" s="33">
        <v>0.721804511278195</v>
      </c>
      <c r="T16" s="26">
        <v>292</v>
      </c>
      <c r="U16" s="34">
        <v>42</v>
      </c>
      <c r="V16" s="35" t="s">
        <v>1316</v>
      </c>
      <c r="W16" s="26">
        <v>0</v>
      </c>
      <c r="X16" s="36">
        <f t="shared" si="9"/>
        <v>0</v>
      </c>
      <c r="Y16" s="37">
        <f t="shared" si="10"/>
        <v>1.6199999999999999</v>
      </c>
      <c r="Z16" s="26">
        <v>1</v>
      </c>
      <c r="AA16" s="26" t="s">
        <v>37</v>
      </c>
      <c r="AB16" s="38">
        <f t="shared" si="11"/>
        <v>-0.69</v>
      </c>
      <c r="AC16" s="39">
        <v>0.21271866319444446</v>
      </c>
      <c r="AD16" s="37">
        <f t="shared" si="12"/>
        <v>-1.4677587760416666</v>
      </c>
      <c r="AE16" s="37">
        <v>-5.42</v>
      </c>
      <c r="AF16" s="37">
        <v>-6.0023624999999896</v>
      </c>
      <c r="AG16" s="37">
        <v>0</v>
      </c>
    </row>
    <row r="17" spans="1:33" ht="15.75" customHeight="1" x14ac:dyDescent="0.2">
      <c r="A17" s="26" t="s">
        <v>61</v>
      </c>
      <c r="B17" s="26" t="s">
        <v>1317</v>
      </c>
      <c r="C17" s="14">
        <f t="shared" si="4"/>
        <v>18.156666666666666</v>
      </c>
      <c r="D17" s="27">
        <v>6</v>
      </c>
      <c r="E17" s="27">
        <v>0</v>
      </c>
      <c r="F17" s="30">
        <v>108.94</v>
      </c>
      <c r="G17" s="28">
        <v>-2.14</v>
      </c>
      <c r="H17" s="29">
        <f t="shared" si="1"/>
        <v>1.9643840646227283E-2</v>
      </c>
      <c r="I17" s="29">
        <f t="shared" si="2"/>
        <v>0.18508825471589918</v>
      </c>
      <c r="J17" s="30">
        <f t="shared" si="5"/>
        <v>20.163514468750055</v>
      </c>
      <c r="K17" s="30">
        <f t="shared" si="3"/>
        <v>3.3605857447916758</v>
      </c>
      <c r="L17" s="27">
        <v>36</v>
      </c>
      <c r="M17" s="31">
        <f t="shared" si="6"/>
        <v>0.16666666666666666</v>
      </c>
      <c r="N17" s="27">
        <v>181</v>
      </c>
      <c r="O17" s="32">
        <f t="shared" ref="O17:P17" si="25">D17/7</f>
        <v>0.8571428571428571</v>
      </c>
      <c r="P17" s="32">
        <f t="shared" si="25"/>
        <v>0</v>
      </c>
      <c r="Q17" s="27">
        <f t="shared" si="8"/>
        <v>211</v>
      </c>
      <c r="R17" s="27"/>
      <c r="S17" s="33">
        <v>0.80701754385964897</v>
      </c>
      <c r="T17" s="26">
        <v>292</v>
      </c>
      <c r="U17" s="34">
        <v>42</v>
      </c>
      <c r="V17" s="35" t="s">
        <v>1316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0.21271866319444446</v>
      </c>
      <c r="AD17" s="37">
        <f t="shared" si="12"/>
        <v>-1.7613105312499999</v>
      </c>
      <c r="AE17" s="37">
        <v>-5.42</v>
      </c>
      <c r="AF17" s="37">
        <v>-6.0023624999999896</v>
      </c>
      <c r="AG17" s="37">
        <v>0</v>
      </c>
    </row>
    <row r="18" spans="1:33" ht="15.75" customHeight="1" x14ac:dyDescent="0.2">
      <c r="A18" s="26" t="s">
        <v>62</v>
      </c>
      <c r="B18" s="26" t="s">
        <v>105</v>
      </c>
      <c r="C18" s="14">
        <f t="shared" si="4"/>
        <v>16.010000000000002</v>
      </c>
      <c r="D18" s="27">
        <v>21</v>
      </c>
      <c r="E18" s="27">
        <v>0</v>
      </c>
      <c r="F18" s="30">
        <v>336.21000000000004</v>
      </c>
      <c r="G18" s="28">
        <v>-31.769999999999996</v>
      </c>
      <c r="H18" s="29">
        <f t="shared" si="1"/>
        <v>9.4494512358347438E-2</v>
      </c>
      <c r="I18" s="29">
        <f t="shared" si="2"/>
        <v>2.371821373732266E-2</v>
      </c>
      <c r="J18" s="30">
        <f t="shared" si="5"/>
        <v>7.9743006406252519</v>
      </c>
      <c r="K18" s="30">
        <f t="shared" si="3"/>
        <v>0.37972860193453578</v>
      </c>
      <c r="L18" s="27">
        <v>80</v>
      </c>
      <c r="M18" s="31">
        <f t="shared" si="6"/>
        <v>0.26250000000000001</v>
      </c>
      <c r="N18" s="27">
        <v>172</v>
      </c>
      <c r="O18" s="32">
        <f t="shared" ref="O18:P18" si="26">D18/7</f>
        <v>3</v>
      </c>
      <c r="P18" s="32">
        <f t="shared" si="26"/>
        <v>0</v>
      </c>
      <c r="Q18" s="27">
        <f t="shared" si="8"/>
        <v>57</v>
      </c>
      <c r="R18" s="27"/>
      <c r="S18" s="33">
        <v>0.8</v>
      </c>
      <c r="T18" s="26">
        <v>292</v>
      </c>
      <c r="U18" s="34">
        <v>42</v>
      </c>
      <c r="V18" s="35" t="s">
        <v>1316</v>
      </c>
      <c r="W18" s="26">
        <v>4</v>
      </c>
      <c r="X18" s="36">
        <f t="shared" si="9"/>
        <v>0.19047619047619047</v>
      </c>
      <c r="Y18" s="37">
        <f t="shared" si="10"/>
        <v>5.294999999999999</v>
      </c>
      <c r="Z18" s="26">
        <v>2</v>
      </c>
      <c r="AA18" s="26" t="s">
        <v>37</v>
      </c>
      <c r="AB18" s="38">
        <f t="shared" si="11"/>
        <v>-0.69</v>
      </c>
      <c r="AC18" s="39">
        <v>0.21271866319444446</v>
      </c>
      <c r="AD18" s="37">
        <f t="shared" si="12"/>
        <v>-6.1645868593749995</v>
      </c>
      <c r="AE18" s="37">
        <v>-5.42</v>
      </c>
      <c r="AF18" s="37">
        <v>-6.0023624999999896</v>
      </c>
      <c r="AG18" s="37">
        <v>0</v>
      </c>
    </row>
    <row r="19" spans="1:33" ht="15.75" customHeight="1" x14ac:dyDescent="0.2">
      <c r="A19" s="26" t="s">
        <v>64</v>
      </c>
      <c r="B19" s="26" t="s">
        <v>1318</v>
      </c>
      <c r="C19" s="14">
        <f t="shared" si="4"/>
        <v>16.200000000000003</v>
      </c>
      <c r="D19" s="27">
        <v>31</v>
      </c>
      <c r="E19" s="27">
        <v>0</v>
      </c>
      <c r="F19" s="30">
        <v>502.2000000000001</v>
      </c>
      <c r="G19" s="28">
        <v>-36.18</v>
      </c>
      <c r="H19" s="29">
        <f t="shared" si="1"/>
        <v>7.2043010752688152E-2</v>
      </c>
      <c r="I19" s="29">
        <f t="shared" si="2"/>
        <v>5.4752405592476565E-2</v>
      </c>
      <c r="J19" s="30">
        <f t="shared" si="5"/>
        <v>27.496658088541736</v>
      </c>
      <c r="K19" s="30">
        <f t="shared" si="3"/>
        <v>0.88698897059812054</v>
      </c>
      <c r="L19" s="27">
        <v>104</v>
      </c>
      <c r="M19" s="31">
        <f t="shared" si="6"/>
        <v>0.29807692307692307</v>
      </c>
      <c r="N19" s="27">
        <v>138</v>
      </c>
      <c r="O19" s="32">
        <f t="shared" ref="O19:P19" si="27">D19/7</f>
        <v>4.4285714285714288</v>
      </c>
      <c r="P19" s="32">
        <f t="shared" si="27"/>
        <v>0</v>
      </c>
      <c r="Q19" s="27">
        <f t="shared" si="8"/>
        <v>31</v>
      </c>
      <c r="R19" s="27"/>
      <c r="S19" s="33">
        <v>1.3770491803278599</v>
      </c>
      <c r="T19" s="26">
        <v>250</v>
      </c>
      <c r="U19" s="34" t="s">
        <v>34</v>
      </c>
      <c r="V19" s="35" t="s">
        <v>34</v>
      </c>
      <c r="W19" s="26">
        <v>5</v>
      </c>
      <c r="X19" s="36">
        <f t="shared" si="9"/>
        <v>0.16129032258064516</v>
      </c>
      <c r="Y19" s="37">
        <f t="shared" si="10"/>
        <v>7.2359999999999998</v>
      </c>
      <c r="Z19" s="26">
        <v>0</v>
      </c>
      <c r="AA19" s="26" t="s">
        <v>37</v>
      </c>
      <c r="AB19" s="38">
        <f t="shared" si="11"/>
        <v>-0.69</v>
      </c>
      <c r="AC19" s="39">
        <v>0.21271866319444446</v>
      </c>
      <c r="AD19" s="37">
        <f t="shared" si="12"/>
        <v>-9.1001044114583323</v>
      </c>
      <c r="AE19" s="37">
        <v>-5.42</v>
      </c>
      <c r="AF19" s="37">
        <v>-6.0023624999999994</v>
      </c>
      <c r="AG19" s="37">
        <v>0</v>
      </c>
    </row>
    <row r="20" spans="1:33" ht="15.75" customHeight="1" x14ac:dyDescent="0.2">
      <c r="A20" s="26" t="s">
        <v>65</v>
      </c>
      <c r="B20" s="1" t="s">
        <v>53</v>
      </c>
      <c r="C20" s="14">
        <f t="shared" si="4"/>
        <v>16.887894736842107</v>
      </c>
      <c r="D20" s="27">
        <v>19</v>
      </c>
      <c r="E20" s="27">
        <v>0</v>
      </c>
      <c r="F20" s="30">
        <v>320.87</v>
      </c>
      <c r="G20" s="28">
        <v>-3.01</v>
      </c>
      <c r="H20" s="29">
        <f t="shared" si="1"/>
        <v>9.3807460965500047E-3</v>
      </c>
      <c r="I20" s="29">
        <f t="shared" si="2"/>
        <v>0.1468729677160274</v>
      </c>
      <c r="J20" s="30">
        <f t="shared" si="5"/>
        <v>47.127129151041707</v>
      </c>
      <c r="K20" s="30">
        <f t="shared" si="3"/>
        <v>2.4803752184758792</v>
      </c>
      <c r="L20" s="27">
        <v>84</v>
      </c>
      <c r="M20" s="31">
        <f t="shared" si="6"/>
        <v>0.22619047619047619</v>
      </c>
      <c r="N20" s="27">
        <v>109</v>
      </c>
      <c r="O20" s="32">
        <f t="shared" ref="O20:P20" si="28">D20/7</f>
        <v>2.7142857142857144</v>
      </c>
      <c r="P20" s="32">
        <f t="shared" si="28"/>
        <v>0</v>
      </c>
      <c r="Q20" s="27">
        <f t="shared" si="8"/>
        <v>40</v>
      </c>
      <c r="R20" s="27"/>
      <c r="S20" s="33">
        <v>0.91495601173020502</v>
      </c>
      <c r="T20" s="26">
        <v>250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0.21271866319444446</v>
      </c>
      <c r="AD20" s="37">
        <f t="shared" si="12"/>
        <v>-5.5774833489583333</v>
      </c>
      <c r="AE20" s="37">
        <v>-5.42</v>
      </c>
      <c r="AF20" s="37">
        <v>-6.0023624999999994</v>
      </c>
      <c r="AG20" s="37">
        <v>0</v>
      </c>
    </row>
    <row r="21" spans="1:33" ht="15.75" customHeight="1" x14ac:dyDescent="0.2">
      <c r="A21" s="26" t="s">
        <v>66</v>
      </c>
      <c r="B21" s="1" t="s">
        <v>53</v>
      </c>
      <c r="C21" s="14">
        <f t="shared" si="4"/>
        <v>16.990000000000002</v>
      </c>
      <c r="D21" s="27">
        <v>10</v>
      </c>
      <c r="E21" s="27">
        <v>2</v>
      </c>
      <c r="F21" s="30">
        <v>169.9</v>
      </c>
      <c r="G21" s="28">
        <v>-1.18</v>
      </c>
      <c r="H21" s="29">
        <f t="shared" si="1"/>
        <v>6.9452619187757502E-3</v>
      </c>
      <c r="I21" s="29">
        <f t="shared" si="2"/>
        <v>0.15347767773935642</v>
      </c>
      <c r="J21" s="30">
        <f t="shared" si="5"/>
        <v>26.075857447916654</v>
      </c>
      <c r="K21" s="30">
        <f t="shared" si="3"/>
        <v>2.6075857447916655</v>
      </c>
      <c r="L21" s="27">
        <v>37</v>
      </c>
      <c r="M21" s="31">
        <f t="shared" si="6"/>
        <v>0.27027027027027029</v>
      </c>
      <c r="N21" s="27">
        <v>111</v>
      </c>
      <c r="O21" s="32">
        <f t="shared" ref="O21:P21" si="29">D21/7</f>
        <v>1.4285714285714286</v>
      </c>
      <c r="P21" s="32">
        <f t="shared" si="29"/>
        <v>0.2857142857142857</v>
      </c>
      <c r="Q21" s="27">
        <f t="shared" si="8"/>
        <v>64</v>
      </c>
      <c r="R21" s="27"/>
      <c r="S21" s="33">
        <v>1.24232081911262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0.1</v>
      </c>
      <c r="Y21" s="37">
        <f t="shared" si="10"/>
        <v>1.18</v>
      </c>
      <c r="Z21" s="26">
        <v>0</v>
      </c>
      <c r="AA21" s="26" t="s">
        <v>37</v>
      </c>
      <c r="AB21" s="38">
        <f t="shared" si="11"/>
        <v>-0.69</v>
      </c>
      <c r="AC21" s="39">
        <v>0.21271866319444446</v>
      </c>
      <c r="AD21" s="37">
        <f t="shared" si="12"/>
        <v>-2.9355175520833332</v>
      </c>
      <c r="AE21" s="37">
        <v>-5.42</v>
      </c>
      <c r="AF21" s="37">
        <v>-6.0023624999999994</v>
      </c>
      <c r="AG21" s="37">
        <v>0</v>
      </c>
    </row>
    <row r="22" spans="1:33" ht="15.75" customHeight="1" x14ac:dyDescent="0.2">
      <c r="A22" s="26" t="s">
        <v>67</v>
      </c>
      <c r="B22" s="1" t="s">
        <v>53</v>
      </c>
      <c r="C22" s="14">
        <f t="shared" si="4"/>
        <v>16.989999999999998</v>
      </c>
      <c r="D22" s="27">
        <v>9</v>
      </c>
      <c r="E22" s="27">
        <v>1</v>
      </c>
      <c r="F22" s="28">
        <v>152.91</v>
      </c>
      <c r="G22" s="28">
        <v>-1.2600000000000002</v>
      </c>
      <c r="H22" s="29">
        <f t="shared" si="1"/>
        <v>8.240141259564451E-3</v>
      </c>
      <c r="I22" s="29">
        <f t="shared" si="2"/>
        <v>0.15218279839856791</v>
      </c>
      <c r="J22" s="30">
        <f t="shared" si="5"/>
        <v>23.270271703125019</v>
      </c>
      <c r="K22" s="30">
        <f t="shared" si="3"/>
        <v>2.5855857447916688</v>
      </c>
      <c r="L22" s="27">
        <v>60</v>
      </c>
      <c r="M22" s="31">
        <f t="shared" si="6"/>
        <v>0.15</v>
      </c>
      <c r="N22" s="27">
        <v>97</v>
      </c>
      <c r="O22" s="32">
        <f t="shared" ref="O22:P22" si="30">D22/7</f>
        <v>1.2857142857142858</v>
      </c>
      <c r="P22" s="32">
        <f t="shared" si="30"/>
        <v>0.14285714285714285</v>
      </c>
      <c r="Q22" s="27">
        <f t="shared" si="8"/>
        <v>67</v>
      </c>
      <c r="R22" s="27"/>
      <c r="S22" s="33">
        <v>1.42372881355932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0.1111111111111111</v>
      </c>
      <c r="Y22" s="37">
        <f t="shared" si="10"/>
        <v>1.2600000000000002</v>
      </c>
      <c r="Z22" s="26">
        <v>0</v>
      </c>
      <c r="AA22" s="26" t="s">
        <v>37</v>
      </c>
      <c r="AB22" s="38">
        <f t="shared" si="11"/>
        <v>-0.69</v>
      </c>
      <c r="AC22" s="39">
        <v>0.21271866319444446</v>
      </c>
      <c r="AD22" s="37">
        <f t="shared" si="12"/>
        <v>-2.6419657968749997</v>
      </c>
      <c r="AE22" s="37">
        <v>-5.42</v>
      </c>
      <c r="AF22" s="37">
        <v>-6.0023624999999994</v>
      </c>
      <c r="AG22" s="37">
        <v>0</v>
      </c>
    </row>
    <row r="23" spans="1:33" ht="15.75" customHeight="1" x14ac:dyDescent="0.2">
      <c r="A23" s="26" t="s">
        <v>68</v>
      </c>
      <c r="B23" s="26" t="s">
        <v>1319</v>
      </c>
      <c r="C23" s="14">
        <f t="shared" si="4"/>
        <v>16.992857142857144</v>
      </c>
      <c r="D23" s="27">
        <v>21</v>
      </c>
      <c r="E23" s="27">
        <v>0</v>
      </c>
      <c r="F23" s="30">
        <v>356.85</v>
      </c>
      <c r="G23" s="28">
        <v>-0.55000000000000004</v>
      </c>
      <c r="H23" s="29">
        <f t="shared" si="1"/>
        <v>1.5412638363458036E-3</v>
      </c>
      <c r="I23" s="29">
        <f t="shared" si="2"/>
        <v>0.15899761984202052</v>
      </c>
      <c r="J23" s="30">
        <f t="shared" si="5"/>
        <v>56.73830064062502</v>
      </c>
      <c r="K23" s="30">
        <f t="shared" si="3"/>
        <v>2.7018238400297627</v>
      </c>
      <c r="L23" s="27">
        <v>66</v>
      </c>
      <c r="M23" s="31">
        <f t="shared" si="6"/>
        <v>0.31818181818181818</v>
      </c>
      <c r="N23" s="27">
        <v>77</v>
      </c>
      <c r="O23" s="32">
        <f t="shared" ref="O23:P23" si="31">D23/7</f>
        <v>3</v>
      </c>
      <c r="P23" s="32">
        <f t="shared" si="31"/>
        <v>0</v>
      </c>
      <c r="Q23" s="27">
        <f t="shared" si="8"/>
        <v>25</v>
      </c>
      <c r="R23" s="27"/>
      <c r="S23" s="33">
        <v>1.86666666666666</v>
      </c>
      <c r="T23" s="26">
        <v>250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0.21271866319444446</v>
      </c>
      <c r="AD23" s="37">
        <f t="shared" si="12"/>
        <v>-6.1645868593749995</v>
      </c>
      <c r="AE23" s="37">
        <v>-5.42</v>
      </c>
      <c r="AF23" s="37">
        <v>-6.0023624999999994</v>
      </c>
      <c r="AG23" s="37">
        <v>0</v>
      </c>
    </row>
    <row r="24" spans="1:33" ht="15.75" customHeight="1" x14ac:dyDescent="0.2">
      <c r="A24" s="26" t="s">
        <v>71</v>
      </c>
      <c r="B24" s="1" t="s">
        <v>53</v>
      </c>
      <c r="C24" s="14">
        <f t="shared" si="4"/>
        <v>16.320526315789476</v>
      </c>
      <c r="D24" s="27">
        <v>19</v>
      </c>
      <c r="E24" s="27">
        <v>0</v>
      </c>
      <c r="F24" s="30">
        <v>310.09000000000003</v>
      </c>
      <c r="G24" s="30">
        <v>-0.78</v>
      </c>
      <c r="H24" s="29">
        <f t="shared" si="1"/>
        <v>2.5153987552001028E-3</v>
      </c>
      <c r="I24" s="29">
        <f t="shared" si="2"/>
        <v>0.12962084927292628</v>
      </c>
      <c r="J24" s="30">
        <f t="shared" si="5"/>
        <v>40.194129151041714</v>
      </c>
      <c r="K24" s="30">
        <f t="shared" si="3"/>
        <v>2.1154804816337744</v>
      </c>
      <c r="L24" s="27">
        <v>69</v>
      </c>
      <c r="M24" s="31">
        <f t="shared" si="6"/>
        <v>0.27536231884057971</v>
      </c>
      <c r="N24" s="27">
        <v>49</v>
      </c>
      <c r="O24" s="32">
        <f t="shared" ref="O24:P24" si="32">D24/7</f>
        <v>2.7142857142857144</v>
      </c>
      <c r="P24" s="32">
        <f t="shared" si="32"/>
        <v>0</v>
      </c>
      <c r="Q24" s="27">
        <f t="shared" si="8"/>
        <v>18</v>
      </c>
      <c r="R24" s="27"/>
      <c r="S24" s="33">
        <v>1.36</v>
      </c>
      <c r="T24" s="26">
        <v>250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0.21271866319444446</v>
      </c>
      <c r="AD24" s="37">
        <f t="shared" si="12"/>
        <v>-5.5774833489583333</v>
      </c>
      <c r="AE24" s="37">
        <v>-5.42</v>
      </c>
      <c r="AF24" s="37">
        <v>-6.0023624999999994</v>
      </c>
      <c r="AG24" s="37">
        <v>0</v>
      </c>
    </row>
    <row r="25" spans="1:33" ht="15.75" customHeight="1" x14ac:dyDescent="0.2">
      <c r="A25" s="40" t="s">
        <v>73</v>
      </c>
      <c r="B25" s="40" t="s">
        <v>625</v>
      </c>
      <c r="C25" s="14">
        <f t="shared" si="4"/>
        <v>16.227058823529411</v>
      </c>
      <c r="D25" s="15">
        <v>17</v>
      </c>
      <c r="E25" s="15">
        <v>0</v>
      </c>
      <c r="F25" s="16">
        <v>275.86</v>
      </c>
      <c r="G25" s="16">
        <v>-0.73999999999999988</v>
      </c>
      <c r="H25" s="29">
        <f t="shared" si="1"/>
        <v>2.6825201189008912E-3</v>
      </c>
      <c r="I25" s="29">
        <f t="shared" si="2"/>
        <v>0.12546443906857943</v>
      </c>
      <c r="J25" s="30">
        <f t="shared" si="5"/>
        <v>34.610620161458321</v>
      </c>
      <c r="K25" s="30">
        <f t="shared" si="3"/>
        <v>2.03591883302696</v>
      </c>
      <c r="L25" s="15">
        <v>57</v>
      </c>
      <c r="M25" s="31">
        <f t="shared" si="6"/>
        <v>0.2982456140350877</v>
      </c>
      <c r="N25" s="15">
        <v>28</v>
      </c>
      <c r="O25" s="32">
        <f t="shared" ref="O25:P25" si="33">D25/7</f>
        <v>2.4285714285714284</v>
      </c>
      <c r="P25" s="32">
        <f t="shared" si="33"/>
        <v>0</v>
      </c>
      <c r="Q25" s="27">
        <f t="shared" si="8"/>
        <v>11</v>
      </c>
      <c r="R25" s="27"/>
      <c r="S25" s="41">
        <v>1.7252747252747249</v>
      </c>
      <c r="T25" s="26">
        <v>250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0.21271866319444446</v>
      </c>
      <c r="AD25" s="37">
        <f t="shared" si="12"/>
        <v>-4.9903798385416662</v>
      </c>
      <c r="AE25" s="42">
        <v>-5.42</v>
      </c>
      <c r="AF25" s="42">
        <v>-6</v>
      </c>
      <c r="AG25" s="42">
        <v>0</v>
      </c>
    </row>
    <row r="26" spans="1:33" ht="15.75" customHeight="1" x14ac:dyDescent="0.2">
      <c r="A26" s="40" t="s">
        <v>75</v>
      </c>
      <c r="B26" s="40" t="s">
        <v>1320</v>
      </c>
      <c r="C26" s="14">
        <f t="shared" si="4"/>
        <v>17.856666666666669</v>
      </c>
      <c r="D26" s="15">
        <v>15</v>
      </c>
      <c r="E26" s="15">
        <v>2</v>
      </c>
      <c r="F26" s="16">
        <v>267.85000000000002</v>
      </c>
      <c r="G26" s="16">
        <v>-0.41</v>
      </c>
      <c r="H26" s="29">
        <f t="shared" si="1"/>
        <v>1.5307074855329473E-3</v>
      </c>
      <c r="I26" s="29">
        <f t="shared" si="2"/>
        <v>0.17780020971392632</v>
      </c>
      <c r="J26" s="30">
        <f t="shared" si="5"/>
        <v>47.623786171875167</v>
      </c>
      <c r="K26" s="30">
        <f t="shared" si="3"/>
        <v>3.174919078125011</v>
      </c>
      <c r="L26" s="15">
        <v>34</v>
      </c>
      <c r="M26" s="31">
        <f t="shared" si="6"/>
        <v>0.44117647058823528</v>
      </c>
      <c r="N26" s="15">
        <v>18</v>
      </c>
      <c r="O26" s="32">
        <f t="shared" ref="O26:P26" si="34">D26/7</f>
        <v>2.1428571428571428</v>
      </c>
      <c r="P26" s="32">
        <f t="shared" si="34"/>
        <v>0.2857142857142857</v>
      </c>
      <c r="Q26" s="27">
        <f t="shared" si="8"/>
        <v>7</v>
      </c>
      <c r="R26" s="27"/>
      <c r="S26" s="41">
        <v>2.08</v>
      </c>
      <c r="T26" s="26">
        <v>250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0.21271866319444446</v>
      </c>
      <c r="AD26" s="37">
        <f t="shared" si="12"/>
        <v>-4.403276328125</v>
      </c>
      <c r="AE26" s="42">
        <v>-5.68</v>
      </c>
      <c r="AF26" s="42">
        <v>-6.0023624999999896</v>
      </c>
      <c r="AG26" s="42">
        <v>0</v>
      </c>
    </row>
    <row r="27" spans="1:33" ht="15.75" customHeight="1" x14ac:dyDescent="0.2">
      <c r="A27" s="40" t="s">
        <v>77</v>
      </c>
      <c r="B27" s="40" t="s">
        <v>76</v>
      </c>
      <c r="C27" s="14">
        <f t="shared" si="4"/>
        <v>19.656666666666666</v>
      </c>
      <c r="D27" s="15">
        <v>6</v>
      </c>
      <c r="E27" s="15">
        <v>1</v>
      </c>
      <c r="F27" s="16">
        <v>117.94</v>
      </c>
      <c r="G27" s="16">
        <v>-0.6100000000000001</v>
      </c>
      <c r="H27" s="29">
        <f t="shared" si="1"/>
        <v>5.1721214176700028E-3</v>
      </c>
      <c r="I27" s="29">
        <f t="shared" si="2"/>
        <v>0.2355732954786337</v>
      </c>
      <c r="J27" s="30">
        <f t="shared" si="5"/>
        <v>27.783514468750059</v>
      </c>
      <c r="K27" s="30">
        <f t="shared" si="3"/>
        <v>4.6305857447916763</v>
      </c>
      <c r="L27" s="15">
        <v>32</v>
      </c>
      <c r="M27" s="31">
        <f t="shared" si="6"/>
        <v>0.1875</v>
      </c>
      <c r="N27" s="15">
        <v>1</v>
      </c>
      <c r="O27" s="32">
        <f t="shared" ref="O27:P27" si="35">D27/7</f>
        <v>0.8571428571428571</v>
      </c>
      <c r="P27" s="32">
        <f t="shared" si="35"/>
        <v>0.14285714285714285</v>
      </c>
      <c r="Q27" s="27">
        <f t="shared" si="8"/>
        <v>1</v>
      </c>
      <c r="R27" s="27"/>
      <c r="S27" s="41">
        <v>2.8571428571428572</v>
      </c>
      <c r="T27" s="26">
        <v>250</v>
      </c>
      <c r="U27" s="34" t="s">
        <v>34</v>
      </c>
      <c r="V27" s="35" t="s">
        <v>34</v>
      </c>
      <c r="W27" s="40">
        <v>1</v>
      </c>
      <c r="X27" s="36">
        <f t="shared" si="9"/>
        <v>0.16666666666666666</v>
      </c>
      <c r="Y27" s="37">
        <f t="shared" si="10"/>
        <v>0.6100000000000001</v>
      </c>
      <c r="Z27" s="40">
        <v>0</v>
      </c>
      <c r="AA27" s="26" t="s">
        <v>37</v>
      </c>
      <c r="AB27" s="38">
        <f t="shared" si="11"/>
        <v>-0.69</v>
      </c>
      <c r="AC27" s="39">
        <v>0.21271866319444446</v>
      </c>
      <c r="AD27" s="37">
        <f t="shared" si="12"/>
        <v>-1.7613105312499999</v>
      </c>
      <c r="AE27" s="42">
        <v>-5.68</v>
      </c>
      <c r="AF27" s="42">
        <v>-6.0023624999999896</v>
      </c>
      <c r="AG27" s="42">
        <v>0</v>
      </c>
    </row>
    <row r="28" spans="1:33" ht="15.75" customHeight="1" x14ac:dyDescent="0.2">
      <c r="A28" s="40" t="s">
        <v>79</v>
      </c>
      <c r="B28" s="40" t="s">
        <v>76</v>
      </c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48</v>
      </c>
      <c r="V28" s="1" t="s">
        <v>1152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0.21271866319444446</v>
      </c>
      <c r="AD28" s="37">
        <f t="shared" si="12"/>
        <v>0</v>
      </c>
      <c r="AE28" s="42">
        <v>-5.68</v>
      </c>
      <c r="AF28" s="42">
        <v>-6.0023624999999896</v>
      </c>
      <c r="AG28" s="42">
        <v>0</v>
      </c>
    </row>
    <row r="29" spans="1:33" ht="15.75" customHeight="1" x14ac:dyDescent="0.2">
      <c r="A29" s="26" t="s">
        <v>82</v>
      </c>
      <c r="B29" s="40" t="s">
        <v>76</v>
      </c>
      <c r="C29" s="14">
        <f t="shared" si="4"/>
        <v>19.989999999999998</v>
      </c>
      <c r="D29" s="27">
        <v>1</v>
      </c>
      <c r="E29" s="27">
        <v>0</v>
      </c>
      <c r="F29" s="30">
        <v>19.989999999999998</v>
      </c>
      <c r="G29" s="30">
        <v>-0.16</v>
      </c>
      <c r="H29" s="29">
        <f t="shared" si="1"/>
        <v>8.0040020010005014E-3</v>
      </c>
      <c r="I29" s="29">
        <f t="shared" si="2"/>
        <v>0.24290073760838801</v>
      </c>
      <c r="J29" s="30">
        <f t="shared" si="5"/>
        <v>4.8555857447916759</v>
      </c>
      <c r="K29" s="30">
        <f t="shared" si="3"/>
        <v>4.8555857447916759</v>
      </c>
      <c r="L29" s="27">
        <v>21</v>
      </c>
      <c r="M29" s="31">
        <f t="shared" si="6"/>
        <v>4.7619047619047616E-2</v>
      </c>
      <c r="N29" s="15">
        <v>0</v>
      </c>
      <c r="O29" s="32">
        <f t="shared" ref="O29:P29" si="37">D29/7</f>
        <v>0.14285714285714285</v>
      </c>
      <c r="P29" s="32">
        <f t="shared" si="37"/>
        <v>0</v>
      </c>
      <c r="Q29" s="27">
        <f t="shared" si="8"/>
        <v>0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0.21271866319444446</v>
      </c>
      <c r="AD29" s="37">
        <f t="shared" si="12"/>
        <v>-0.29355175520833332</v>
      </c>
      <c r="AE29" s="37">
        <v>-5.68</v>
      </c>
      <c r="AF29" s="42">
        <v>-6.0023624999999896</v>
      </c>
      <c r="AG29" s="37">
        <v>0</v>
      </c>
    </row>
    <row r="30" spans="1:33" ht="15.75" customHeight="1" x14ac:dyDescent="0.2">
      <c r="A30" s="40" t="s">
        <v>84</v>
      </c>
      <c r="B30" s="40" t="s">
        <v>76</v>
      </c>
      <c r="C30" s="14">
        <f t="shared" si="4"/>
        <v>19.989999999999998</v>
      </c>
      <c r="D30" s="15">
        <v>1</v>
      </c>
      <c r="E30" s="15">
        <v>0</v>
      </c>
      <c r="F30" s="16">
        <v>19.989999999999998</v>
      </c>
      <c r="G30" s="16">
        <v>-0.08</v>
      </c>
      <c r="H30" s="29">
        <f t="shared" si="1"/>
        <v>4.0020010005002507E-3</v>
      </c>
      <c r="I30" s="29">
        <f t="shared" si="2"/>
        <v>0.2524675615437928</v>
      </c>
      <c r="J30" s="30">
        <f t="shared" si="5"/>
        <v>5.0468265552604175</v>
      </c>
      <c r="K30" s="30">
        <f t="shared" si="3"/>
        <v>5.0468265552604175</v>
      </c>
      <c r="L30" s="15">
        <v>10</v>
      </c>
      <c r="M30" s="31">
        <f t="shared" si="6"/>
        <v>0.1</v>
      </c>
      <c r="N30" s="15">
        <v>0</v>
      </c>
      <c r="O30" s="32">
        <f t="shared" ref="O30:P30" si="38">D30/7</f>
        <v>0.14285714285714285</v>
      </c>
      <c r="P30" s="32">
        <f t="shared" si="38"/>
        <v>0</v>
      </c>
      <c r="Q30" s="27">
        <f t="shared" si="8"/>
        <v>0</v>
      </c>
      <c r="R30" s="27"/>
      <c r="S30" s="41">
        <v>2.1818181818181821</v>
      </c>
      <c r="T30" s="26">
        <v>548</v>
      </c>
      <c r="U30" s="34">
        <v>48</v>
      </c>
      <c r="V30" s="35" t="s">
        <v>1153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0.21271866319444446</v>
      </c>
      <c r="AD30" s="37">
        <f t="shared" si="12"/>
        <v>-0.29355175520833332</v>
      </c>
      <c r="AE30" s="42">
        <v>-5.68</v>
      </c>
      <c r="AF30" s="42">
        <v>-5.8911216895312499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>
        <v>202</v>
      </c>
      <c r="U31" s="22">
        <v>48</v>
      </c>
      <c r="V31" s="1" t="s">
        <v>1154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0.21271866319444446</v>
      </c>
      <c r="AD31" s="37">
        <f t="shared" si="12"/>
        <v>0</v>
      </c>
      <c r="AE31" s="45">
        <v>-5.68</v>
      </c>
      <c r="AF31" s="45">
        <v>-5.8911216895312499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IFERROR(__xludf.DUMMYFUNCTION("IFERROR(VLOOKUP($B$2,IMPORTRANGE(""https://docs.google.com/spreadsheets/d/1KiWZV1ko8G7lnRucBRBd29jj3Be6ltMfljMDqzOkQmI/edit#gid=1381463014"",""Lookup!A:D""),4,FALSE),"""")"),202)</f>
        <v>202</v>
      </c>
      <c r="U32" s="22">
        <f ca="1">IFERROR(__xludf.DUMMYFUNCTION("IFERROR(VLOOKUP($B$2,IMPORTRANGE(""https://docs.google.com/spreadsheets/d/1KiWZV1ko8G7lnRucBRBd29jj3Be6ltMfljMDqzOkQmI/edit#gid=1381463014"",""Lookup!A:D""),3,FALSE),"""")"),48)</f>
        <v>48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- 48 units 08/14")</f>
        <v>| AGL230  - 48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0.21271866319444446</v>
      </c>
      <c r="AD32" s="37">
        <f t="shared" si="12"/>
        <v>0</v>
      </c>
      <c r="AE32" s="42">
        <v>-5.68</v>
      </c>
      <c r="AF32" s="42">
        <v>-5.8911216895312499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6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Info!B1:BJ5000""),3,FALSE),"""")"),"2 Tier Fruit Basket Stand - Galvanized Two Tiered Metal Serving Tray for Fruit and Vegetable Storage")</f>
        <v>2 Tier Fruit Basket Stand - Galvanized Two Tiered Metal Serving Tray for Fruit and Vegetable Storage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Info!B1:BJ5000""),2,FALSE),"""")"),"B0876DYF53")</f>
        <v>B0876DYF53</v>
      </c>
      <c r="B2" s="3" t="s">
        <v>1321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12.5" customHeight="1" x14ac:dyDescent="0.2">
      <c r="A3" s="68" t="s">
        <v>31</v>
      </c>
      <c r="B3" s="69"/>
      <c r="C3" s="48">
        <f>((AE32+AF32)/0.85)*-1</f>
        <v>20.873938678823531</v>
      </c>
      <c r="D3" s="5">
        <f>SUM(D4:D99767)</f>
        <v>339</v>
      </c>
      <c r="E3" s="5"/>
      <c r="F3" s="6">
        <f t="shared" ref="F3:G3" si="0">SUM(F4:F99767)</f>
        <v>9151.83</v>
      </c>
      <c r="G3" s="6">
        <f t="shared" si="0"/>
        <v>-569.96000000000015</v>
      </c>
      <c r="H3" s="7">
        <f t="shared" ref="H3:H32" si="1">G3/F3*-1</f>
        <v>6.2278254731567367E-2</v>
      </c>
      <c r="I3" s="8">
        <f t="shared" ref="I3:I32" si="2">J3/F3</f>
        <v>0.11606462008717519</v>
      </c>
      <c r="J3" s="6">
        <f>SUM(J4:J99767)</f>
        <v>1062.2036720524125</v>
      </c>
      <c r="K3" s="6">
        <f t="shared" ref="K3:K32" si="3">J3/D3</f>
        <v>3.1333441653463496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Sheet!a1:g5000""),2,FALSE),"""")"),"2.0 - March
2.0 - April
2.0 - May
2.0 - June
2.0 - July
2.0 - Aug
2.0 - Sept
2.0 - Oct
2.0 - Nov
2.0 - Dec
2.0 - Jan
2.0 - Feb")</f>
        <v>2.0 - March
2.0 - April
2.0 - May
2.0 - June
2.0 - July
2.0 - Aug
2.0 - Sept
2.0 - Oct
2.0 - Nov
2.0 - Dec
2.0 - Jan
2.0 -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71</v>
      </c>
      <c r="X3" s="7">
        <f>W3/D3</f>
        <v>0.20943952802359883</v>
      </c>
      <c r="Y3" s="6"/>
      <c r="Z3" s="5"/>
      <c r="AA3" s="5"/>
      <c r="AB3" s="5"/>
      <c r="AC3" s="5"/>
      <c r="AD3" s="6">
        <f>SUM(AD4:AD99767)</f>
        <v>-192.54110870516803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Info!B2:BZ3000""),37,FALSE)),"""")*-1"),-11.162847877)</f>
        <v>-11.162847877000001</v>
      </c>
      <c r="AG3" s="6">
        <f>SUM(AG4:AG99767)</f>
        <v>0</v>
      </c>
    </row>
    <row r="4" spans="1:33" x14ac:dyDescent="0.2">
      <c r="A4" s="1" t="s">
        <v>32</v>
      </c>
      <c r="B4" s="2" t="s">
        <v>1322</v>
      </c>
      <c r="C4" s="14">
        <f t="shared" ref="C4:C32" si="4">IFERROR(F4/D4," - ")</f>
        <v>24.868255813953507</v>
      </c>
      <c r="D4" s="15">
        <v>86</v>
      </c>
      <c r="E4" s="15">
        <v>0</v>
      </c>
      <c r="F4" s="16">
        <v>2138.6700000000014</v>
      </c>
      <c r="G4" s="16">
        <v>-134.64999999999998</v>
      </c>
      <c r="H4" s="17">
        <f t="shared" si="1"/>
        <v>6.295968990073264E-2</v>
      </c>
      <c r="I4" s="17">
        <f t="shared" si="2"/>
        <v>6.3811308630073713E-2</v>
      </c>
      <c r="J4" s="16">
        <f t="shared" ref="J4:J32" si="5">F4*0.85+G4+AF4*D4+D4*AE4+AG4+AD4</f>
        <v>136.47133142787985</v>
      </c>
      <c r="K4" s="16">
        <f t="shared" si="3"/>
        <v>1.5868759468358122</v>
      </c>
      <c r="L4" s="15">
        <v>155</v>
      </c>
      <c r="M4" s="18">
        <f t="shared" ref="M4:M32" si="6">IFERROR(D4/L4,"-")</f>
        <v>0.55483870967741933</v>
      </c>
      <c r="N4" s="15">
        <v>297</v>
      </c>
      <c r="O4" s="19">
        <f t="shared" ref="O4:P4" si="7">D4/7</f>
        <v>12.285714285714286</v>
      </c>
      <c r="P4" s="19">
        <f t="shared" si="7"/>
        <v>0</v>
      </c>
      <c r="Q4" s="15">
        <f t="shared" ref="Q4:Q32" si="8">ROUNDDOWN(N4/(O4+P4),0)</f>
        <v>24</v>
      </c>
      <c r="R4" s="15"/>
      <c r="S4" s="20">
        <v>1.03770491803278</v>
      </c>
      <c r="T4" s="2">
        <v>0</v>
      </c>
      <c r="U4" s="2" t="s">
        <v>34</v>
      </c>
      <c r="V4" s="21" t="s">
        <v>34</v>
      </c>
      <c r="W4" s="22">
        <v>24</v>
      </c>
      <c r="X4" s="23">
        <f t="shared" ref="X4:X32" si="9">IFERROR(W4/D4,0)</f>
        <v>0.27906976744186046</v>
      </c>
      <c r="Y4" s="24">
        <f t="shared" ref="Y4:Y32" si="10">IFERROR(G4/(W4+Z4)*-1,0)</f>
        <v>5.1788461538461528</v>
      </c>
      <c r="Z4" s="22">
        <v>2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0.41150200000000003</v>
      </c>
      <c r="AD4" s="24">
        <f t="shared" ref="AD4:AD32" si="12">IFERROR(AB4*AC4*D4*2,0)</f>
        <v>-48.837057359999996</v>
      </c>
      <c r="AE4" s="24">
        <v>-6.56</v>
      </c>
      <c r="AF4" s="24">
        <v>-10.857571060606061</v>
      </c>
      <c r="AG4" s="24">
        <v>0</v>
      </c>
    </row>
    <row r="5" spans="1:33" ht="15.75" customHeight="1" x14ac:dyDescent="0.2">
      <c r="A5" s="26" t="s">
        <v>35</v>
      </c>
      <c r="B5" s="26" t="s">
        <v>1323</v>
      </c>
      <c r="C5" s="14">
        <f t="shared" si="4"/>
        <v>26.922448979591849</v>
      </c>
      <c r="D5" s="27">
        <v>49</v>
      </c>
      <c r="E5" s="27">
        <v>0</v>
      </c>
      <c r="F5" s="28">
        <v>1319.2000000000005</v>
      </c>
      <c r="G5" s="28">
        <v>-112.9</v>
      </c>
      <c r="H5" s="29">
        <f t="shared" si="1"/>
        <v>8.5582171012734964E-2</v>
      </c>
      <c r="I5" s="29">
        <f t="shared" si="2"/>
        <v>9.6347035874117137E-2</v>
      </c>
      <c r="J5" s="30">
        <f t="shared" si="5"/>
        <v>127.10100972513538</v>
      </c>
      <c r="K5" s="30">
        <f t="shared" si="3"/>
        <v>2.5938981576558242</v>
      </c>
      <c r="L5" s="27">
        <v>217</v>
      </c>
      <c r="M5" s="31">
        <f t="shared" si="6"/>
        <v>0.22580645161290322</v>
      </c>
      <c r="N5" s="27">
        <v>229</v>
      </c>
      <c r="O5" s="32">
        <f t="shared" ref="O5:P5" si="13">D5/7</f>
        <v>7</v>
      </c>
      <c r="P5" s="32">
        <f t="shared" si="13"/>
        <v>0</v>
      </c>
      <c r="Q5" s="27">
        <f t="shared" si="8"/>
        <v>32</v>
      </c>
      <c r="R5" s="27"/>
      <c r="S5" s="33">
        <v>1.1957029425502099</v>
      </c>
      <c r="T5" s="26">
        <v>0</v>
      </c>
      <c r="U5" s="34" t="s">
        <v>34</v>
      </c>
      <c r="V5" s="35" t="s">
        <v>34</v>
      </c>
      <c r="W5" s="26">
        <v>13</v>
      </c>
      <c r="X5" s="36">
        <f t="shared" si="9"/>
        <v>0.26530612244897961</v>
      </c>
      <c r="Y5" s="37">
        <f t="shared" si="10"/>
        <v>8.0642857142857149</v>
      </c>
      <c r="Z5" s="26">
        <v>1</v>
      </c>
      <c r="AA5" s="26" t="s">
        <v>37</v>
      </c>
      <c r="AB5" s="38">
        <f t="shared" si="11"/>
        <v>-0.69</v>
      </c>
      <c r="AC5" s="39">
        <v>0.41197882734646585</v>
      </c>
      <c r="AD5" s="37">
        <f t="shared" si="12"/>
        <v>-27.858008305168021</v>
      </c>
      <c r="AE5" s="37">
        <v>-6.56</v>
      </c>
      <c r="AF5" s="37">
        <v>-10.857571060606061</v>
      </c>
      <c r="AG5" s="37">
        <v>0</v>
      </c>
    </row>
    <row r="6" spans="1:33" ht="15.75" customHeight="1" x14ac:dyDescent="0.2">
      <c r="A6" s="26" t="s">
        <v>38</v>
      </c>
      <c r="B6" s="26" t="s">
        <v>1324</v>
      </c>
      <c r="C6" s="14">
        <f t="shared" si="4"/>
        <v>27.779298245614008</v>
      </c>
      <c r="D6" s="27">
        <v>57</v>
      </c>
      <c r="E6" s="27">
        <v>0</v>
      </c>
      <c r="F6" s="28">
        <v>1583.4199999999985</v>
      </c>
      <c r="G6" s="28">
        <v>-104.17999999999998</v>
      </c>
      <c r="H6" s="29">
        <f t="shared" si="1"/>
        <v>6.5794293364994802E-2</v>
      </c>
      <c r="I6" s="29">
        <f t="shared" si="2"/>
        <v>0.13676516794372512</v>
      </c>
      <c r="J6" s="30">
        <f t="shared" si="5"/>
        <v>216.55670222545302</v>
      </c>
      <c r="K6" s="30">
        <f t="shared" si="3"/>
        <v>3.7992403899202283</v>
      </c>
      <c r="L6" s="27">
        <v>185</v>
      </c>
      <c r="M6" s="31">
        <f t="shared" si="6"/>
        <v>0.30810810810810813</v>
      </c>
      <c r="N6" s="27">
        <v>172</v>
      </c>
      <c r="O6" s="32">
        <f t="shared" ref="O6:P6" si="14">D6/7</f>
        <v>8.1428571428571423</v>
      </c>
      <c r="P6" s="32">
        <f t="shared" si="14"/>
        <v>0</v>
      </c>
      <c r="Q6" s="27">
        <f t="shared" si="8"/>
        <v>21</v>
      </c>
      <c r="R6" s="27"/>
      <c r="S6" s="33">
        <v>1.24949698189134</v>
      </c>
      <c r="T6" s="26">
        <v>0</v>
      </c>
      <c r="U6" s="34" t="s">
        <v>34</v>
      </c>
      <c r="V6" s="35"/>
      <c r="W6" s="26">
        <v>16</v>
      </c>
      <c r="X6" s="36">
        <f t="shared" si="9"/>
        <v>0.2807017543859649</v>
      </c>
      <c r="Y6" s="37">
        <f t="shared" si="10"/>
        <v>5.7877777777777766</v>
      </c>
      <c r="Z6" s="26">
        <v>2</v>
      </c>
      <c r="AA6" s="26" t="s">
        <v>37</v>
      </c>
      <c r="AB6" s="38">
        <f t="shared" si="11"/>
        <v>-0.69</v>
      </c>
      <c r="AC6" s="39">
        <v>0.41150200000000003</v>
      </c>
      <c r="AD6" s="37">
        <f t="shared" si="12"/>
        <v>-32.368747319999997</v>
      </c>
      <c r="AE6" s="37">
        <v>-6.56</v>
      </c>
      <c r="AF6" s="37">
        <v>-10.857571060606061</v>
      </c>
      <c r="AG6" s="37">
        <v>0</v>
      </c>
    </row>
    <row r="7" spans="1:33" ht="15.75" customHeight="1" x14ac:dyDescent="0.2">
      <c r="A7" s="26" t="s">
        <v>41</v>
      </c>
      <c r="B7" s="26" t="s">
        <v>209</v>
      </c>
      <c r="C7" s="14">
        <f t="shared" si="4"/>
        <v>28.487307692307699</v>
      </c>
      <c r="D7" s="27">
        <v>26</v>
      </c>
      <c r="E7" s="27">
        <v>1</v>
      </c>
      <c r="F7" s="28">
        <v>740.67000000000019</v>
      </c>
      <c r="G7" s="28">
        <v>-63.04</v>
      </c>
      <c r="H7" s="29">
        <f t="shared" si="1"/>
        <v>8.5112128208243862E-2</v>
      </c>
      <c r="I7" s="29">
        <f t="shared" si="2"/>
        <v>0.13353849982346067</v>
      </c>
      <c r="J7" s="30">
        <f t="shared" si="5"/>
        <v>98.907960664242637</v>
      </c>
      <c r="K7" s="30">
        <f t="shared" si="3"/>
        <v>3.8041523332401015</v>
      </c>
      <c r="L7" s="27">
        <v>153</v>
      </c>
      <c r="M7" s="31">
        <f t="shared" si="6"/>
        <v>0.16993464052287582</v>
      </c>
      <c r="N7" s="27">
        <v>140</v>
      </c>
      <c r="O7" s="32">
        <f t="shared" ref="O7:P7" si="15">D7/7</f>
        <v>3.7142857142857144</v>
      </c>
      <c r="P7" s="32">
        <f t="shared" si="15"/>
        <v>0.14285714285714285</v>
      </c>
      <c r="Q7" s="27">
        <f t="shared" si="8"/>
        <v>36</v>
      </c>
      <c r="R7" s="27"/>
      <c r="S7" s="33">
        <v>1.3123689727463299</v>
      </c>
      <c r="T7" s="26">
        <v>0</v>
      </c>
      <c r="U7" s="34" t="s">
        <v>34</v>
      </c>
      <c r="V7" s="35"/>
      <c r="W7" s="26">
        <v>8</v>
      </c>
      <c r="X7" s="36">
        <f t="shared" si="9"/>
        <v>0.30769230769230771</v>
      </c>
      <c r="Y7" s="37">
        <f t="shared" si="10"/>
        <v>7.0044444444444443</v>
      </c>
      <c r="Z7" s="26">
        <v>1</v>
      </c>
      <c r="AA7" s="26" t="s">
        <v>37</v>
      </c>
      <c r="AB7" s="38">
        <f t="shared" si="11"/>
        <v>-0.69</v>
      </c>
      <c r="AC7" s="39">
        <v>0.41150200000000003</v>
      </c>
      <c r="AD7" s="37">
        <f t="shared" si="12"/>
        <v>-14.76469176</v>
      </c>
      <c r="AE7" s="37">
        <v>-6.56</v>
      </c>
      <c r="AF7" s="37">
        <v>-10.857571060606061</v>
      </c>
      <c r="AG7" s="37">
        <v>0</v>
      </c>
    </row>
    <row r="8" spans="1:33" ht="15.75" customHeight="1" x14ac:dyDescent="0.2">
      <c r="A8" s="26" t="s">
        <v>43</v>
      </c>
      <c r="B8" s="26" t="s">
        <v>1325</v>
      </c>
      <c r="C8" s="14">
        <f t="shared" si="4"/>
        <v>29.443000000000001</v>
      </c>
      <c r="D8" s="27">
        <v>10</v>
      </c>
      <c r="E8" s="27">
        <v>0</v>
      </c>
      <c r="F8" s="28">
        <v>294.43</v>
      </c>
      <c r="G8" s="28">
        <v>-37.64</v>
      </c>
      <c r="H8" s="29">
        <f t="shared" si="1"/>
        <v>0.1278402336718405</v>
      </c>
      <c r="I8" s="29">
        <f t="shared" si="2"/>
        <v>0.11122090955405359</v>
      </c>
      <c r="J8" s="30">
        <f t="shared" si="5"/>
        <v>32.746772399999998</v>
      </c>
      <c r="K8" s="30">
        <f t="shared" si="3"/>
        <v>3.2746772399999999</v>
      </c>
      <c r="L8" s="27">
        <v>98</v>
      </c>
      <c r="M8" s="31">
        <f t="shared" si="6"/>
        <v>0.10204081632653061</v>
      </c>
      <c r="N8" s="27">
        <v>128</v>
      </c>
      <c r="O8" s="32">
        <f t="shared" ref="O8:P8" si="16">D8/7</f>
        <v>1.4285714285714286</v>
      </c>
      <c r="P8" s="32">
        <f t="shared" si="16"/>
        <v>0</v>
      </c>
      <c r="Q8" s="27">
        <f t="shared" si="8"/>
        <v>89</v>
      </c>
      <c r="R8" s="27"/>
      <c r="S8" s="33">
        <v>1.3469387755102</v>
      </c>
      <c r="T8" s="26">
        <v>0</v>
      </c>
      <c r="U8" s="34" t="s">
        <v>34</v>
      </c>
      <c r="V8" s="35" t="s">
        <v>34</v>
      </c>
      <c r="W8" s="26">
        <v>2</v>
      </c>
      <c r="X8" s="36">
        <f t="shared" si="9"/>
        <v>0.2</v>
      </c>
      <c r="Y8" s="37">
        <f t="shared" si="10"/>
        <v>12.546666666666667</v>
      </c>
      <c r="Z8" s="26">
        <v>1</v>
      </c>
      <c r="AA8" s="26" t="s">
        <v>37</v>
      </c>
      <c r="AB8" s="38">
        <f t="shared" si="11"/>
        <v>-0.69</v>
      </c>
      <c r="AC8" s="39">
        <v>0.41150200000000003</v>
      </c>
      <c r="AD8" s="37">
        <f t="shared" si="12"/>
        <v>-5.6787276000000002</v>
      </c>
      <c r="AE8" s="37">
        <v>-6.56</v>
      </c>
      <c r="AF8" s="37">
        <v>-10.86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28.47538461538462</v>
      </c>
      <c r="D9" s="27">
        <v>13</v>
      </c>
      <c r="E9" s="27">
        <v>0</v>
      </c>
      <c r="F9" s="28">
        <v>370.18000000000006</v>
      </c>
      <c r="G9" s="28">
        <v>-0.74</v>
      </c>
      <c r="H9" s="29">
        <f t="shared" si="1"/>
        <v>1.9990275001350692E-3</v>
      </c>
      <c r="I9" s="29">
        <f t="shared" si="2"/>
        <v>0.204411649120741</v>
      </c>
      <c r="J9" s="30">
        <f t="shared" si="5"/>
        <v>75.66910427151592</v>
      </c>
      <c r="K9" s="30">
        <f t="shared" si="3"/>
        <v>5.8207003285781473</v>
      </c>
      <c r="L9" s="27">
        <v>65</v>
      </c>
      <c r="M9" s="31">
        <f t="shared" si="6"/>
        <v>0.2</v>
      </c>
      <c r="N9" s="27">
        <v>115</v>
      </c>
      <c r="O9" s="32">
        <f t="shared" ref="O9:P9" si="17">D9/7</f>
        <v>1.8571428571428572</v>
      </c>
      <c r="P9" s="32">
        <f t="shared" si="17"/>
        <v>0</v>
      </c>
      <c r="Q9" s="27">
        <f t="shared" si="8"/>
        <v>61</v>
      </c>
      <c r="R9" s="27"/>
      <c r="S9" s="33">
        <v>1.4342527261064699</v>
      </c>
      <c r="T9" s="26">
        <v>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0.41150200000000003</v>
      </c>
      <c r="AD9" s="37">
        <f t="shared" si="12"/>
        <v>-7.3823458799999999</v>
      </c>
      <c r="AE9" s="37">
        <v>-6.56</v>
      </c>
      <c r="AF9" s="37">
        <v>-11.1985807575757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27.990000000000006</v>
      </c>
      <c r="D10" s="27">
        <v>17</v>
      </c>
      <c r="E10" s="27">
        <v>0</v>
      </c>
      <c r="F10" s="28">
        <v>475.8300000000001</v>
      </c>
      <c r="G10" s="28">
        <v>-0.31000000000000005</v>
      </c>
      <c r="H10" s="29">
        <f t="shared" si="1"/>
        <v>6.5149318033751549E-4</v>
      </c>
      <c r="I10" s="29">
        <f t="shared" si="2"/>
        <v>0.19459847046468939</v>
      </c>
      <c r="J10" s="30">
        <f t="shared" si="5"/>
        <v>92.595790201213177</v>
      </c>
      <c r="K10" s="30">
        <f t="shared" si="3"/>
        <v>5.4468111883066577</v>
      </c>
      <c r="L10" s="27">
        <v>62</v>
      </c>
      <c r="M10" s="31">
        <f t="shared" si="6"/>
        <v>0.27419354838709675</v>
      </c>
      <c r="N10" s="27">
        <v>98</v>
      </c>
      <c r="O10" s="32">
        <f t="shared" ref="O10:P10" si="18">D10/7</f>
        <v>2.4285714285714284</v>
      </c>
      <c r="P10" s="32">
        <f t="shared" si="18"/>
        <v>0</v>
      </c>
      <c r="Q10" s="27">
        <f t="shared" si="8"/>
        <v>40</v>
      </c>
      <c r="R10" s="27"/>
      <c r="S10" s="33">
        <v>1.5310049893086199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0.41150200000000003</v>
      </c>
      <c r="AD10" s="37">
        <f t="shared" si="12"/>
        <v>-9.6538369199999998</v>
      </c>
      <c r="AE10" s="37">
        <v>-6.56</v>
      </c>
      <c r="AF10" s="37">
        <v>-11.1985807575757</v>
      </c>
      <c r="AG10" s="37">
        <v>0</v>
      </c>
    </row>
    <row r="11" spans="1:33" ht="15.75" customHeight="1" x14ac:dyDescent="0.2">
      <c r="A11" s="26" t="s">
        <v>50</v>
      </c>
      <c r="B11" s="26" t="s">
        <v>53</v>
      </c>
      <c r="C11" s="14">
        <f t="shared" si="4"/>
        <v>29.080833333333334</v>
      </c>
      <c r="D11" s="27">
        <v>12</v>
      </c>
      <c r="E11" s="27">
        <v>0</v>
      </c>
      <c r="F11" s="28">
        <v>348.97</v>
      </c>
      <c r="G11" s="28">
        <v>-0.80999999999999994</v>
      </c>
      <c r="H11" s="29">
        <f t="shared" si="1"/>
        <v>2.3211164283462758E-3</v>
      </c>
      <c r="I11" s="29">
        <f t="shared" si="2"/>
        <v>0.21748877493507063</v>
      </c>
      <c r="J11" s="30">
        <f t="shared" si="5"/>
        <v>75.897057789091605</v>
      </c>
      <c r="K11" s="30">
        <f t="shared" si="3"/>
        <v>6.3247548157576334</v>
      </c>
      <c r="L11" s="27">
        <v>43</v>
      </c>
      <c r="M11" s="31">
        <f t="shared" si="6"/>
        <v>0.27906976744186046</v>
      </c>
      <c r="N11" s="27">
        <v>88</v>
      </c>
      <c r="O11" s="32">
        <f t="shared" ref="O11:P11" si="19">D11/7</f>
        <v>1.7142857142857142</v>
      </c>
      <c r="P11" s="32">
        <f t="shared" si="19"/>
        <v>0</v>
      </c>
      <c r="Q11" s="27">
        <f t="shared" si="8"/>
        <v>51</v>
      </c>
      <c r="R11" s="27"/>
      <c r="S11" s="33">
        <v>1.6493194555644499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0.41150200000000003</v>
      </c>
      <c r="AD11" s="37">
        <f t="shared" si="12"/>
        <v>-6.8144731199999997</v>
      </c>
      <c r="AE11" s="37">
        <v>-6.56</v>
      </c>
      <c r="AF11" s="37">
        <v>-11.1985807575757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27.99</v>
      </c>
      <c r="D12" s="27">
        <v>4</v>
      </c>
      <c r="E12" s="27">
        <v>0</v>
      </c>
      <c r="F12" s="28">
        <v>111.96</v>
      </c>
      <c r="G12" s="28">
        <v>-0.63000000000000012</v>
      </c>
      <c r="H12" s="29">
        <f t="shared" si="1"/>
        <v>5.6270096463022518E-3</v>
      </c>
      <c r="I12" s="29">
        <f t="shared" si="2"/>
        <v>0.18962295399872459</v>
      </c>
      <c r="J12" s="30">
        <f t="shared" si="5"/>
        <v>21.230185929697203</v>
      </c>
      <c r="K12" s="30">
        <f t="shared" si="3"/>
        <v>5.3075464824243008</v>
      </c>
      <c r="L12" s="27">
        <v>28</v>
      </c>
      <c r="M12" s="31">
        <f t="shared" si="6"/>
        <v>0.14285714285714285</v>
      </c>
      <c r="N12" s="27">
        <v>84</v>
      </c>
      <c r="O12" s="32">
        <f t="shared" ref="O12:P12" si="20">D12/7</f>
        <v>0.5714285714285714</v>
      </c>
      <c r="P12" s="32">
        <f t="shared" si="20"/>
        <v>0</v>
      </c>
      <c r="Q12" s="27">
        <f t="shared" si="8"/>
        <v>147</v>
      </c>
      <c r="R12" s="27"/>
      <c r="S12" s="33">
        <v>1.6842105263157801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0.41150200000000003</v>
      </c>
      <c r="AD12" s="37">
        <f t="shared" si="12"/>
        <v>-2.2714910399999999</v>
      </c>
      <c r="AE12" s="37">
        <v>-6.56</v>
      </c>
      <c r="AF12" s="37">
        <v>-11.1985807575757</v>
      </c>
      <c r="AG12" s="37">
        <v>0</v>
      </c>
    </row>
    <row r="13" spans="1:33" ht="15.75" customHeight="1" x14ac:dyDescent="0.2">
      <c r="A13" s="26" t="s">
        <v>54</v>
      </c>
      <c r="B13" s="26" t="s">
        <v>666</v>
      </c>
      <c r="C13" s="14">
        <f t="shared" si="4"/>
        <v>29.227499999999999</v>
      </c>
      <c r="D13" s="27">
        <v>4</v>
      </c>
      <c r="E13" s="27">
        <v>0</v>
      </c>
      <c r="F13" s="30">
        <v>116.91</v>
      </c>
      <c r="G13" s="28">
        <v>-0.36</v>
      </c>
      <c r="H13" s="29">
        <f t="shared" si="1"/>
        <v>3.0792917628945341E-3</v>
      </c>
      <c r="I13" s="29">
        <f t="shared" si="2"/>
        <v>0.21375220920521765</v>
      </c>
      <c r="J13" s="30">
        <f t="shared" si="5"/>
        <v>24.989770778181995</v>
      </c>
      <c r="K13" s="30">
        <f t="shared" si="3"/>
        <v>6.2474426945454988</v>
      </c>
      <c r="L13" s="27">
        <v>21</v>
      </c>
      <c r="M13" s="31">
        <f t="shared" si="6"/>
        <v>0.19047619047619047</v>
      </c>
      <c r="N13" s="27">
        <v>80</v>
      </c>
      <c r="O13" s="32">
        <f t="shared" ref="O13:P13" si="21">D13/7</f>
        <v>0.5714285714285714</v>
      </c>
      <c r="P13" s="32">
        <f t="shared" si="21"/>
        <v>0</v>
      </c>
      <c r="Q13" s="27">
        <f t="shared" si="8"/>
        <v>140</v>
      </c>
      <c r="R13" s="27"/>
      <c r="S13" s="33">
        <v>1.6600361663652801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0.41150200000000003</v>
      </c>
      <c r="AD13" s="37">
        <f t="shared" si="12"/>
        <v>-2.2714910399999999</v>
      </c>
      <c r="AE13" s="37">
        <v>-6.56</v>
      </c>
      <c r="AF13" s="37">
        <v>-11.3780595454545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28.189999999999998</v>
      </c>
      <c r="D14" s="27">
        <v>6</v>
      </c>
      <c r="E14" s="27">
        <v>0</v>
      </c>
      <c r="F14" s="30">
        <v>169.14</v>
      </c>
      <c r="G14" s="28">
        <v>-0.3</v>
      </c>
      <c r="H14" s="29">
        <f t="shared" si="1"/>
        <v>1.7736786094359703E-3</v>
      </c>
      <c r="I14" s="29">
        <f t="shared" si="2"/>
        <v>0.1917547958334691</v>
      </c>
      <c r="J14" s="30">
        <f t="shared" si="5"/>
        <v>32.433406167272963</v>
      </c>
      <c r="K14" s="30">
        <f t="shared" si="3"/>
        <v>5.4055676945454936</v>
      </c>
      <c r="L14" s="27">
        <v>28</v>
      </c>
      <c r="M14" s="31">
        <f t="shared" si="6"/>
        <v>0.21428571428571427</v>
      </c>
      <c r="N14" s="27">
        <v>73</v>
      </c>
      <c r="O14" s="32">
        <f t="shared" ref="O14:P14" si="22">D14/7</f>
        <v>0.8571428571428571</v>
      </c>
      <c r="P14" s="32">
        <f t="shared" si="22"/>
        <v>0</v>
      </c>
      <c r="Q14" s="27">
        <f t="shared" si="8"/>
        <v>85</v>
      </c>
      <c r="R14" s="27"/>
      <c r="S14" s="33">
        <v>1.70971428571428</v>
      </c>
      <c r="T14" s="26">
        <v>600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0.41150200000000003</v>
      </c>
      <c r="AD14" s="37">
        <f t="shared" si="12"/>
        <v>-3.4072365599999999</v>
      </c>
      <c r="AE14" s="37">
        <v>-6.56</v>
      </c>
      <c r="AF14" s="37">
        <v>-11.3780595454545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27.990000000000002</v>
      </c>
      <c r="D15" s="27">
        <v>7</v>
      </c>
      <c r="E15" s="27">
        <v>0</v>
      </c>
      <c r="F15" s="30">
        <v>195.93</v>
      </c>
      <c r="G15" s="28">
        <v>-0.38000000000000006</v>
      </c>
      <c r="H15" s="29">
        <f t="shared" si="1"/>
        <v>1.9394681774102997E-3</v>
      </c>
      <c r="I15" s="29">
        <f t="shared" si="2"/>
        <v>0.18689824866951729</v>
      </c>
      <c r="J15" s="30">
        <f t="shared" si="5"/>
        <v>36.618973861818525</v>
      </c>
      <c r="K15" s="30">
        <f t="shared" si="3"/>
        <v>5.231281980259789</v>
      </c>
      <c r="L15" s="27">
        <v>25</v>
      </c>
      <c r="M15" s="31">
        <f t="shared" si="6"/>
        <v>0.28000000000000003</v>
      </c>
      <c r="N15" s="27">
        <v>63</v>
      </c>
      <c r="O15" s="32">
        <f t="shared" ref="O15:P15" si="23">D15/7</f>
        <v>1</v>
      </c>
      <c r="P15" s="32">
        <f t="shared" si="23"/>
        <v>0</v>
      </c>
      <c r="Q15" s="27">
        <f t="shared" si="8"/>
        <v>63</v>
      </c>
      <c r="R15" s="27"/>
      <c r="S15" s="33">
        <v>1.8186738836265199</v>
      </c>
      <c r="T15" s="26">
        <v>600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0.38000000000000006</v>
      </c>
      <c r="Z15" s="26">
        <v>1</v>
      </c>
      <c r="AA15" s="26" t="s">
        <v>37</v>
      </c>
      <c r="AB15" s="38">
        <f t="shared" si="11"/>
        <v>-0.69</v>
      </c>
      <c r="AC15" s="39">
        <v>0.41150200000000003</v>
      </c>
      <c r="AD15" s="37">
        <f t="shared" si="12"/>
        <v>-3.9751093199999996</v>
      </c>
      <c r="AE15" s="37">
        <v>-6.56</v>
      </c>
      <c r="AF15" s="37">
        <v>-11.3780595454545</v>
      </c>
      <c r="AG15" s="37">
        <v>0</v>
      </c>
    </row>
    <row r="16" spans="1:33" ht="15.75" customHeight="1" x14ac:dyDescent="0.2">
      <c r="A16" s="26" t="s">
        <v>60</v>
      </c>
      <c r="B16" s="26" t="s">
        <v>1326</v>
      </c>
      <c r="C16" s="14">
        <f t="shared" si="4"/>
        <v>27.99</v>
      </c>
      <c r="D16" s="27">
        <v>3</v>
      </c>
      <c r="E16" s="27">
        <v>0</v>
      </c>
      <c r="F16" s="30">
        <v>83.97</v>
      </c>
      <c r="G16" s="28">
        <v>0</v>
      </c>
      <c r="H16" s="29">
        <f t="shared" si="1"/>
        <v>0</v>
      </c>
      <c r="I16" s="29">
        <f t="shared" si="2"/>
        <v>0.18883771684692743</v>
      </c>
      <c r="J16" s="30">
        <f t="shared" si="5"/>
        <v>15.856703083636496</v>
      </c>
      <c r="K16" s="30">
        <f t="shared" si="3"/>
        <v>5.2855676945454988</v>
      </c>
      <c r="L16" s="27">
        <v>14</v>
      </c>
      <c r="M16" s="31">
        <f t="shared" si="6"/>
        <v>0.21428571428571427</v>
      </c>
      <c r="N16" s="27">
        <v>58</v>
      </c>
      <c r="O16" s="32">
        <f t="shared" ref="O16:P16" si="24">D16/7</f>
        <v>0.42857142857142855</v>
      </c>
      <c r="P16" s="32">
        <f t="shared" si="24"/>
        <v>0</v>
      </c>
      <c r="Q16" s="27">
        <f t="shared" si="8"/>
        <v>135</v>
      </c>
      <c r="R16" s="27"/>
      <c r="S16" s="33">
        <v>1.7951807228915599</v>
      </c>
      <c r="T16" s="26">
        <v>600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0.41150200000000003</v>
      </c>
      <c r="AD16" s="37">
        <f t="shared" si="12"/>
        <v>-1.7036182799999999</v>
      </c>
      <c r="AE16" s="37">
        <v>-6.56</v>
      </c>
      <c r="AF16" s="37">
        <v>-11.3780595454545</v>
      </c>
      <c r="AG16" s="37">
        <v>0</v>
      </c>
    </row>
    <row r="17" spans="1:33" ht="15.75" customHeight="1" x14ac:dyDescent="0.2">
      <c r="A17" s="26" t="s">
        <v>61</v>
      </c>
      <c r="B17" s="26" t="s">
        <v>1327</v>
      </c>
      <c r="C17" s="14">
        <f t="shared" si="4"/>
        <v>27.99</v>
      </c>
      <c r="D17" s="27">
        <v>1</v>
      </c>
      <c r="E17" s="27">
        <v>0</v>
      </c>
      <c r="F17" s="30">
        <v>27.99</v>
      </c>
      <c r="G17" s="28">
        <v>-0.27</v>
      </c>
      <c r="H17" s="29">
        <f t="shared" si="1"/>
        <v>9.6463022508038593E-3</v>
      </c>
      <c r="I17" s="29">
        <f t="shared" si="2"/>
        <v>0.17919141459612362</v>
      </c>
      <c r="J17" s="30">
        <f t="shared" si="5"/>
        <v>5.0155676945455001</v>
      </c>
      <c r="K17" s="30">
        <f t="shared" si="3"/>
        <v>5.0155676945455001</v>
      </c>
      <c r="L17" s="27">
        <v>25</v>
      </c>
      <c r="M17" s="31">
        <f t="shared" si="6"/>
        <v>0.04</v>
      </c>
      <c r="N17" s="27">
        <v>57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399</v>
      </c>
      <c r="R17" s="27"/>
      <c r="S17" s="33">
        <v>1.6606260296540301</v>
      </c>
      <c r="T17" s="26">
        <v>600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0.41150200000000003</v>
      </c>
      <c r="AD17" s="37">
        <f t="shared" si="12"/>
        <v>-0.56787275999999998</v>
      </c>
      <c r="AE17" s="37">
        <v>-6.56</v>
      </c>
      <c r="AF17" s="37">
        <v>-11.3780595454545</v>
      </c>
      <c r="AG17" s="37">
        <v>0</v>
      </c>
    </row>
    <row r="18" spans="1:33" ht="15.75" customHeight="1" x14ac:dyDescent="0.2">
      <c r="A18" s="26" t="s">
        <v>62</v>
      </c>
      <c r="B18" s="26" t="s">
        <v>1099</v>
      </c>
      <c r="C18" s="14">
        <f t="shared" si="4"/>
        <v>27.99</v>
      </c>
      <c r="D18" s="27">
        <v>5</v>
      </c>
      <c r="E18" s="27">
        <v>0</v>
      </c>
      <c r="F18" s="30">
        <v>139.94999999999999</v>
      </c>
      <c r="G18" s="28">
        <v>-28.180000000000003</v>
      </c>
      <c r="H18" s="29">
        <f t="shared" si="1"/>
        <v>0.20135762772418725</v>
      </c>
      <c r="I18" s="29">
        <f t="shared" si="2"/>
        <v>-1.2519910877259873E-2</v>
      </c>
      <c r="J18" s="30">
        <f t="shared" si="5"/>
        <v>-1.7521615272725191</v>
      </c>
      <c r="K18" s="30">
        <f t="shared" si="3"/>
        <v>-0.35043230545450382</v>
      </c>
      <c r="L18" s="27">
        <v>46</v>
      </c>
      <c r="M18" s="31">
        <f t="shared" si="6"/>
        <v>0.10869565217391304</v>
      </c>
      <c r="N18" s="27">
        <v>51</v>
      </c>
      <c r="O18" s="32">
        <f t="shared" ref="O18:P18" si="26">D18/7</f>
        <v>0.7142857142857143</v>
      </c>
      <c r="P18" s="32">
        <f t="shared" si="26"/>
        <v>0</v>
      </c>
      <c r="Q18" s="27">
        <f t="shared" si="8"/>
        <v>71</v>
      </c>
      <c r="R18" s="27"/>
      <c r="S18" s="33">
        <v>1.3770491803278599</v>
      </c>
      <c r="T18" s="26">
        <v>600</v>
      </c>
      <c r="U18" s="34" t="s">
        <v>34</v>
      </c>
      <c r="V18" s="35" t="s">
        <v>34</v>
      </c>
      <c r="W18" s="26">
        <v>5</v>
      </c>
      <c r="X18" s="36">
        <f t="shared" si="9"/>
        <v>1</v>
      </c>
      <c r="Y18" s="37">
        <f t="shared" si="10"/>
        <v>5.636000000000001</v>
      </c>
      <c r="Z18" s="26">
        <v>0</v>
      </c>
      <c r="AA18" s="26" t="s">
        <v>37</v>
      </c>
      <c r="AB18" s="38">
        <f t="shared" si="11"/>
        <v>-0.69</v>
      </c>
      <c r="AC18" s="39">
        <v>0.41150200000000003</v>
      </c>
      <c r="AD18" s="37">
        <f t="shared" si="12"/>
        <v>-2.8393638000000001</v>
      </c>
      <c r="AE18" s="37">
        <v>-6.56</v>
      </c>
      <c r="AF18" s="37">
        <v>-11.3780595454545</v>
      </c>
      <c r="AG18" s="37">
        <v>0</v>
      </c>
    </row>
    <row r="19" spans="1:33" ht="15.75" customHeight="1" x14ac:dyDescent="0.2">
      <c r="A19" s="26" t="s">
        <v>64</v>
      </c>
      <c r="B19" s="26" t="s">
        <v>1328</v>
      </c>
      <c r="C19" s="14">
        <f t="shared" si="4"/>
        <v>28.823333333333334</v>
      </c>
      <c r="D19" s="27">
        <v>6</v>
      </c>
      <c r="E19" s="27">
        <v>0</v>
      </c>
      <c r="F19" s="30">
        <v>172.94</v>
      </c>
      <c r="G19" s="28">
        <v>-19.64</v>
      </c>
      <c r="H19" s="29">
        <f t="shared" si="1"/>
        <v>0.11356539840407077</v>
      </c>
      <c r="I19" s="29">
        <f t="shared" si="2"/>
        <v>9.4387684556914084E-2</v>
      </c>
      <c r="J19" s="30">
        <f t="shared" si="5"/>
        <v>16.323406167272722</v>
      </c>
      <c r="K19" s="30">
        <f t="shared" si="3"/>
        <v>2.7205676945454536</v>
      </c>
      <c r="L19" s="27">
        <v>24</v>
      </c>
      <c r="M19" s="31">
        <f t="shared" si="6"/>
        <v>0.25</v>
      </c>
      <c r="N19" s="27">
        <v>43</v>
      </c>
      <c r="O19" s="32">
        <f t="shared" ref="O19:P19" si="27">D19/7</f>
        <v>0.8571428571428571</v>
      </c>
      <c r="P19" s="32">
        <f t="shared" si="27"/>
        <v>0</v>
      </c>
      <c r="Q19" s="27">
        <f t="shared" si="8"/>
        <v>50</v>
      </c>
      <c r="R19" s="27"/>
      <c r="S19" s="33">
        <v>1.27272727272727</v>
      </c>
      <c r="T19" s="26">
        <v>600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9.82</v>
      </c>
      <c r="Z19" s="26">
        <v>2</v>
      </c>
      <c r="AA19" s="26" t="s">
        <v>37</v>
      </c>
      <c r="AB19" s="38">
        <f t="shared" si="11"/>
        <v>-0.69</v>
      </c>
      <c r="AC19" s="39">
        <v>0.41150200000000003</v>
      </c>
      <c r="AD19" s="37">
        <f t="shared" si="12"/>
        <v>-3.4072365599999999</v>
      </c>
      <c r="AE19" s="37">
        <v>-6.56</v>
      </c>
      <c r="AF19" s="37">
        <v>-11.378059545454546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29.49</v>
      </c>
      <c r="D20" s="27">
        <v>4</v>
      </c>
      <c r="E20" s="27">
        <v>0</v>
      </c>
      <c r="F20" s="30">
        <v>117.96</v>
      </c>
      <c r="G20" s="28">
        <v>-21.19</v>
      </c>
      <c r="H20" s="29">
        <f t="shared" si="1"/>
        <v>0.1796371651407257</v>
      </c>
      <c r="I20" s="29">
        <f t="shared" si="2"/>
        <v>4.2830372822836651E-2</v>
      </c>
      <c r="J20" s="30">
        <f t="shared" si="5"/>
        <v>5.0522707781818115</v>
      </c>
      <c r="K20" s="30">
        <f t="shared" si="3"/>
        <v>1.2630676945454529</v>
      </c>
      <c r="L20" s="27">
        <v>28</v>
      </c>
      <c r="M20" s="31">
        <f t="shared" si="6"/>
        <v>0.14285714285714285</v>
      </c>
      <c r="N20" s="27">
        <v>38</v>
      </c>
      <c r="O20" s="32">
        <f t="shared" ref="O20:P20" si="28">D20/7</f>
        <v>0.5714285714285714</v>
      </c>
      <c r="P20" s="32">
        <f t="shared" si="28"/>
        <v>0</v>
      </c>
      <c r="Q20" s="27">
        <f t="shared" si="8"/>
        <v>66</v>
      </c>
      <c r="R20" s="27"/>
      <c r="S20" s="33">
        <v>1.10112359550561</v>
      </c>
      <c r="T20" s="26">
        <v>600</v>
      </c>
      <c r="U20" s="34" t="s">
        <v>34</v>
      </c>
      <c r="V20" s="35" t="s">
        <v>34</v>
      </c>
      <c r="W20" s="26">
        <v>2</v>
      </c>
      <c r="X20" s="36">
        <f t="shared" si="9"/>
        <v>0.5</v>
      </c>
      <c r="Y20" s="37">
        <f t="shared" si="10"/>
        <v>7.0633333333333335</v>
      </c>
      <c r="Z20" s="26">
        <v>1</v>
      </c>
      <c r="AA20" s="26" t="s">
        <v>37</v>
      </c>
      <c r="AB20" s="38">
        <f t="shared" si="11"/>
        <v>-0.69</v>
      </c>
      <c r="AC20" s="39">
        <v>0.41150200000000003</v>
      </c>
      <c r="AD20" s="37">
        <f t="shared" si="12"/>
        <v>-2.2714910399999999</v>
      </c>
      <c r="AE20" s="37">
        <v>-6.56</v>
      </c>
      <c r="AF20" s="37">
        <v>-11.378059545454546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29.99</v>
      </c>
      <c r="D21" s="27">
        <v>6</v>
      </c>
      <c r="E21" s="27">
        <v>0</v>
      </c>
      <c r="F21" s="30">
        <v>179.94</v>
      </c>
      <c r="G21" s="28">
        <v>-24.490000000000002</v>
      </c>
      <c r="H21" s="29">
        <f t="shared" si="1"/>
        <v>0.13610092252973213</v>
      </c>
      <c r="I21" s="29">
        <f t="shared" si="2"/>
        <v>9.6828977255044468E-2</v>
      </c>
      <c r="J21" s="30">
        <f t="shared" si="5"/>
        <v>17.423406167272702</v>
      </c>
      <c r="K21" s="30">
        <f t="shared" si="3"/>
        <v>2.9039010278787836</v>
      </c>
      <c r="L21" s="27">
        <v>12</v>
      </c>
      <c r="M21" s="31">
        <f t="shared" si="6"/>
        <v>0.5</v>
      </c>
      <c r="N21" s="27">
        <v>34</v>
      </c>
      <c r="O21" s="32">
        <f t="shared" ref="O21:P21" si="29">D21/7</f>
        <v>0.8571428571428571</v>
      </c>
      <c r="P21" s="32">
        <f t="shared" si="29"/>
        <v>0</v>
      </c>
      <c r="Q21" s="27">
        <f t="shared" si="8"/>
        <v>39</v>
      </c>
      <c r="R21" s="27"/>
      <c r="S21" s="33">
        <v>1.00911854103343</v>
      </c>
      <c r="T21" s="26" t="s">
        <v>34</v>
      </c>
      <c r="U21" s="34" t="s">
        <v>34</v>
      </c>
      <c r="V21" s="35" t="s">
        <v>34</v>
      </c>
      <c r="W21" s="26">
        <v>1</v>
      </c>
      <c r="X21" s="36">
        <f t="shared" si="9"/>
        <v>0.16666666666666666</v>
      </c>
      <c r="Y21" s="37">
        <f t="shared" si="10"/>
        <v>24.490000000000002</v>
      </c>
      <c r="Z21" s="26">
        <v>0</v>
      </c>
      <c r="AA21" s="26" t="s">
        <v>37</v>
      </c>
      <c r="AB21" s="38">
        <f t="shared" si="11"/>
        <v>-0.69</v>
      </c>
      <c r="AC21" s="39">
        <v>0.41150200000000003</v>
      </c>
      <c r="AD21" s="37">
        <f t="shared" si="12"/>
        <v>-3.4072365599999999</v>
      </c>
      <c r="AE21" s="37">
        <v>-6.56</v>
      </c>
      <c r="AF21" s="37">
        <v>-11.378059545454546</v>
      </c>
      <c r="AG21" s="37">
        <v>0</v>
      </c>
    </row>
    <row r="22" spans="1:33" ht="15.75" customHeight="1" x14ac:dyDescent="0.2">
      <c r="A22" s="26" t="s">
        <v>67</v>
      </c>
      <c r="B22" s="26" t="s">
        <v>1329</v>
      </c>
      <c r="C22" s="14">
        <f t="shared" si="4"/>
        <v>29.99</v>
      </c>
      <c r="D22" s="27">
        <v>4</v>
      </c>
      <c r="E22" s="27">
        <v>0</v>
      </c>
      <c r="F22" s="28">
        <v>119.96</v>
      </c>
      <c r="G22" s="28">
        <v>-8.4400000000000013</v>
      </c>
      <c r="H22" s="29">
        <f t="shared" si="1"/>
        <v>7.0356785595198409E-2</v>
      </c>
      <c r="I22" s="29">
        <f t="shared" si="2"/>
        <v>0.16257311418957832</v>
      </c>
      <c r="J22" s="30">
        <f t="shared" si="5"/>
        <v>19.502270778181813</v>
      </c>
      <c r="K22" s="30">
        <f t="shared" si="3"/>
        <v>4.8755676945454534</v>
      </c>
      <c r="L22" s="27">
        <v>14</v>
      </c>
      <c r="M22" s="31">
        <f t="shared" si="6"/>
        <v>0.2857142857142857</v>
      </c>
      <c r="N22" s="27">
        <v>27</v>
      </c>
      <c r="O22" s="32">
        <f t="shared" ref="O22:P22" si="30">D22/7</f>
        <v>0.5714285714285714</v>
      </c>
      <c r="P22" s="32">
        <f t="shared" si="30"/>
        <v>0</v>
      </c>
      <c r="Q22" s="27">
        <f t="shared" si="8"/>
        <v>47</v>
      </c>
      <c r="R22" s="27"/>
      <c r="S22" s="33">
        <v>1.0505050505050499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0.41150200000000003</v>
      </c>
      <c r="AD22" s="37">
        <f t="shared" si="12"/>
        <v>-2.2714910399999999</v>
      </c>
      <c r="AE22" s="37">
        <v>-6.56</v>
      </c>
      <c r="AF22" s="37">
        <v>-11.378059545454546</v>
      </c>
      <c r="AG22" s="37">
        <v>0</v>
      </c>
    </row>
    <row r="23" spans="1:33" ht="15.75" customHeight="1" x14ac:dyDescent="0.2">
      <c r="A23" s="26" t="s">
        <v>68</v>
      </c>
      <c r="B23" s="26" t="s">
        <v>1330</v>
      </c>
      <c r="C23" s="14">
        <f t="shared" si="4"/>
        <v>29.99</v>
      </c>
      <c r="D23" s="27">
        <v>1</v>
      </c>
      <c r="E23" s="27">
        <v>0</v>
      </c>
      <c r="F23" s="30">
        <v>29.99</v>
      </c>
      <c r="G23" s="28">
        <v>-5.42</v>
      </c>
      <c r="H23" s="29">
        <f t="shared" si="1"/>
        <v>0.18072690896965657</v>
      </c>
      <c r="I23" s="29">
        <f t="shared" si="2"/>
        <v>5.2202990815120205E-2</v>
      </c>
      <c r="J23" s="30">
        <f t="shared" si="5"/>
        <v>1.5655676945454549</v>
      </c>
      <c r="K23" s="30">
        <f t="shared" si="3"/>
        <v>1.5655676945454549</v>
      </c>
      <c r="L23" s="27">
        <v>15</v>
      </c>
      <c r="M23" s="31">
        <f t="shared" si="6"/>
        <v>6.6666666666666666E-2</v>
      </c>
      <c r="N23" s="27">
        <v>22</v>
      </c>
      <c r="O23" s="32">
        <f t="shared" ref="O23:P23" si="31">D23/7</f>
        <v>0.14285714285714285</v>
      </c>
      <c r="P23" s="32">
        <f t="shared" si="31"/>
        <v>0</v>
      </c>
      <c r="Q23" s="27">
        <f t="shared" si="8"/>
        <v>154</v>
      </c>
      <c r="R23" s="27"/>
      <c r="S23" s="33">
        <v>1.0359712230215801</v>
      </c>
      <c r="T23" s="26">
        <v>600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0.41150200000000003</v>
      </c>
      <c r="AD23" s="37">
        <f t="shared" si="12"/>
        <v>-0.56787275999999998</v>
      </c>
      <c r="AE23" s="37">
        <v>-6.56</v>
      </c>
      <c r="AF23" s="37">
        <v>-11.378059545454546</v>
      </c>
      <c r="AG23" s="37">
        <v>0</v>
      </c>
    </row>
    <row r="24" spans="1:33" ht="15.75" customHeight="1" x14ac:dyDescent="0.2">
      <c r="A24" s="26" t="s">
        <v>71</v>
      </c>
      <c r="B24" s="26" t="s">
        <v>1331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-2.8499999999999996</v>
      </c>
      <c r="H24" s="29" t="e">
        <f t="shared" si="1"/>
        <v>#DIV/0!</v>
      </c>
      <c r="I24" s="29" t="e">
        <f t="shared" si="2"/>
        <v>#DIV/0!</v>
      </c>
      <c r="J24" s="30">
        <f t="shared" si="5"/>
        <v>-2.8499999999999996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22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>
        <v>0.93548387096774099</v>
      </c>
      <c r="T24" s="26">
        <v>600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0.41150200000000003</v>
      </c>
      <c r="AD24" s="37">
        <f t="shared" si="12"/>
        <v>0</v>
      </c>
      <c r="AE24" s="37">
        <v>-6.56</v>
      </c>
      <c r="AF24" s="37">
        <v>-11.378059545454546</v>
      </c>
      <c r="AG24" s="37">
        <v>0</v>
      </c>
    </row>
    <row r="25" spans="1:33" ht="15.75" customHeight="1" x14ac:dyDescent="0.2">
      <c r="A25" s="40" t="s">
        <v>73</v>
      </c>
      <c r="B25" s="40" t="s">
        <v>1332</v>
      </c>
      <c r="C25" s="14">
        <f t="shared" si="4"/>
        <v>22.99</v>
      </c>
      <c r="D25" s="15">
        <v>6</v>
      </c>
      <c r="E25" s="15">
        <v>1</v>
      </c>
      <c r="F25" s="16">
        <v>137.94</v>
      </c>
      <c r="G25" s="16">
        <v>-1.07</v>
      </c>
      <c r="H25" s="29">
        <f t="shared" si="1"/>
        <v>7.7569957952733082E-3</v>
      </c>
      <c r="I25" s="29">
        <f t="shared" si="2"/>
        <v>3.7202866753661031E-2</v>
      </c>
      <c r="J25" s="30">
        <f t="shared" si="5"/>
        <v>5.1317634400000021</v>
      </c>
      <c r="K25" s="30">
        <f t="shared" si="3"/>
        <v>0.85529390666666705</v>
      </c>
      <c r="L25" s="15">
        <v>38</v>
      </c>
      <c r="M25" s="31">
        <f t="shared" si="6"/>
        <v>0.15789473684210525</v>
      </c>
      <c r="N25" s="15">
        <v>13</v>
      </c>
      <c r="O25" s="32">
        <f t="shared" ref="O25:P25" si="33">D25/7</f>
        <v>0.8571428571428571</v>
      </c>
      <c r="P25" s="32">
        <f t="shared" si="33"/>
        <v>0.14285714285714285</v>
      </c>
      <c r="Q25" s="27">
        <f t="shared" si="8"/>
        <v>13</v>
      </c>
      <c r="R25" s="27"/>
      <c r="S25" s="41">
        <v>0.9773755656108597</v>
      </c>
      <c r="T25" s="26">
        <v>600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0.41150200000000003</v>
      </c>
      <c r="AD25" s="37">
        <f t="shared" si="12"/>
        <v>-3.4072365599999999</v>
      </c>
      <c r="AE25" s="42">
        <v>-6.56</v>
      </c>
      <c r="AF25" s="42">
        <v>-11.38</v>
      </c>
      <c r="AG25" s="42">
        <v>0</v>
      </c>
    </row>
    <row r="26" spans="1:33" ht="15.75" customHeight="1" x14ac:dyDescent="0.2">
      <c r="A26" s="40" t="s">
        <v>75</v>
      </c>
      <c r="B26" s="40" t="s">
        <v>1332</v>
      </c>
      <c r="C26" s="14">
        <f t="shared" si="4"/>
        <v>22.99</v>
      </c>
      <c r="D26" s="15">
        <v>3</v>
      </c>
      <c r="E26" s="15">
        <v>0</v>
      </c>
      <c r="F26" s="16">
        <v>68.97</v>
      </c>
      <c r="G26" s="16">
        <v>-1.02</v>
      </c>
      <c r="H26" s="29">
        <f t="shared" si="1"/>
        <v>1.4789038712483689E-2</v>
      </c>
      <c r="I26" s="29">
        <f t="shared" si="2"/>
        <v>2.9385284669225634E-2</v>
      </c>
      <c r="J26" s="30">
        <f t="shared" si="5"/>
        <v>2.0267030836364919</v>
      </c>
      <c r="K26" s="30">
        <f t="shared" si="3"/>
        <v>0.67556769454549725</v>
      </c>
      <c r="L26" s="15">
        <v>19</v>
      </c>
      <c r="M26" s="31">
        <f t="shared" si="6"/>
        <v>0.15789473684210525</v>
      </c>
      <c r="N26" s="15">
        <v>11</v>
      </c>
      <c r="O26" s="32">
        <f t="shared" ref="O26:P26" si="34">D26/7</f>
        <v>0.42857142857142855</v>
      </c>
      <c r="P26" s="32">
        <f t="shared" si="34"/>
        <v>0</v>
      </c>
      <c r="Q26" s="27">
        <f t="shared" si="8"/>
        <v>25</v>
      </c>
      <c r="R26" s="27"/>
      <c r="S26" s="41">
        <v>1.024154589371981</v>
      </c>
      <c r="T26" s="26">
        <v>600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0.41150200000000003</v>
      </c>
      <c r="AD26" s="37">
        <f t="shared" si="12"/>
        <v>-1.7036182799999999</v>
      </c>
      <c r="AE26" s="42">
        <v>-6.58</v>
      </c>
      <c r="AF26" s="42">
        <v>-11.3780595454545</v>
      </c>
      <c r="AG26" s="42">
        <v>0</v>
      </c>
    </row>
    <row r="27" spans="1:33" ht="15.75" customHeight="1" x14ac:dyDescent="0.2">
      <c r="A27" s="40" t="s">
        <v>77</v>
      </c>
      <c r="B27" s="40" t="s">
        <v>76</v>
      </c>
      <c r="C27" s="14">
        <f t="shared" si="4"/>
        <v>22.990000000000002</v>
      </c>
      <c r="D27" s="15">
        <v>5</v>
      </c>
      <c r="E27" s="15">
        <v>0</v>
      </c>
      <c r="F27" s="16">
        <v>114.95</v>
      </c>
      <c r="G27" s="16">
        <v>-1.45</v>
      </c>
      <c r="H27" s="29">
        <f t="shared" si="1"/>
        <v>1.261418007829491E-2</v>
      </c>
      <c r="I27" s="29">
        <f t="shared" si="2"/>
        <v>3.1560143303414508E-2</v>
      </c>
      <c r="J27" s="30">
        <f t="shared" si="5"/>
        <v>3.6278384727274977</v>
      </c>
      <c r="K27" s="30">
        <f t="shared" si="3"/>
        <v>0.72556769454549952</v>
      </c>
      <c r="L27" s="15">
        <v>15</v>
      </c>
      <c r="M27" s="31">
        <f t="shared" si="6"/>
        <v>0.33333333333333331</v>
      </c>
      <c r="N27" s="15">
        <v>4</v>
      </c>
      <c r="O27" s="32">
        <f t="shared" ref="O27:P27" si="35">D27/7</f>
        <v>0.7142857142857143</v>
      </c>
      <c r="P27" s="32">
        <f t="shared" si="35"/>
        <v>0</v>
      </c>
      <c r="Q27" s="27">
        <f t="shared" si="8"/>
        <v>5</v>
      </c>
      <c r="R27" s="27"/>
      <c r="S27" s="41">
        <v>1.234285714285714</v>
      </c>
      <c r="T27" s="26">
        <v>600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0.41150200000000003</v>
      </c>
      <c r="AD27" s="37">
        <f t="shared" si="12"/>
        <v>-2.8393638000000001</v>
      </c>
      <c r="AE27" s="42">
        <v>-6.58</v>
      </c>
      <c r="AF27" s="42">
        <v>-11.3780595454545</v>
      </c>
      <c r="AG27" s="42">
        <v>0</v>
      </c>
    </row>
    <row r="28" spans="1:33" ht="15.75" customHeight="1" x14ac:dyDescent="0.2">
      <c r="A28" s="40" t="s">
        <v>79</v>
      </c>
      <c r="B28" s="40" t="s">
        <v>76</v>
      </c>
      <c r="C28" s="14">
        <f t="shared" si="4"/>
        <v>22.99</v>
      </c>
      <c r="D28" s="15">
        <v>4</v>
      </c>
      <c r="E28" s="15">
        <v>0</v>
      </c>
      <c r="F28" s="16">
        <v>91.96</v>
      </c>
      <c r="G28" s="16">
        <v>0</v>
      </c>
      <c r="H28" s="29">
        <f t="shared" si="1"/>
        <v>0</v>
      </c>
      <c r="I28" s="29">
        <f t="shared" si="2"/>
        <v>4.4174323381709416E-2</v>
      </c>
      <c r="J28" s="30">
        <f t="shared" si="5"/>
        <v>4.0622707781819978</v>
      </c>
      <c r="K28" s="30">
        <f t="shared" si="3"/>
        <v>1.0155676945454994</v>
      </c>
      <c r="L28" s="15">
        <v>18</v>
      </c>
      <c r="M28" s="31">
        <f t="shared" si="6"/>
        <v>0.22222222222222221</v>
      </c>
      <c r="N28" s="15">
        <v>0</v>
      </c>
      <c r="O28" s="32">
        <f t="shared" ref="O28:P28" si="36">D28/7</f>
        <v>0.5714285714285714</v>
      </c>
      <c r="P28" s="32">
        <f t="shared" si="36"/>
        <v>0</v>
      </c>
      <c r="Q28" s="27">
        <f t="shared" si="8"/>
        <v>0</v>
      </c>
      <c r="R28" s="27"/>
      <c r="S28" s="41">
        <v>1.316129032258065</v>
      </c>
      <c r="T28" s="40" t="s">
        <v>34</v>
      </c>
      <c r="U28" s="22">
        <v>60</v>
      </c>
      <c r="V28" s="1" t="s">
        <v>1209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0.41150200000000003</v>
      </c>
      <c r="AD28" s="37">
        <f t="shared" si="12"/>
        <v>-2.2714910399999999</v>
      </c>
      <c r="AE28" s="42">
        <v>-6.58</v>
      </c>
      <c r="AF28" s="42">
        <v>-11.3780595454545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0.41150200000000003</v>
      </c>
      <c r="AD29" s="37">
        <f t="shared" si="12"/>
        <v>0</v>
      </c>
      <c r="AE29" s="37">
        <v>-6.58</v>
      </c>
      <c r="AF29" s="42">
        <v>-11.3780595454545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1260</v>
      </c>
      <c r="U30" s="34">
        <v>60</v>
      </c>
      <c r="V30" s="35" t="s">
        <v>1210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0.41150200000000003</v>
      </c>
      <c r="AD30" s="37">
        <f t="shared" si="12"/>
        <v>0</v>
      </c>
      <c r="AE30" s="42">
        <v>-6.58</v>
      </c>
      <c r="AF30" s="42">
        <v>-11.162847877000001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>
        <v>540</v>
      </c>
      <c r="U31" s="22">
        <v>60</v>
      </c>
      <c r="V31" s="1" t="s">
        <v>1211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0.41150200000000003</v>
      </c>
      <c r="AD31" s="37">
        <f t="shared" si="12"/>
        <v>0</v>
      </c>
      <c r="AE31" s="45">
        <v>-6.58</v>
      </c>
      <c r="AF31" s="45">
        <v>-11.162847877000001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IFERROR(__xludf.DUMMYFUNCTION("IFERROR(VLOOKUP($B$2,IMPORTRANGE(""https://docs.google.com/spreadsheets/d/1KiWZV1ko8G7lnRucBRBd29jj3Be6ltMfljMDqzOkQmI/edit#gid=1381463014"",""Lookup!A:D""),4,FALSE),"""")"),540)</f>
        <v>540</v>
      </c>
      <c r="U32" s="22">
        <f ca="1">IFERROR(__xludf.DUMMYFUNCTION("IFERROR(VLOOKUP($B$2,IMPORTRANGE(""https://docs.google.com/spreadsheets/d/1KiWZV1ko8G7lnRucBRBd29jj3Be6ltMfljMDqzOkQmI/edit#gid=1381463014"",""Lookup!A:D""),3,FALSE),"""")"),60)</f>
        <v>60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- 60 units 08/14")</f>
        <v>| AGL230  - 60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0.41150200000000003</v>
      </c>
      <c r="AD32" s="37">
        <f t="shared" si="12"/>
        <v>0</v>
      </c>
      <c r="AE32" s="42">
        <v>-6.58</v>
      </c>
      <c r="AF32" s="42">
        <v>-11.162847877000001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A201" s="40"/>
      <c r="B201" s="40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</row>
    <row r="202" spans="1:33" ht="15.75" customHeight="1" x14ac:dyDescent="0.2">
      <c r="A202" s="40"/>
      <c r="B202" s="40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</row>
    <row r="203" spans="1:33" ht="15.75" customHeight="1" x14ac:dyDescent="0.2">
      <c r="A203" s="40"/>
      <c r="B203" s="40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</row>
    <row r="204" spans="1:33" ht="15.75" customHeight="1" x14ac:dyDescent="0.2">
      <c r="A204" s="40"/>
      <c r="B204" s="40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</row>
    <row r="205" spans="1:33" ht="15.75" customHeight="1" x14ac:dyDescent="0.2">
      <c r="A205" s="40"/>
      <c r="B205" s="40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</row>
    <row r="206" spans="1:33" ht="15.75" customHeight="1" x14ac:dyDescent="0.2">
      <c r="A206" s="40"/>
      <c r="B206" s="40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</row>
    <row r="207" spans="1:33" ht="15.75" customHeight="1" x14ac:dyDescent="0.2">
      <c r="A207" s="40"/>
      <c r="B207" s="40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</row>
    <row r="208" spans="1:33" ht="15.75" customHeight="1" x14ac:dyDescent="0.2">
      <c r="A208" s="40"/>
      <c r="B208" s="40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6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Info!B1:BJ5000""),3,FALSE),"""")"),"3 Tier Fruit Basket Stand - Galvanized Three Tiered Metal Serving Tray for Fruit and Vegetable Storage")</f>
        <v>3 Tier Fruit Basket Stand - Galvanized Three Tiered Metal Serving Tray for Fruit and Vegetable Storage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Info!B1:BJ5000""),2,FALSE),"""")"),"B0876DH4XZ")</f>
        <v>B0876DH4XZ</v>
      </c>
      <c r="B2" s="3" t="s">
        <v>1333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3.25" customHeight="1" x14ac:dyDescent="0.2">
      <c r="A3" s="68" t="s">
        <v>31</v>
      </c>
      <c r="B3" s="69"/>
      <c r="C3" s="48">
        <f>((AE32+AF32)/0.85)*-1</f>
        <v>23.077026914117646</v>
      </c>
      <c r="D3" s="5">
        <f>SUM(D4:D99767)</f>
        <v>523</v>
      </c>
      <c r="E3" s="5"/>
      <c r="F3" s="6">
        <f t="shared" ref="F3:G3" si="0">SUM(F4:F99767)</f>
        <v>16178.890000000001</v>
      </c>
      <c r="G3" s="6">
        <f t="shared" si="0"/>
        <v>-778.4</v>
      </c>
      <c r="H3" s="7">
        <f t="shared" ref="H3:H32" si="1">G3/F3*-1</f>
        <v>4.8112076910097043E-2</v>
      </c>
      <c r="I3" s="8">
        <f t="shared" ref="I3:I32" si="2">J3/F3</f>
        <v>0.1517777659314293</v>
      </c>
      <c r="J3" s="6">
        <f>SUM(J4:J99767)</f>
        <v>2455.5957794503424</v>
      </c>
      <c r="K3" s="6">
        <f t="shared" ref="K3:K32" si="3">J3/D3</f>
        <v>4.6952118153926241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Sheet!a1:g5000""),2,FALSE),"""")"),"3.0 - March
3.0 - April
3.0 - May
3.0 - June
3.0 - July
3.0 - Aug
3.0 - Sept
3.0 - Oct
3.0 - Nov
3.0 - Dec
3.0 - Jan
3.0 - Feb")</f>
        <v>3.0 - March
3.0 - April
3.0 - May
3.0 - June
3.0 - July
3.0 - Aug
3.0 - Sept
3.0 - Oct
3.0 - Nov
3.0 - Dec
3.0 - Jan
3.0 -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107</v>
      </c>
      <c r="X3" s="7">
        <f>W3/D3</f>
        <v>0.2045889101338432</v>
      </c>
      <c r="Y3" s="6"/>
      <c r="Z3" s="5"/>
      <c r="AA3" s="5"/>
      <c r="AB3" s="5"/>
      <c r="AC3" s="5"/>
      <c r="AD3" s="6">
        <f>SUM(AD4:AD99767)</f>
        <v>-294.55081736964075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Info!B2:BZ3000""),37,FALSE)),"""")*-1"),-13.055472877)</f>
        <v>-13.055472877</v>
      </c>
      <c r="AG3" s="6">
        <f>SUM(AG4:AG99767)</f>
        <v>0</v>
      </c>
    </row>
    <row r="4" spans="1:33" x14ac:dyDescent="0.2">
      <c r="A4" s="1" t="s">
        <v>32</v>
      </c>
      <c r="B4" s="2" t="s">
        <v>1334</v>
      </c>
      <c r="C4" s="14">
        <f t="shared" ref="C4:C32" si="4">IFERROR(F4/D4," - ")</f>
        <v>29.776896551724153</v>
      </c>
      <c r="D4" s="15">
        <v>29</v>
      </c>
      <c r="E4" s="15">
        <v>0</v>
      </c>
      <c r="F4" s="16">
        <v>863.53000000000043</v>
      </c>
      <c r="G4" s="16">
        <v>-36.520000000000003</v>
      </c>
      <c r="H4" s="17">
        <f t="shared" si="1"/>
        <v>4.2291524324574691E-2</v>
      </c>
      <c r="I4" s="17">
        <f t="shared" si="2"/>
        <v>0.14029953336650733</v>
      </c>
      <c r="J4" s="16">
        <f t="shared" ref="J4:J32" si="5">F4*0.85+G4+AF4*D4+D4*AE4+AG4+AD4</f>
        <v>121.15285604798012</v>
      </c>
      <c r="K4" s="16">
        <f t="shared" si="3"/>
        <v>4.1776846913096595</v>
      </c>
      <c r="L4" s="15">
        <v>108</v>
      </c>
      <c r="M4" s="18">
        <f t="shared" ref="M4:M32" si="6">IFERROR(D4/L4,"-")</f>
        <v>0.26851851851851855</v>
      </c>
      <c r="N4" s="15">
        <v>557</v>
      </c>
      <c r="O4" s="19">
        <f t="shared" ref="O4:P4" si="7">D4/7</f>
        <v>4.1428571428571432</v>
      </c>
      <c r="P4" s="19">
        <f t="shared" si="7"/>
        <v>0</v>
      </c>
      <c r="Q4" s="15">
        <f t="shared" ref="Q4:Q32" si="8">ROUNDDOWN(N4/(O4+P4),0)</f>
        <v>134</v>
      </c>
      <c r="R4" s="15"/>
      <c r="S4" s="20">
        <v>0.64383057090239404</v>
      </c>
      <c r="T4" s="2">
        <v>0</v>
      </c>
      <c r="U4" s="2" t="s">
        <v>34</v>
      </c>
      <c r="V4" s="21" t="s">
        <v>34</v>
      </c>
      <c r="W4" s="22">
        <v>5</v>
      </c>
      <c r="X4" s="23">
        <f t="shared" ref="X4:X32" si="9">IFERROR(W4/D4,0)</f>
        <v>0.17241379310344829</v>
      </c>
      <c r="Y4" s="24">
        <f t="shared" ref="Y4:Y32" si="10">IFERROR(G4/(W4+Z4)*-1,0)</f>
        <v>6.0866666666666669</v>
      </c>
      <c r="Z4" s="22">
        <v>1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0.40809490740740739</v>
      </c>
      <c r="AD4" s="24">
        <f t="shared" ref="AD4:AD32" si="12">IFERROR(AB4*AC4*D4*2,0)</f>
        <v>-16.331958194444443</v>
      </c>
      <c r="AE4" s="24">
        <v>-6.56</v>
      </c>
      <c r="AF4" s="24">
        <v>-12.750196060606061</v>
      </c>
      <c r="AG4" s="24">
        <v>0</v>
      </c>
    </row>
    <row r="5" spans="1:33" ht="15.75" customHeight="1" x14ac:dyDescent="0.2">
      <c r="A5" s="26" t="s">
        <v>35</v>
      </c>
      <c r="B5" s="26" t="s">
        <v>1335</v>
      </c>
      <c r="C5" s="14">
        <f t="shared" si="4"/>
        <v>31.926315789473687</v>
      </c>
      <c r="D5" s="27">
        <v>19</v>
      </c>
      <c r="E5" s="27">
        <v>0</v>
      </c>
      <c r="F5" s="28">
        <v>606.6</v>
      </c>
      <c r="G5" s="28">
        <v>-93.199999999999989</v>
      </c>
      <c r="H5" s="29">
        <f t="shared" si="1"/>
        <v>0.15364325750082425</v>
      </c>
      <c r="I5" s="29">
        <f t="shared" si="2"/>
        <v>7.3860249717843857E-2</v>
      </c>
      <c r="J5" s="30">
        <f t="shared" si="5"/>
        <v>44.803627478844085</v>
      </c>
      <c r="K5" s="30">
        <f t="shared" si="3"/>
        <v>2.3580856567812676</v>
      </c>
      <c r="L5" s="27">
        <v>115</v>
      </c>
      <c r="M5" s="31">
        <f t="shared" si="6"/>
        <v>0.16521739130434782</v>
      </c>
      <c r="N5" s="27">
        <v>530</v>
      </c>
      <c r="O5" s="32">
        <f t="shared" ref="O5:P5" si="13">D5/7</f>
        <v>2.7142857142857144</v>
      </c>
      <c r="P5" s="32">
        <f t="shared" si="13"/>
        <v>0</v>
      </c>
      <c r="Q5" s="27">
        <f t="shared" si="8"/>
        <v>195</v>
      </c>
      <c r="R5" s="27"/>
      <c r="S5" s="33">
        <v>0.67473643108160797</v>
      </c>
      <c r="T5" s="26">
        <v>0</v>
      </c>
      <c r="U5" s="34" t="s">
        <v>34</v>
      </c>
      <c r="V5" s="35"/>
      <c r="W5" s="26">
        <v>4</v>
      </c>
      <c r="X5" s="36">
        <f t="shared" si="9"/>
        <v>0.21052631578947367</v>
      </c>
      <c r="Y5" s="37">
        <f t="shared" si="10"/>
        <v>23.299999999999997</v>
      </c>
      <c r="Z5" s="26">
        <v>0</v>
      </c>
      <c r="AA5" s="26" t="s">
        <v>37</v>
      </c>
      <c r="AB5" s="38">
        <f t="shared" si="11"/>
        <v>-0.69</v>
      </c>
      <c r="AC5" s="39">
        <v>0.40856778679026651</v>
      </c>
      <c r="AD5" s="37">
        <f t="shared" si="12"/>
        <v>-10.712647369640786</v>
      </c>
      <c r="AE5" s="37">
        <v>-6.56</v>
      </c>
      <c r="AF5" s="37">
        <v>-12.750196060606061</v>
      </c>
      <c r="AG5" s="37">
        <v>0</v>
      </c>
    </row>
    <row r="6" spans="1:33" ht="15.75" customHeight="1" x14ac:dyDescent="0.2">
      <c r="A6" s="26" t="s">
        <v>38</v>
      </c>
      <c r="B6" s="26" t="s">
        <v>1336</v>
      </c>
      <c r="C6" s="14">
        <f t="shared" si="4"/>
        <v>28.616461538461543</v>
      </c>
      <c r="D6" s="27">
        <v>65</v>
      </c>
      <c r="E6" s="27">
        <v>1</v>
      </c>
      <c r="F6" s="28">
        <v>1860.0700000000004</v>
      </c>
      <c r="G6" s="28">
        <v>-123.35000000000001</v>
      </c>
      <c r="H6" s="29">
        <f t="shared" si="1"/>
        <v>6.631470858623599E-2</v>
      </c>
      <c r="I6" s="29">
        <f t="shared" si="2"/>
        <v>8.9212041947970736E-2</v>
      </c>
      <c r="J6" s="30">
        <f t="shared" si="5"/>
        <v>165.94064286616197</v>
      </c>
      <c r="K6" s="30">
        <f t="shared" si="3"/>
        <v>2.5529329671717225</v>
      </c>
      <c r="L6" s="27">
        <v>205</v>
      </c>
      <c r="M6" s="31">
        <f t="shared" si="6"/>
        <v>0.31707317073170732</v>
      </c>
      <c r="N6" s="27">
        <v>470</v>
      </c>
      <c r="O6" s="32">
        <f t="shared" ref="O6:P6" si="14">D6/7</f>
        <v>9.2857142857142865</v>
      </c>
      <c r="P6" s="32">
        <f t="shared" si="14"/>
        <v>0.14285714285714285</v>
      </c>
      <c r="Q6" s="27">
        <f t="shared" si="8"/>
        <v>49</v>
      </c>
      <c r="R6" s="27"/>
      <c r="S6" s="33">
        <v>0.58961474036850903</v>
      </c>
      <c r="T6" s="26">
        <v>0</v>
      </c>
      <c r="U6" s="34" t="s">
        <v>34</v>
      </c>
      <c r="V6" s="35"/>
      <c r="W6" s="26">
        <v>16</v>
      </c>
      <c r="X6" s="36">
        <f t="shared" si="9"/>
        <v>0.24615384615384617</v>
      </c>
      <c r="Y6" s="37">
        <f t="shared" si="10"/>
        <v>7.2558823529411773</v>
      </c>
      <c r="Z6" s="26">
        <v>1</v>
      </c>
      <c r="AA6" s="26" t="s">
        <v>37</v>
      </c>
      <c r="AB6" s="38">
        <f t="shared" si="11"/>
        <v>-0.69</v>
      </c>
      <c r="AC6" s="39">
        <v>0.40809490740740739</v>
      </c>
      <c r="AD6" s="37">
        <f t="shared" si="12"/>
        <v>-36.60611319444444</v>
      </c>
      <c r="AE6" s="37">
        <v>-6.56</v>
      </c>
      <c r="AF6" s="37">
        <v>-12.750196060606061</v>
      </c>
      <c r="AG6" s="37">
        <v>0</v>
      </c>
    </row>
    <row r="7" spans="1:33" ht="15.75" customHeight="1" x14ac:dyDescent="0.2">
      <c r="A7" s="26" t="s">
        <v>41</v>
      </c>
      <c r="B7" s="26" t="s">
        <v>1337</v>
      </c>
      <c r="C7" s="14">
        <f t="shared" si="4"/>
        <v>28.480714285714292</v>
      </c>
      <c r="D7" s="27">
        <v>70</v>
      </c>
      <c r="E7" s="27">
        <v>1</v>
      </c>
      <c r="F7" s="28">
        <v>1993.6500000000005</v>
      </c>
      <c r="G7" s="28">
        <v>-93.52</v>
      </c>
      <c r="H7" s="29">
        <f t="shared" si="1"/>
        <v>4.6908935871391652E-2</v>
      </c>
      <c r="I7" s="29">
        <f t="shared" si="2"/>
        <v>0.10530775597623485</v>
      </c>
      <c r="J7" s="30">
        <f t="shared" si="5"/>
        <v>209.94680770202066</v>
      </c>
      <c r="K7" s="30">
        <f t="shared" si="3"/>
        <v>2.9992401100288668</v>
      </c>
      <c r="L7" s="27">
        <v>232</v>
      </c>
      <c r="M7" s="31">
        <f t="shared" si="6"/>
        <v>0.30172413793103448</v>
      </c>
      <c r="N7" s="27">
        <v>390</v>
      </c>
      <c r="O7" s="32">
        <f t="shared" ref="O7:P7" si="15">D7/7</f>
        <v>10</v>
      </c>
      <c r="P7" s="32">
        <f t="shared" si="15"/>
        <v>0.14285714285714285</v>
      </c>
      <c r="Q7" s="27">
        <f t="shared" si="8"/>
        <v>38</v>
      </c>
      <c r="R7" s="27"/>
      <c r="S7" s="33">
        <v>0.70715055695292794</v>
      </c>
      <c r="T7" s="26">
        <v>0</v>
      </c>
      <c r="U7" s="34" t="s">
        <v>34</v>
      </c>
      <c r="V7" s="35"/>
      <c r="W7" s="26">
        <v>24</v>
      </c>
      <c r="X7" s="36">
        <f t="shared" si="9"/>
        <v>0.34285714285714286</v>
      </c>
      <c r="Y7" s="37">
        <f t="shared" si="10"/>
        <v>3.7407999999999997</v>
      </c>
      <c r="Z7" s="26">
        <v>1</v>
      </c>
      <c r="AA7" s="26" t="s">
        <v>37</v>
      </c>
      <c r="AB7" s="38">
        <f t="shared" si="11"/>
        <v>-0.69</v>
      </c>
      <c r="AC7" s="39">
        <v>0.40809490740740739</v>
      </c>
      <c r="AD7" s="37">
        <f t="shared" si="12"/>
        <v>-39.421968055555546</v>
      </c>
      <c r="AE7" s="37">
        <v>-6.56</v>
      </c>
      <c r="AF7" s="37">
        <v>-12.750196060606061</v>
      </c>
      <c r="AG7" s="37">
        <v>0</v>
      </c>
    </row>
    <row r="8" spans="1:33" ht="15.75" customHeight="1" x14ac:dyDescent="0.2">
      <c r="A8" s="26" t="s">
        <v>43</v>
      </c>
      <c r="B8" s="26" t="s">
        <v>1338</v>
      </c>
      <c r="C8" s="14">
        <f t="shared" si="4"/>
        <v>29.367719298245621</v>
      </c>
      <c r="D8" s="27">
        <v>57</v>
      </c>
      <c r="E8" s="27">
        <v>4</v>
      </c>
      <c r="F8" s="28">
        <v>1673.9600000000005</v>
      </c>
      <c r="G8" s="28">
        <v>-54.94</v>
      </c>
      <c r="H8" s="29">
        <f t="shared" si="1"/>
        <v>3.2820378025759267E-2</v>
      </c>
      <c r="I8" s="29">
        <f t="shared" si="2"/>
        <v>0.14047841918763512</v>
      </c>
      <c r="J8" s="30">
        <f t="shared" si="5"/>
        <v>235.15525458333377</v>
      </c>
      <c r="K8" s="30">
        <f t="shared" si="3"/>
        <v>4.1255307821637501</v>
      </c>
      <c r="L8" s="27">
        <v>155</v>
      </c>
      <c r="M8" s="31">
        <f t="shared" si="6"/>
        <v>0.36774193548387096</v>
      </c>
      <c r="N8" s="27">
        <v>324</v>
      </c>
      <c r="O8" s="32">
        <f t="shared" ref="O8:P8" si="16">D8/7</f>
        <v>8.1428571428571423</v>
      </c>
      <c r="P8" s="32">
        <f t="shared" si="16"/>
        <v>0.5714285714285714</v>
      </c>
      <c r="Q8" s="27">
        <f t="shared" si="8"/>
        <v>37</v>
      </c>
      <c r="R8" s="27"/>
      <c r="S8" s="33">
        <v>0.84384858044164002</v>
      </c>
      <c r="T8" s="26">
        <v>0</v>
      </c>
      <c r="U8" s="34" t="s">
        <v>34</v>
      </c>
      <c r="V8" s="35"/>
      <c r="W8" s="26">
        <v>12</v>
      </c>
      <c r="X8" s="36">
        <f t="shared" si="9"/>
        <v>0.21052631578947367</v>
      </c>
      <c r="Y8" s="37">
        <f t="shared" si="10"/>
        <v>4.5783333333333331</v>
      </c>
      <c r="Z8" s="26">
        <v>0</v>
      </c>
      <c r="AA8" s="26" t="s">
        <v>37</v>
      </c>
      <c r="AB8" s="38">
        <f t="shared" si="11"/>
        <v>-0.69</v>
      </c>
      <c r="AC8" s="39">
        <v>0.40809490740740739</v>
      </c>
      <c r="AD8" s="37">
        <f t="shared" si="12"/>
        <v>-32.100745416666662</v>
      </c>
      <c r="AE8" s="37">
        <v>-6.56</v>
      </c>
      <c r="AF8" s="37">
        <v>-12.75</v>
      </c>
      <c r="AG8" s="37">
        <v>0</v>
      </c>
    </row>
    <row r="9" spans="1:33" ht="15.75" customHeight="1" x14ac:dyDescent="0.2">
      <c r="A9" s="26" t="s">
        <v>45</v>
      </c>
      <c r="B9" s="26" t="s">
        <v>53</v>
      </c>
      <c r="C9" s="14">
        <f t="shared" si="4"/>
        <v>31.794838709677418</v>
      </c>
      <c r="D9" s="27">
        <v>31</v>
      </c>
      <c r="E9" s="27">
        <v>2</v>
      </c>
      <c r="F9" s="28">
        <v>985.64</v>
      </c>
      <c r="G9" s="28">
        <v>-59.899999999999984</v>
      </c>
      <c r="H9" s="29">
        <f t="shared" si="1"/>
        <v>6.0772695913315189E-2</v>
      </c>
      <c r="I9" s="29">
        <f t="shared" si="2"/>
        <v>0.15345189052419184</v>
      </c>
      <c r="J9" s="30">
        <f t="shared" si="5"/>
        <v>151.24832137626444</v>
      </c>
      <c r="K9" s="30">
        <f t="shared" si="3"/>
        <v>4.8789781089117561</v>
      </c>
      <c r="L9" s="27">
        <v>144</v>
      </c>
      <c r="M9" s="31">
        <f t="shared" si="6"/>
        <v>0.21527777777777779</v>
      </c>
      <c r="N9" s="27">
        <v>292</v>
      </c>
      <c r="O9" s="32">
        <f t="shared" ref="O9:P9" si="17">D9/7</f>
        <v>4.4285714285714288</v>
      </c>
      <c r="P9" s="32">
        <f t="shared" si="17"/>
        <v>0.2857142857142857</v>
      </c>
      <c r="Q9" s="27">
        <f t="shared" si="8"/>
        <v>61</v>
      </c>
      <c r="R9" s="27"/>
      <c r="S9" s="33">
        <v>0.90613266583229002</v>
      </c>
      <c r="T9" s="26">
        <v>0</v>
      </c>
      <c r="U9" s="34" t="s">
        <v>34</v>
      </c>
      <c r="V9" s="35" t="s">
        <v>34</v>
      </c>
      <c r="W9" s="26">
        <v>7</v>
      </c>
      <c r="X9" s="36">
        <f t="shared" si="9"/>
        <v>0.22580645161290322</v>
      </c>
      <c r="Y9" s="37">
        <f t="shared" si="10"/>
        <v>8.5571428571428552</v>
      </c>
      <c r="Z9" s="26">
        <v>0</v>
      </c>
      <c r="AA9" s="26" t="s">
        <v>37</v>
      </c>
      <c r="AB9" s="38">
        <f t="shared" si="11"/>
        <v>-0.69</v>
      </c>
      <c r="AC9" s="39">
        <v>0.40809490740740739</v>
      </c>
      <c r="AD9" s="37">
        <f t="shared" si="12"/>
        <v>-17.458300138888887</v>
      </c>
      <c r="AE9" s="37">
        <v>-6.56</v>
      </c>
      <c r="AF9" s="37">
        <v>-13.0912057575757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31.990000000000006</v>
      </c>
      <c r="D10" s="27">
        <v>26</v>
      </c>
      <c r="E10" s="27">
        <v>3</v>
      </c>
      <c r="F10" s="28">
        <v>831.74000000000012</v>
      </c>
      <c r="G10" s="28">
        <v>-39.85</v>
      </c>
      <c r="H10" s="29">
        <f t="shared" si="1"/>
        <v>4.7911606992569786E-2</v>
      </c>
      <c r="I10" s="29">
        <f t="shared" si="2"/>
        <v>0.17019165246982715</v>
      </c>
      <c r="J10" s="30">
        <f t="shared" si="5"/>
        <v>141.55520502525405</v>
      </c>
      <c r="K10" s="30">
        <f t="shared" si="3"/>
        <v>5.4444309625097711</v>
      </c>
      <c r="L10" s="27">
        <v>114</v>
      </c>
      <c r="M10" s="31">
        <f t="shared" si="6"/>
        <v>0.22807017543859648</v>
      </c>
      <c r="N10" s="27">
        <v>260</v>
      </c>
      <c r="O10" s="32">
        <f t="shared" ref="O10:P10" si="18">D10/7</f>
        <v>3.7142857142857144</v>
      </c>
      <c r="P10" s="32">
        <f t="shared" si="18"/>
        <v>0.42857142857142855</v>
      </c>
      <c r="Q10" s="27">
        <f t="shared" si="8"/>
        <v>62</v>
      </c>
      <c r="R10" s="27"/>
      <c r="S10" s="33">
        <v>0.94454382826475802</v>
      </c>
      <c r="T10" s="26">
        <v>0</v>
      </c>
      <c r="U10" s="34" t="s">
        <v>34</v>
      </c>
      <c r="V10" s="35" t="s">
        <v>34</v>
      </c>
      <c r="W10" s="26">
        <v>4</v>
      </c>
      <c r="X10" s="36">
        <f t="shared" si="9"/>
        <v>0.15384615384615385</v>
      </c>
      <c r="Y10" s="37">
        <f t="shared" si="10"/>
        <v>9.9625000000000004</v>
      </c>
      <c r="Z10" s="26">
        <v>0</v>
      </c>
      <c r="AA10" s="26" t="s">
        <v>37</v>
      </c>
      <c r="AB10" s="38">
        <f t="shared" si="11"/>
        <v>-0.69</v>
      </c>
      <c r="AC10" s="39">
        <v>0.40809490740740739</v>
      </c>
      <c r="AD10" s="37">
        <f t="shared" si="12"/>
        <v>-14.642445277777774</v>
      </c>
      <c r="AE10" s="37">
        <v>-6.56</v>
      </c>
      <c r="AF10" s="37">
        <v>-13.0912057575757</v>
      </c>
      <c r="AG10" s="37">
        <v>0</v>
      </c>
    </row>
    <row r="11" spans="1:33" ht="15.75" customHeight="1" x14ac:dyDescent="0.2">
      <c r="A11" s="26" t="s">
        <v>50</v>
      </c>
      <c r="B11" s="26" t="s">
        <v>1339</v>
      </c>
      <c r="C11" s="14">
        <f t="shared" si="4"/>
        <v>32.093250000000012</v>
      </c>
      <c r="D11" s="27">
        <v>40</v>
      </c>
      <c r="E11" s="27">
        <v>4</v>
      </c>
      <c r="F11" s="28">
        <v>1283.7300000000005</v>
      </c>
      <c r="G11" s="28">
        <v>-61.09</v>
      </c>
      <c r="H11" s="29">
        <f t="shared" si="1"/>
        <v>4.7587888418904274E-2</v>
      </c>
      <c r="I11" s="29">
        <f t="shared" si="2"/>
        <v>0.17254830128460313</v>
      </c>
      <c r="J11" s="30">
        <f t="shared" si="5"/>
        <v>221.50543080808367</v>
      </c>
      <c r="K11" s="30">
        <f t="shared" si="3"/>
        <v>5.5376357702020922</v>
      </c>
      <c r="L11" s="27">
        <v>157</v>
      </c>
      <c r="M11" s="31">
        <f t="shared" si="6"/>
        <v>0.25477707006369427</v>
      </c>
      <c r="N11" s="27">
        <v>209</v>
      </c>
      <c r="O11" s="32">
        <f t="shared" ref="O11:P11" si="19">D11/7</f>
        <v>5.7142857142857144</v>
      </c>
      <c r="P11" s="32">
        <f t="shared" si="19"/>
        <v>0.5714285714285714</v>
      </c>
      <c r="Q11" s="27">
        <f t="shared" si="8"/>
        <v>33</v>
      </c>
      <c r="R11" s="27"/>
      <c r="S11" s="33">
        <v>1.04133858267716</v>
      </c>
      <c r="T11" s="26">
        <v>0</v>
      </c>
      <c r="U11" s="34" t="s">
        <v>34</v>
      </c>
      <c r="V11" s="35" t="s">
        <v>34</v>
      </c>
      <c r="W11" s="26">
        <v>9</v>
      </c>
      <c r="X11" s="36">
        <f t="shared" si="9"/>
        <v>0.22500000000000001</v>
      </c>
      <c r="Y11" s="37">
        <f t="shared" si="10"/>
        <v>6.7877777777777784</v>
      </c>
      <c r="Z11" s="26">
        <v>0</v>
      </c>
      <c r="AA11" s="26" t="s">
        <v>37</v>
      </c>
      <c r="AB11" s="38">
        <f t="shared" si="11"/>
        <v>-0.69</v>
      </c>
      <c r="AC11" s="39">
        <v>0.40809490740740739</v>
      </c>
      <c r="AD11" s="37">
        <f t="shared" si="12"/>
        <v>-22.526838888888886</v>
      </c>
      <c r="AE11" s="37">
        <v>-6.56</v>
      </c>
      <c r="AF11" s="37">
        <v>-13.0912057575757</v>
      </c>
      <c r="AG11" s="37">
        <v>0</v>
      </c>
    </row>
    <row r="12" spans="1:33" ht="15.75" customHeight="1" x14ac:dyDescent="0.2">
      <c r="A12" s="26" t="s">
        <v>52</v>
      </c>
      <c r="B12" s="26" t="s">
        <v>188</v>
      </c>
      <c r="C12" s="14">
        <f t="shared" si="4"/>
        <v>30.923666666666673</v>
      </c>
      <c r="D12" s="27">
        <v>30</v>
      </c>
      <c r="E12" s="27">
        <v>2</v>
      </c>
      <c r="F12" s="28">
        <v>927.71000000000015</v>
      </c>
      <c r="G12" s="28">
        <v>-37.739999999999995</v>
      </c>
      <c r="H12" s="29">
        <f t="shared" si="1"/>
        <v>4.0680816203339396E-2</v>
      </c>
      <c r="I12" s="29">
        <f t="shared" si="2"/>
        <v>0.15563290048189887</v>
      </c>
      <c r="J12" s="30">
        <f t="shared" si="5"/>
        <v>144.38219810606242</v>
      </c>
      <c r="K12" s="30">
        <f t="shared" si="3"/>
        <v>4.8127399368687476</v>
      </c>
      <c r="L12" s="27">
        <v>112</v>
      </c>
      <c r="M12" s="31">
        <f t="shared" si="6"/>
        <v>0.26785714285714285</v>
      </c>
      <c r="N12" s="27">
        <v>179</v>
      </c>
      <c r="O12" s="32">
        <f t="shared" ref="O12:P12" si="20">D12/7</f>
        <v>4.2857142857142856</v>
      </c>
      <c r="P12" s="32">
        <f t="shared" si="20"/>
        <v>0.2857142857142857</v>
      </c>
      <c r="Q12" s="27">
        <f t="shared" si="8"/>
        <v>39</v>
      </c>
      <c r="R12" s="27"/>
      <c r="S12" s="33">
        <v>1.1074642668078301</v>
      </c>
      <c r="T12" s="26">
        <v>0</v>
      </c>
      <c r="U12" s="34" t="s">
        <v>34</v>
      </c>
      <c r="V12" s="35" t="s">
        <v>34</v>
      </c>
      <c r="W12" s="26">
        <v>2</v>
      </c>
      <c r="X12" s="36">
        <f t="shared" si="9"/>
        <v>6.6666666666666666E-2</v>
      </c>
      <c r="Y12" s="37">
        <f t="shared" si="10"/>
        <v>18.869999999999997</v>
      </c>
      <c r="Z12" s="26">
        <v>0</v>
      </c>
      <c r="AA12" s="26" t="s">
        <v>37</v>
      </c>
      <c r="AB12" s="38">
        <f t="shared" si="11"/>
        <v>-0.69</v>
      </c>
      <c r="AC12" s="39">
        <v>0.40809490740740739</v>
      </c>
      <c r="AD12" s="37">
        <f t="shared" si="12"/>
        <v>-16.895129166666663</v>
      </c>
      <c r="AE12" s="37">
        <v>-6.56</v>
      </c>
      <c r="AF12" s="37">
        <v>-13.0912057575757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31.990000000000002</v>
      </c>
      <c r="D13" s="27">
        <v>20</v>
      </c>
      <c r="E13" s="27">
        <v>1</v>
      </c>
      <c r="F13" s="30">
        <v>639.80000000000007</v>
      </c>
      <c r="G13" s="28">
        <v>-2.5400000000000005</v>
      </c>
      <c r="H13" s="29">
        <f t="shared" si="1"/>
        <v>3.9699906220693974E-3</v>
      </c>
      <c r="I13" s="29">
        <f t="shared" si="2"/>
        <v>0.20852280344868024</v>
      </c>
      <c r="J13" s="30">
        <f t="shared" si="5"/>
        <v>133.41288964646563</v>
      </c>
      <c r="K13" s="30">
        <f t="shared" si="3"/>
        <v>6.6706444823232811</v>
      </c>
      <c r="L13" s="27">
        <v>54</v>
      </c>
      <c r="M13" s="31">
        <f t="shared" si="6"/>
        <v>0.37037037037037035</v>
      </c>
      <c r="N13" s="27">
        <v>156</v>
      </c>
      <c r="O13" s="32">
        <f t="shared" ref="O13:P13" si="21">D13/7</f>
        <v>2.8571428571428572</v>
      </c>
      <c r="P13" s="32">
        <f t="shared" si="21"/>
        <v>0.14285714285714285</v>
      </c>
      <c r="Q13" s="27">
        <f t="shared" si="8"/>
        <v>52</v>
      </c>
      <c r="R13" s="27"/>
      <c r="S13" s="33">
        <v>1.1580698835274501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0.40809490740740739</v>
      </c>
      <c r="AD13" s="37">
        <f t="shared" si="12"/>
        <v>-11.263419444444443</v>
      </c>
      <c r="AE13" s="37">
        <v>-6.56</v>
      </c>
      <c r="AF13" s="37">
        <v>-13.2706845454545</v>
      </c>
      <c r="AG13" s="37">
        <v>0</v>
      </c>
    </row>
    <row r="14" spans="1:33" ht="15.75" customHeight="1" x14ac:dyDescent="0.2">
      <c r="A14" s="26" t="s">
        <v>56</v>
      </c>
      <c r="B14" s="26" t="s">
        <v>53</v>
      </c>
      <c r="C14" s="14">
        <f t="shared" si="4"/>
        <v>31.990000000000006</v>
      </c>
      <c r="D14" s="27">
        <v>11</v>
      </c>
      <c r="E14" s="27">
        <v>2</v>
      </c>
      <c r="F14" s="30">
        <v>351.89000000000004</v>
      </c>
      <c r="G14" s="28">
        <v>-1.1599999999999997</v>
      </c>
      <c r="H14" s="29">
        <f t="shared" si="1"/>
        <v>3.2964846969223325E-3</v>
      </c>
      <c r="I14" s="29">
        <f t="shared" si="2"/>
        <v>0.20919630937382724</v>
      </c>
      <c r="J14" s="30">
        <f t="shared" si="5"/>
        <v>73.614089305556078</v>
      </c>
      <c r="K14" s="30">
        <f t="shared" si="3"/>
        <v>6.6921899368687345</v>
      </c>
      <c r="L14" s="27">
        <v>49</v>
      </c>
      <c r="M14" s="31">
        <f t="shared" si="6"/>
        <v>0.22448979591836735</v>
      </c>
      <c r="N14" s="27">
        <v>143</v>
      </c>
      <c r="O14" s="32">
        <f t="shared" ref="O14:P14" si="22">D14/7</f>
        <v>1.5714285714285714</v>
      </c>
      <c r="P14" s="32">
        <f t="shared" si="22"/>
        <v>0.2857142857142857</v>
      </c>
      <c r="Q14" s="27">
        <f t="shared" si="8"/>
        <v>77</v>
      </c>
      <c r="R14" s="27"/>
      <c r="S14" s="33">
        <v>1.1745635910224399</v>
      </c>
      <c r="T14" s="26">
        <v>600</v>
      </c>
      <c r="U14" s="34" t="s">
        <v>34</v>
      </c>
      <c r="V14" s="35" t="s">
        <v>34</v>
      </c>
      <c r="W14" s="26">
        <v>1</v>
      </c>
      <c r="X14" s="36">
        <f t="shared" si="9"/>
        <v>9.0909090909090912E-2</v>
      </c>
      <c r="Y14" s="37">
        <f t="shared" si="10"/>
        <v>1.1599999999999997</v>
      </c>
      <c r="Z14" s="26">
        <v>0</v>
      </c>
      <c r="AA14" s="26" t="s">
        <v>37</v>
      </c>
      <c r="AB14" s="38">
        <f t="shared" si="11"/>
        <v>-0.69</v>
      </c>
      <c r="AC14" s="39">
        <v>0.40809490740740739</v>
      </c>
      <c r="AD14" s="37">
        <f t="shared" si="12"/>
        <v>-6.1948806944444437</v>
      </c>
      <c r="AE14" s="37">
        <v>-6.56</v>
      </c>
      <c r="AF14" s="37">
        <v>-13.2706845454545</v>
      </c>
      <c r="AG14" s="37">
        <v>0</v>
      </c>
    </row>
    <row r="15" spans="1:33" ht="15.75" customHeight="1" x14ac:dyDescent="0.2">
      <c r="A15" s="26" t="s">
        <v>58</v>
      </c>
      <c r="B15" s="26" t="s">
        <v>53</v>
      </c>
      <c r="C15" s="14">
        <f t="shared" si="4"/>
        <v>31.990000000000002</v>
      </c>
      <c r="D15" s="27">
        <v>9</v>
      </c>
      <c r="E15" s="27">
        <v>4</v>
      </c>
      <c r="F15" s="30">
        <v>287.91000000000003</v>
      </c>
      <c r="G15" s="28">
        <v>-0.87</v>
      </c>
      <c r="H15" s="29">
        <f t="shared" si="1"/>
        <v>3.0217776388454724E-3</v>
      </c>
      <c r="I15" s="29">
        <f t="shared" si="2"/>
        <v>0.20947101643190399</v>
      </c>
      <c r="J15" s="30">
        <f t="shared" si="5"/>
        <v>60.308800340909485</v>
      </c>
      <c r="K15" s="30">
        <f t="shared" si="3"/>
        <v>6.7009778156566098</v>
      </c>
      <c r="L15" s="27">
        <v>48</v>
      </c>
      <c r="M15" s="31">
        <f t="shared" si="6"/>
        <v>0.1875</v>
      </c>
      <c r="N15" s="27">
        <v>132</v>
      </c>
      <c r="O15" s="32">
        <f t="shared" ref="O15:P15" si="23">D15/7</f>
        <v>1.2857142857142858</v>
      </c>
      <c r="P15" s="32">
        <f t="shared" si="23"/>
        <v>0.5714285714285714</v>
      </c>
      <c r="Q15" s="27">
        <f t="shared" si="8"/>
        <v>71</v>
      </c>
      <c r="R15" s="27"/>
      <c r="S15" s="33">
        <v>1.2512110726643599</v>
      </c>
      <c r="T15" s="26">
        <v>600</v>
      </c>
      <c r="U15" s="34" t="s">
        <v>34</v>
      </c>
      <c r="V15" s="35" t="s">
        <v>34</v>
      </c>
      <c r="W15" s="26">
        <v>1</v>
      </c>
      <c r="X15" s="36">
        <f t="shared" si="9"/>
        <v>0.1111111111111111</v>
      </c>
      <c r="Y15" s="37">
        <f t="shared" si="10"/>
        <v>0.87</v>
      </c>
      <c r="Z15" s="26">
        <v>0</v>
      </c>
      <c r="AA15" s="26" t="s">
        <v>37</v>
      </c>
      <c r="AB15" s="38">
        <f t="shared" si="11"/>
        <v>-0.69</v>
      </c>
      <c r="AC15" s="39">
        <v>0.40809490740740739</v>
      </c>
      <c r="AD15" s="37">
        <f t="shared" si="12"/>
        <v>-5.0685387499999992</v>
      </c>
      <c r="AE15" s="37">
        <v>-6.56</v>
      </c>
      <c r="AF15" s="37">
        <v>-13.2706845454545</v>
      </c>
      <c r="AG15" s="37">
        <v>0</v>
      </c>
    </row>
    <row r="16" spans="1:33" ht="15.75" customHeight="1" x14ac:dyDescent="0.2">
      <c r="A16" s="26" t="s">
        <v>60</v>
      </c>
      <c r="B16" s="26" t="s">
        <v>53</v>
      </c>
      <c r="C16" s="14">
        <f t="shared" si="4"/>
        <v>31.990000000000006</v>
      </c>
      <c r="D16" s="27">
        <v>16</v>
      </c>
      <c r="E16" s="27">
        <v>0</v>
      </c>
      <c r="F16" s="30">
        <v>511.84000000000009</v>
      </c>
      <c r="G16" s="28">
        <v>-1.1499999999999999</v>
      </c>
      <c r="H16" s="29">
        <f t="shared" si="1"/>
        <v>2.2467958737105338E-3</v>
      </c>
      <c r="I16" s="29">
        <f t="shared" si="2"/>
        <v>0.21024599819703915</v>
      </c>
      <c r="J16" s="30">
        <f t="shared" si="5"/>
        <v>107.61231171717255</v>
      </c>
      <c r="K16" s="30">
        <f t="shared" si="3"/>
        <v>6.7257694823232841</v>
      </c>
      <c r="L16" s="27">
        <v>70</v>
      </c>
      <c r="M16" s="31">
        <f t="shared" si="6"/>
        <v>0.22857142857142856</v>
      </c>
      <c r="N16" s="27">
        <v>114</v>
      </c>
      <c r="O16" s="32">
        <f t="shared" ref="O16:P16" si="24">D16/7</f>
        <v>2.2857142857142856</v>
      </c>
      <c r="P16" s="32">
        <f t="shared" si="24"/>
        <v>0</v>
      </c>
      <c r="Q16" s="27">
        <f t="shared" si="8"/>
        <v>49</v>
      </c>
      <c r="R16" s="27"/>
      <c r="S16" s="33">
        <v>1.3579109062979999</v>
      </c>
      <c r="T16" s="26">
        <v>600</v>
      </c>
      <c r="U16" s="34" t="s">
        <v>34</v>
      </c>
      <c r="V16" s="35" t="s">
        <v>34</v>
      </c>
      <c r="W16" s="26">
        <v>2</v>
      </c>
      <c r="X16" s="36">
        <f t="shared" si="9"/>
        <v>0.125</v>
      </c>
      <c r="Y16" s="37">
        <f t="shared" si="10"/>
        <v>0.57499999999999996</v>
      </c>
      <c r="Z16" s="26">
        <v>0</v>
      </c>
      <c r="AA16" s="26" t="s">
        <v>37</v>
      </c>
      <c r="AB16" s="38">
        <f t="shared" si="11"/>
        <v>-0.69</v>
      </c>
      <c r="AC16" s="39">
        <v>0.40809490740740739</v>
      </c>
      <c r="AD16" s="37">
        <f t="shared" si="12"/>
        <v>-9.0107355555555539</v>
      </c>
      <c r="AE16" s="37">
        <v>-6.56</v>
      </c>
      <c r="AF16" s="37">
        <v>-13.2706845454545</v>
      </c>
      <c r="AG16" s="37">
        <v>0</v>
      </c>
    </row>
    <row r="17" spans="1:33" ht="15.75" customHeight="1" x14ac:dyDescent="0.2">
      <c r="A17" s="26" t="s">
        <v>61</v>
      </c>
      <c r="B17" s="26" t="s">
        <v>1327</v>
      </c>
      <c r="C17" s="14">
        <f t="shared" si="4"/>
        <v>31.99</v>
      </c>
      <c r="D17" s="27">
        <v>5</v>
      </c>
      <c r="E17" s="27">
        <v>0</v>
      </c>
      <c r="F17" s="30">
        <v>159.94999999999999</v>
      </c>
      <c r="G17" s="28">
        <v>-0.56000000000000005</v>
      </c>
      <c r="H17" s="29">
        <f t="shared" si="1"/>
        <v>3.5010940919037205E-3</v>
      </c>
      <c r="I17" s="29">
        <f t="shared" si="2"/>
        <v>0.2089916999788457</v>
      </c>
      <c r="J17" s="30">
        <f t="shared" si="5"/>
        <v>33.428222411616368</v>
      </c>
      <c r="K17" s="30">
        <f t="shared" si="3"/>
        <v>6.6856444823232737</v>
      </c>
      <c r="L17" s="27">
        <v>48</v>
      </c>
      <c r="M17" s="31">
        <f t="shared" si="6"/>
        <v>0.10416666666666667</v>
      </c>
      <c r="N17" s="27">
        <v>108</v>
      </c>
      <c r="O17" s="32">
        <f t="shared" ref="O17:P17" si="25">D17/7</f>
        <v>0.7142857142857143</v>
      </c>
      <c r="P17" s="32">
        <f t="shared" si="25"/>
        <v>0</v>
      </c>
      <c r="Q17" s="27">
        <f t="shared" si="8"/>
        <v>151</v>
      </c>
      <c r="R17" s="27"/>
      <c r="S17" s="33">
        <v>1.4358108108108101</v>
      </c>
      <c r="T17" s="26">
        <v>600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0.40809490740740739</v>
      </c>
      <c r="AD17" s="37">
        <f t="shared" si="12"/>
        <v>-2.8158548611111107</v>
      </c>
      <c r="AE17" s="37">
        <v>-6.56</v>
      </c>
      <c r="AF17" s="37">
        <v>-13.2706845454545</v>
      </c>
      <c r="AG17" s="37">
        <v>0</v>
      </c>
    </row>
    <row r="18" spans="1:33" ht="15.75" customHeight="1" x14ac:dyDescent="0.2">
      <c r="A18" s="26" t="s">
        <v>62</v>
      </c>
      <c r="B18" s="26" t="s">
        <v>1340</v>
      </c>
      <c r="C18" s="14">
        <f t="shared" si="4"/>
        <v>30.535909090909094</v>
      </c>
      <c r="D18" s="27">
        <v>22</v>
      </c>
      <c r="E18" s="27">
        <v>3</v>
      </c>
      <c r="F18" s="30">
        <v>671.79000000000008</v>
      </c>
      <c r="G18" s="28">
        <v>-34.480000000000004</v>
      </c>
      <c r="H18" s="29">
        <f t="shared" si="1"/>
        <v>5.1325563047976301E-2</v>
      </c>
      <c r="I18" s="29">
        <f t="shared" si="2"/>
        <v>0.13080974502614234</v>
      </c>
      <c r="J18" s="30">
        <f t="shared" si="5"/>
        <v>87.876678611112183</v>
      </c>
      <c r="K18" s="30">
        <f t="shared" si="3"/>
        <v>3.9943944823232811</v>
      </c>
      <c r="L18" s="27">
        <v>61</v>
      </c>
      <c r="M18" s="31">
        <f t="shared" si="6"/>
        <v>0.36065573770491804</v>
      </c>
      <c r="N18" s="27">
        <v>83</v>
      </c>
      <c r="O18" s="32">
        <f t="shared" ref="O18:P18" si="26">D18/7</f>
        <v>3.1428571428571428</v>
      </c>
      <c r="P18" s="32">
        <f t="shared" si="26"/>
        <v>0.42857142857142855</v>
      </c>
      <c r="Q18" s="27">
        <f t="shared" si="8"/>
        <v>23</v>
      </c>
      <c r="R18" s="27"/>
      <c r="S18" s="33">
        <v>1.5444444444444401</v>
      </c>
      <c r="T18" s="26">
        <v>600</v>
      </c>
      <c r="U18" s="34" t="s">
        <v>34</v>
      </c>
      <c r="V18" s="35" t="s">
        <v>34</v>
      </c>
      <c r="W18" s="26">
        <v>6</v>
      </c>
      <c r="X18" s="36">
        <f t="shared" si="9"/>
        <v>0.27272727272727271</v>
      </c>
      <c r="Y18" s="37">
        <f t="shared" si="10"/>
        <v>5.746666666666667</v>
      </c>
      <c r="Z18" s="26">
        <v>0</v>
      </c>
      <c r="AA18" s="26" t="s">
        <v>37</v>
      </c>
      <c r="AB18" s="38">
        <f t="shared" si="11"/>
        <v>-0.69</v>
      </c>
      <c r="AC18" s="39">
        <v>0.40809490740740739</v>
      </c>
      <c r="AD18" s="37">
        <f t="shared" si="12"/>
        <v>-12.389761388888887</v>
      </c>
      <c r="AE18" s="37">
        <v>-6.56</v>
      </c>
      <c r="AF18" s="37">
        <v>-13.2706845454545</v>
      </c>
      <c r="AG18" s="37">
        <v>0</v>
      </c>
    </row>
    <row r="19" spans="1:33" ht="15.75" customHeight="1" x14ac:dyDescent="0.2">
      <c r="A19" s="26" t="s">
        <v>64</v>
      </c>
      <c r="B19" s="26" t="s">
        <v>1341</v>
      </c>
      <c r="C19" s="14">
        <f t="shared" si="4"/>
        <v>33.656666666666666</v>
      </c>
      <c r="D19" s="27">
        <v>18</v>
      </c>
      <c r="E19" s="27">
        <v>0</v>
      </c>
      <c r="F19" s="30">
        <v>605.82000000000005</v>
      </c>
      <c r="G19" s="28">
        <v>-29.78</v>
      </c>
      <c r="H19" s="29">
        <f t="shared" si="1"/>
        <v>4.9156515136509191E-2</v>
      </c>
      <c r="I19" s="29">
        <f t="shared" si="2"/>
        <v>0.19490541857617477</v>
      </c>
      <c r="J19" s="30">
        <f t="shared" si="5"/>
        <v>118.07760068181821</v>
      </c>
      <c r="K19" s="30">
        <f t="shared" si="3"/>
        <v>6.5598667045454562</v>
      </c>
      <c r="L19" s="27">
        <v>51</v>
      </c>
      <c r="M19" s="31">
        <f t="shared" si="6"/>
        <v>0.35294117647058826</v>
      </c>
      <c r="N19" s="27">
        <v>64</v>
      </c>
      <c r="O19" s="32">
        <f t="shared" ref="O19:P19" si="27">D19/7</f>
        <v>2.5714285714285716</v>
      </c>
      <c r="P19" s="32">
        <f t="shared" si="27"/>
        <v>0</v>
      </c>
      <c r="Q19" s="27">
        <f t="shared" si="8"/>
        <v>24</v>
      </c>
      <c r="R19" s="27"/>
      <c r="S19" s="33">
        <v>1.6136820925553299</v>
      </c>
      <c r="T19" s="26">
        <v>600</v>
      </c>
      <c r="U19" s="34" t="s">
        <v>34</v>
      </c>
      <c r="V19" s="35" t="s">
        <v>34</v>
      </c>
      <c r="W19" s="26">
        <v>3</v>
      </c>
      <c r="X19" s="36">
        <f t="shared" si="9"/>
        <v>0.16666666666666666</v>
      </c>
      <c r="Y19" s="37">
        <f t="shared" si="10"/>
        <v>9.9266666666666676</v>
      </c>
      <c r="Z19" s="26">
        <v>0</v>
      </c>
      <c r="AA19" s="26" t="s">
        <v>37</v>
      </c>
      <c r="AB19" s="38">
        <f t="shared" si="11"/>
        <v>-0.69</v>
      </c>
      <c r="AC19" s="39">
        <v>0.40809490740740739</v>
      </c>
      <c r="AD19" s="37">
        <f t="shared" si="12"/>
        <v>-10.137077499999998</v>
      </c>
      <c r="AE19" s="37">
        <v>-6.56</v>
      </c>
      <c r="AF19" s="37">
        <v>-13.270684545454547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35.444545454545455</v>
      </c>
      <c r="D20" s="27">
        <v>11</v>
      </c>
      <c r="E20" s="27">
        <v>1</v>
      </c>
      <c r="F20" s="30">
        <v>389.89000000000004</v>
      </c>
      <c r="G20" s="28">
        <v>-28.970000000000006</v>
      </c>
      <c r="H20" s="29">
        <f t="shared" si="1"/>
        <v>7.4303008540870505E-2</v>
      </c>
      <c r="I20" s="29">
        <f t="shared" si="2"/>
        <v>0.20032339712625502</v>
      </c>
      <c r="J20" s="30">
        <f t="shared" si="5"/>
        <v>78.104089305555576</v>
      </c>
      <c r="K20" s="30">
        <f t="shared" si="3"/>
        <v>7.1003717550505066</v>
      </c>
      <c r="L20" s="27">
        <v>42</v>
      </c>
      <c r="M20" s="31">
        <f t="shared" si="6"/>
        <v>0.26190476190476192</v>
      </c>
      <c r="N20" s="27">
        <v>51</v>
      </c>
      <c r="O20" s="32">
        <f t="shared" ref="O20:P20" si="28">D20/7</f>
        <v>1.5714285714285714</v>
      </c>
      <c r="P20" s="32">
        <f t="shared" si="28"/>
        <v>0.14285714285714285</v>
      </c>
      <c r="Q20" s="27">
        <f t="shared" si="8"/>
        <v>29</v>
      </c>
      <c r="R20" s="27"/>
      <c r="S20" s="33">
        <v>1.61951219512195</v>
      </c>
      <c r="T20" s="26">
        <v>600</v>
      </c>
      <c r="U20" s="34" t="s">
        <v>34</v>
      </c>
      <c r="V20" s="35" t="s">
        <v>34</v>
      </c>
      <c r="W20" s="26">
        <v>2</v>
      </c>
      <c r="X20" s="36">
        <f t="shared" si="9"/>
        <v>0.18181818181818182</v>
      </c>
      <c r="Y20" s="37">
        <f t="shared" si="10"/>
        <v>14.485000000000003</v>
      </c>
      <c r="Z20" s="26">
        <v>0</v>
      </c>
      <c r="AA20" s="26" t="s">
        <v>37</v>
      </c>
      <c r="AB20" s="38">
        <f t="shared" si="11"/>
        <v>-0.69</v>
      </c>
      <c r="AC20" s="39">
        <v>0.40809490740740739</v>
      </c>
      <c r="AD20" s="37">
        <f t="shared" si="12"/>
        <v>-6.1948806944444437</v>
      </c>
      <c r="AE20" s="37">
        <v>-6.56</v>
      </c>
      <c r="AF20" s="37">
        <v>-13.270684545454547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35.99</v>
      </c>
      <c r="D21" s="27">
        <v>16</v>
      </c>
      <c r="E21" s="27">
        <v>3</v>
      </c>
      <c r="F21" s="30">
        <v>575.84</v>
      </c>
      <c r="G21" s="28">
        <v>-29.82</v>
      </c>
      <c r="H21" s="29">
        <f t="shared" si="1"/>
        <v>5.1785218116143374E-2</v>
      </c>
      <c r="I21" s="29">
        <f t="shared" si="2"/>
        <v>0.23156139156219038</v>
      </c>
      <c r="J21" s="30">
        <f t="shared" si="5"/>
        <v>133.34231171717173</v>
      </c>
      <c r="K21" s="30">
        <f t="shared" si="3"/>
        <v>8.3338944823232328</v>
      </c>
      <c r="L21" s="27">
        <v>25</v>
      </c>
      <c r="M21" s="31">
        <f t="shared" si="6"/>
        <v>0.64</v>
      </c>
      <c r="N21" s="27">
        <v>33</v>
      </c>
      <c r="O21" s="32">
        <f t="shared" ref="O21:P21" si="29">D21/7</f>
        <v>2.2857142857142856</v>
      </c>
      <c r="P21" s="32">
        <f t="shared" si="29"/>
        <v>0.42857142857142855</v>
      </c>
      <c r="Q21" s="27">
        <f t="shared" si="8"/>
        <v>12</v>
      </c>
      <c r="R21" s="27"/>
      <c r="S21" s="33">
        <v>1.65435745937961</v>
      </c>
      <c r="T21" s="26" t="s">
        <v>34</v>
      </c>
      <c r="U21" s="34" t="s">
        <v>34</v>
      </c>
      <c r="V21" s="35" t="s">
        <v>34</v>
      </c>
      <c r="W21" s="26">
        <v>7</v>
      </c>
      <c r="X21" s="36">
        <f t="shared" si="9"/>
        <v>0.4375</v>
      </c>
      <c r="Y21" s="37">
        <f t="shared" si="10"/>
        <v>4.26</v>
      </c>
      <c r="Z21" s="26">
        <v>0</v>
      </c>
      <c r="AA21" s="26" t="s">
        <v>37</v>
      </c>
      <c r="AB21" s="38">
        <f t="shared" si="11"/>
        <v>-0.69</v>
      </c>
      <c r="AC21" s="39">
        <v>0.40809490740740739</v>
      </c>
      <c r="AD21" s="37">
        <f t="shared" si="12"/>
        <v>-9.0107355555555539</v>
      </c>
      <c r="AE21" s="37">
        <v>-6.56</v>
      </c>
      <c r="AF21" s="37">
        <v>-13.270684545454547</v>
      </c>
      <c r="AG21" s="37">
        <v>0</v>
      </c>
    </row>
    <row r="22" spans="1:33" ht="15.75" customHeight="1" x14ac:dyDescent="0.2">
      <c r="A22" s="26" t="s">
        <v>67</v>
      </c>
      <c r="B22" s="26" t="s">
        <v>1342</v>
      </c>
      <c r="C22" s="14">
        <f t="shared" si="4"/>
        <v>35.99</v>
      </c>
      <c r="D22" s="27">
        <v>9</v>
      </c>
      <c r="E22" s="27">
        <v>0</v>
      </c>
      <c r="F22" s="28">
        <v>323.91000000000003</v>
      </c>
      <c r="G22" s="28">
        <v>-19.399999999999999</v>
      </c>
      <c r="H22" s="29">
        <f t="shared" si="1"/>
        <v>5.9893180204377748E-2</v>
      </c>
      <c r="I22" s="29">
        <f t="shared" si="2"/>
        <v>0.22345342947395605</v>
      </c>
      <c r="J22" s="30">
        <f t="shared" si="5"/>
        <v>72.378800340909109</v>
      </c>
      <c r="K22" s="30">
        <f t="shared" si="3"/>
        <v>8.0420889267676792</v>
      </c>
      <c r="L22" s="27">
        <v>28</v>
      </c>
      <c r="M22" s="31">
        <f t="shared" si="6"/>
        <v>0.32142857142857145</v>
      </c>
      <c r="N22" s="27">
        <v>22</v>
      </c>
      <c r="O22" s="32">
        <f t="shared" ref="O22:P22" si="30">D22/7</f>
        <v>1.2857142857142858</v>
      </c>
      <c r="P22" s="32">
        <f t="shared" si="30"/>
        <v>0</v>
      </c>
      <c r="Q22" s="27">
        <f t="shared" si="8"/>
        <v>17</v>
      </c>
      <c r="R22" s="27"/>
      <c r="S22" s="33">
        <v>1.7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0.40809490740740739</v>
      </c>
      <c r="AD22" s="37">
        <f t="shared" si="12"/>
        <v>-5.0685387499999992</v>
      </c>
      <c r="AE22" s="37">
        <v>-6.56</v>
      </c>
      <c r="AF22" s="37">
        <v>-13.270684545454547</v>
      </c>
      <c r="AG22" s="37">
        <v>0</v>
      </c>
    </row>
    <row r="23" spans="1:33" ht="15.75" customHeight="1" x14ac:dyDescent="0.2">
      <c r="A23" s="26" t="s">
        <v>68</v>
      </c>
      <c r="B23" s="26" t="s">
        <v>1343</v>
      </c>
      <c r="C23" s="14">
        <f t="shared" si="4"/>
        <v>35.39</v>
      </c>
      <c r="D23" s="27">
        <v>10</v>
      </c>
      <c r="E23" s="27">
        <v>1</v>
      </c>
      <c r="F23" s="30">
        <v>353.90000000000003</v>
      </c>
      <c r="G23" s="28">
        <v>-20.83</v>
      </c>
      <c r="H23" s="29">
        <f t="shared" si="1"/>
        <v>5.8858434586041244E-2</v>
      </c>
      <c r="I23" s="29">
        <f t="shared" si="2"/>
        <v>0.21488116649684183</v>
      </c>
      <c r="J23" s="30">
        <f t="shared" si="5"/>
        <v>76.046444823232335</v>
      </c>
      <c r="K23" s="30">
        <f t="shared" si="3"/>
        <v>7.6046444823232333</v>
      </c>
      <c r="L23" s="27">
        <v>40</v>
      </c>
      <c r="M23" s="31">
        <f t="shared" si="6"/>
        <v>0.25</v>
      </c>
      <c r="N23" s="27">
        <v>8</v>
      </c>
      <c r="O23" s="32">
        <f t="shared" ref="O23:P23" si="31">D23/7</f>
        <v>1.4285714285714286</v>
      </c>
      <c r="P23" s="32">
        <f t="shared" si="31"/>
        <v>0.14285714285714285</v>
      </c>
      <c r="Q23" s="27">
        <f t="shared" si="8"/>
        <v>5</v>
      </c>
      <c r="R23" s="27"/>
      <c r="S23" s="33">
        <v>1.78849721706864</v>
      </c>
      <c r="T23" s="26">
        <v>600</v>
      </c>
      <c r="U23" s="34" t="s">
        <v>34</v>
      </c>
      <c r="V23" s="35" t="s">
        <v>34</v>
      </c>
      <c r="W23" s="26">
        <v>1</v>
      </c>
      <c r="X23" s="36">
        <f t="shared" si="9"/>
        <v>0.1</v>
      </c>
      <c r="Y23" s="37">
        <f t="shared" si="10"/>
        <v>20.83</v>
      </c>
      <c r="Z23" s="26">
        <v>0</v>
      </c>
      <c r="AA23" s="26" t="s">
        <v>37</v>
      </c>
      <c r="AB23" s="38">
        <f t="shared" si="11"/>
        <v>-0.69</v>
      </c>
      <c r="AC23" s="39">
        <v>0.40809490740740739</v>
      </c>
      <c r="AD23" s="37">
        <f t="shared" si="12"/>
        <v>-5.6317097222222214</v>
      </c>
      <c r="AE23" s="37">
        <v>-6.56</v>
      </c>
      <c r="AF23" s="37">
        <v>-13.270684545454547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31.391428571428573</v>
      </c>
      <c r="D24" s="27">
        <v>7</v>
      </c>
      <c r="E24" s="27">
        <v>0</v>
      </c>
      <c r="F24" s="30">
        <v>219.74</v>
      </c>
      <c r="G24" s="30">
        <v>-8.73</v>
      </c>
      <c r="H24" s="29">
        <f t="shared" si="1"/>
        <v>3.9728770364976788E-2</v>
      </c>
      <c r="I24" s="29">
        <f t="shared" si="2"/>
        <v>0.16060804303387016</v>
      </c>
      <c r="J24" s="30">
        <f t="shared" si="5"/>
        <v>35.292011376262629</v>
      </c>
      <c r="K24" s="30">
        <f t="shared" si="3"/>
        <v>5.041715910894661</v>
      </c>
      <c r="L24" s="27">
        <v>23</v>
      </c>
      <c r="M24" s="31">
        <f t="shared" si="6"/>
        <v>0.30434782608695654</v>
      </c>
      <c r="N24" s="27">
        <v>2</v>
      </c>
      <c r="O24" s="32">
        <f t="shared" ref="O24:P24" si="32">D24/7</f>
        <v>1</v>
      </c>
      <c r="P24" s="32">
        <f t="shared" si="32"/>
        <v>0</v>
      </c>
      <c r="Q24" s="27">
        <f t="shared" si="8"/>
        <v>2</v>
      </c>
      <c r="R24" s="27"/>
      <c r="S24" s="33">
        <v>1.86492374727668</v>
      </c>
      <c r="T24" s="26">
        <v>600</v>
      </c>
      <c r="U24" s="34" t="s">
        <v>34</v>
      </c>
      <c r="V24" s="35" t="s">
        <v>34</v>
      </c>
      <c r="W24" s="26">
        <v>1</v>
      </c>
      <c r="X24" s="36">
        <f t="shared" si="9"/>
        <v>0.14285714285714285</v>
      </c>
      <c r="Y24" s="37">
        <f t="shared" si="10"/>
        <v>8.73</v>
      </c>
      <c r="Z24" s="26">
        <v>0</v>
      </c>
      <c r="AA24" s="26" t="s">
        <v>37</v>
      </c>
      <c r="AB24" s="38">
        <f t="shared" si="11"/>
        <v>-0.69</v>
      </c>
      <c r="AC24" s="39">
        <v>0.40809490740740739</v>
      </c>
      <c r="AD24" s="37">
        <f t="shared" si="12"/>
        <v>-3.9421968055555547</v>
      </c>
      <c r="AE24" s="37">
        <v>-6.56</v>
      </c>
      <c r="AF24" s="37">
        <v>-13.270684545454547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29.99</v>
      </c>
      <c r="D25" s="15">
        <v>1</v>
      </c>
      <c r="E25" s="15">
        <v>0</v>
      </c>
      <c r="F25" s="16">
        <v>29.99</v>
      </c>
      <c r="G25" s="16">
        <v>0</v>
      </c>
      <c r="H25" s="29">
        <f t="shared" si="1"/>
        <v>0</v>
      </c>
      <c r="I25" s="29">
        <f t="shared" si="2"/>
        <v>0.17000096791523098</v>
      </c>
      <c r="J25" s="30">
        <f t="shared" si="5"/>
        <v>5.0983290277777771</v>
      </c>
      <c r="K25" s="30">
        <f t="shared" si="3"/>
        <v>5.0983290277777771</v>
      </c>
      <c r="L25" s="15">
        <v>14</v>
      </c>
      <c r="M25" s="31">
        <f t="shared" si="6"/>
        <v>7.1428571428571425E-2</v>
      </c>
      <c r="N25" s="15">
        <v>0</v>
      </c>
      <c r="O25" s="32">
        <f t="shared" ref="O25:P25" si="33">D25/7</f>
        <v>0.14285714285714285</v>
      </c>
      <c r="P25" s="32">
        <f t="shared" si="33"/>
        <v>0</v>
      </c>
      <c r="Q25" s="27">
        <f t="shared" si="8"/>
        <v>0</v>
      </c>
      <c r="R25" s="27"/>
      <c r="S25" s="41">
        <v>0</v>
      </c>
      <c r="T25" s="26">
        <v>600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0.40809490740740739</v>
      </c>
      <c r="AD25" s="37">
        <f t="shared" si="12"/>
        <v>-0.56317097222222212</v>
      </c>
      <c r="AE25" s="42">
        <v>-6.56</v>
      </c>
      <c r="AF25" s="42">
        <v>-13.27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600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0.40809490740740739</v>
      </c>
      <c r="AD26" s="37">
        <f t="shared" si="12"/>
        <v>0</v>
      </c>
      <c r="AE26" s="42">
        <v>-6.56</v>
      </c>
      <c r="AF26" s="42">
        <v>-13.2706845454545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600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0.40809490740740739</v>
      </c>
      <c r="AD27" s="37">
        <f t="shared" si="12"/>
        <v>0</v>
      </c>
      <c r="AE27" s="42">
        <v>-6.56</v>
      </c>
      <c r="AF27" s="42">
        <v>-13.2706845454545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90</v>
      </c>
      <c r="V28" s="1" t="s">
        <v>1228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0.40809490740740739</v>
      </c>
      <c r="AD28" s="37">
        <f t="shared" si="12"/>
        <v>0</v>
      </c>
      <c r="AE28" s="42">
        <v>-6.56</v>
      </c>
      <c r="AF28" s="42">
        <v>-13.2706845454545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0.40809490740740739</v>
      </c>
      <c r="AD29" s="37">
        <f t="shared" si="12"/>
        <v>0</v>
      </c>
      <c r="AE29" s="37">
        <v>-6.56</v>
      </c>
      <c r="AF29" s="42">
        <v>-13.2706845454545</v>
      </c>
      <c r="AG29" s="37">
        <v>0</v>
      </c>
    </row>
    <row r="30" spans="1:33" ht="15.75" customHeight="1" x14ac:dyDescent="0.2">
      <c r="A30" s="40" t="s">
        <v>84</v>
      </c>
      <c r="B30" s="40"/>
      <c r="C30" s="14">
        <f t="shared" si="4"/>
        <v>29.99</v>
      </c>
      <c r="D30" s="15">
        <v>1</v>
      </c>
      <c r="E30" s="15">
        <v>0</v>
      </c>
      <c r="F30" s="16">
        <v>29.99</v>
      </c>
      <c r="G30" s="16">
        <v>0</v>
      </c>
      <c r="H30" s="29">
        <f t="shared" si="1"/>
        <v>0</v>
      </c>
      <c r="I30" s="29">
        <f t="shared" si="2"/>
        <v>0.17715425644474081</v>
      </c>
      <c r="J30" s="30">
        <f t="shared" si="5"/>
        <v>5.312856150777777</v>
      </c>
      <c r="K30" s="30">
        <f t="shared" si="3"/>
        <v>5.312856150777777</v>
      </c>
      <c r="L30" s="15">
        <v>2</v>
      </c>
      <c r="M30" s="31">
        <f t="shared" si="6"/>
        <v>0.5</v>
      </c>
      <c r="N30" s="15">
        <v>0</v>
      </c>
      <c r="O30" s="32">
        <f t="shared" ref="O30:P30" si="38">D30/7</f>
        <v>0.14285714285714285</v>
      </c>
      <c r="P30" s="32">
        <f t="shared" si="38"/>
        <v>0</v>
      </c>
      <c r="Q30" s="27">
        <f t="shared" si="8"/>
        <v>0</v>
      </c>
      <c r="R30" s="27"/>
      <c r="S30" s="41">
        <v>0</v>
      </c>
      <c r="T30" s="26">
        <v>1290</v>
      </c>
      <c r="U30" s="34">
        <v>90</v>
      </c>
      <c r="V30" s="35" t="s">
        <v>1229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0.40809490740740739</v>
      </c>
      <c r="AD30" s="37">
        <f t="shared" si="12"/>
        <v>-0.56317097222222212</v>
      </c>
      <c r="AE30" s="42">
        <v>-6.56</v>
      </c>
      <c r="AF30" s="42">
        <v>-13.055472877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>
        <v>510</v>
      </c>
      <c r="U31" s="22">
        <v>90</v>
      </c>
      <c r="V31" s="1" t="s">
        <v>1230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0.40809490740740739</v>
      </c>
      <c r="AD31" s="37">
        <f t="shared" si="12"/>
        <v>0</v>
      </c>
      <c r="AE31" s="45">
        <v>-6.56</v>
      </c>
      <c r="AF31" s="45">
        <v>-13.055472877000001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IFERROR(__xludf.DUMMYFUNCTION("IFERROR(VLOOKUP($B$2,IMPORTRANGE(""https://docs.google.com/spreadsheets/d/1KiWZV1ko8G7lnRucBRBd29jj3Be6ltMfljMDqzOkQmI/edit#gid=1381463014"",""Lookup!A:D""),4,FALSE),"""")"),510)</f>
        <v>510</v>
      </c>
      <c r="U32" s="22">
        <f ca="1">IFERROR(__xludf.DUMMYFUNCTION("IFERROR(VLOOKUP($B$2,IMPORTRANGE(""https://docs.google.com/spreadsheets/d/1KiWZV1ko8G7lnRucBRBd29jj3Be6ltMfljMDqzOkQmI/edit#gid=1381463014"",""Lookup!A:D""),3,FALSE),"""")"),90)</f>
        <v>90</v>
      </c>
      <c r="V32" s="1" t="str">
        <f ca="1">IFERROR(__xludf.DUMMYFUNCTION("IFERROR(VLOOKUP($B$2,IMPORTRANGE(""https://docs.google.com/spreadsheets/d/1KiWZV1ko8G7lnRucBRBd29jj3Be6ltMfljMDqzOkQmI/edit#gid=1381463014"",""Lookup!A:D""),2,FALSE),"""")"),"| AGL230  - 90 units 08/14")</f>
        <v>| AGL230  - 90 units 08/14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0.40809490740740739</v>
      </c>
      <c r="AD32" s="37">
        <f t="shared" si="12"/>
        <v>0</v>
      </c>
      <c r="AE32" s="42">
        <v>-6.56</v>
      </c>
      <c r="AF32" s="42">
        <v>-13.055472877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A201" s="40"/>
      <c r="B201" s="40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</row>
    <row r="202" spans="1:33" ht="15.75" customHeight="1" x14ac:dyDescent="0.2">
      <c r="A202" s="40"/>
      <c r="B202" s="40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</row>
    <row r="203" spans="1:33" ht="15.75" customHeight="1" x14ac:dyDescent="0.2">
      <c r="A203" s="40"/>
      <c r="B203" s="40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</row>
    <row r="204" spans="1:33" ht="15.75" customHeight="1" x14ac:dyDescent="0.2">
      <c r="A204" s="40"/>
      <c r="B204" s="40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8.8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8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Info!B1:BJ5000""),3,FALSE),"""")"),"Outdoor Glass Beverage Dispenser with Sturdy Metal Base &amp; Stainless Steel Spigot - Drink Dispenser for Lemonade, Tea, Cold Water &amp; More")</f>
        <v>Outdoor Glass Beverage Dispenser with Sturdy Metal Base &amp; Stainless Steel Spigot - Drink Dispenser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Info!B1:BJ5000""),2,FALSE),"""")"),"B07HM82MQ1")</f>
        <v>B07HM82MQ1</v>
      </c>
      <c r="B2" s="3" t="s">
        <v>1344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4.5" customHeight="1" x14ac:dyDescent="0.2">
      <c r="A3" s="68" t="s">
        <v>31</v>
      </c>
      <c r="B3" s="69"/>
      <c r="C3" s="48">
        <f>((AE32+AF32)/0.85)*-1</f>
        <v>23.104841341176474</v>
      </c>
      <c r="D3" s="5">
        <f>SUM(D4:D99767)</f>
        <v>753</v>
      </c>
      <c r="E3" s="5"/>
      <c r="F3" s="6">
        <f t="shared" ref="F3:G3" si="0">SUM(F4:F99767)</f>
        <v>27202.68</v>
      </c>
      <c r="G3" s="6">
        <f t="shared" si="0"/>
        <v>-82.88000000000001</v>
      </c>
      <c r="H3" s="7">
        <f t="shared" ref="H3:H32" si="1">G3/F3*-1</f>
        <v>3.046758628193987E-3</v>
      </c>
      <c r="I3" s="8">
        <f t="shared" ref="I3:I32" si="2">J3/F3</f>
        <v>0.29604509805579021</v>
      </c>
      <c r="J3" s="6">
        <f>SUM(J4:J99767)</f>
        <v>8053.2200679802836</v>
      </c>
      <c r="K3" s="6">
        <f t="shared" ref="K3:K32" si="3">J3/D3</f>
        <v>10.694847367835703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4 - May
5 - June
5 - July
5 - Aug
7 - Sept
7 - Oct
7 - Nov
8 - Dec
3 - Jan
3 - Feb")</f>
        <v>3 - March
3 - April
4 - May
5 - June
5 - July
5 - Aug
7 - Sept
7 - Oct
7 - Nov
8 -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32</v>
      </c>
      <c r="X3" s="7">
        <f>W3/D3</f>
        <v>4.2496679946879147E-2</v>
      </c>
      <c r="Y3" s="6"/>
      <c r="Z3" s="5"/>
      <c r="AA3" s="5"/>
      <c r="AB3" s="5"/>
      <c r="AC3" s="5"/>
      <c r="AD3" s="6">
        <f>SUM(AD4:AD99767)</f>
        <v>-541.03611966154881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Info!B2:BZ3000""),37,FALSE)),"""")*-1"),-12.75911514)</f>
        <v>-12.75911514</v>
      </c>
      <c r="AG3" s="6">
        <f>SUM(AG4:AG99767)</f>
        <v>0</v>
      </c>
    </row>
    <row r="4" spans="1:33" x14ac:dyDescent="0.2">
      <c r="A4" s="1" t="s">
        <v>32</v>
      </c>
      <c r="B4" s="2" t="s">
        <v>53</v>
      </c>
      <c r="C4" s="14">
        <f t="shared" ref="C4:C32" si="4">IFERROR(F4/D4," - ")</f>
        <v>30.457692307692305</v>
      </c>
      <c r="D4" s="15">
        <v>26</v>
      </c>
      <c r="E4" s="15">
        <v>0</v>
      </c>
      <c r="F4" s="16">
        <v>791.9</v>
      </c>
      <c r="G4" s="16">
        <v>-1.2699999999999998</v>
      </c>
      <c r="H4" s="17">
        <f t="shared" si="1"/>
        <v>1.6037378456875866E-3</v>
      </c>
      <c r="I4" s="17">
        <f t="shared" si="2"/>
        <v>0.2169965255216644</v>
      </c>
      <c r="J4" s="16">
        <f t="shared" ref="J4:J32" si="5">F4*0.85+G4+AF4*D4+D4*AE4+AG4+AD4</f>
        <v>171.83954856060603</v>
      </c>
      <c r="K4" s="16">
        <f t="shared" si="3"/>
        <v>6.6092134061771555</v>
      </c>
      <c r="L4" s="15">
        <v>129</v>
      </c>
      <c r="M4" s="18">
        <f t="shared" ref="M4:M32" si="6">IFERROR(D4/L4,"-")</f>
        <v>0.20155038759689922</v>
      </c>
      <c r="N4" s="15">
        <v>120</v>
      </c>
      <c r="O4" s="19">
        <f t="shared" ref="O4:P4" si="7">D4/7</f>
        <v>3.7142857142857144</v>
      </c>
      <c r="P4" s="19">
        <f t="shared" si="7"/>
        <v>0</v>
      </c>
      <c r="Q4" s="15">
        <f t="shared" ref="Q4:Q32" si="8">ROUNDDOWN(N4/(O4+P4),0)</f>
        <v>32</v>
      </c>
      <c r="R4" s="15"/>
      <c r="S4" s="20">
        <v>1.7182539682539599</v>
      </c>
      <c r="T4" s="2">
        <v>600</v>
      </c>
      <c r="U4" s="2" t="s">
        <v>34</v>
      </c>
      <c r="V4" s="21" t="s">
        <v>34</v>
      </c>
      <c r="W4" s="22">
        <v>1</v>
      </c>
      <c r="X4" s="23">
        <f t="shared" ref="X4:X32" si="9">IFERROR(W4/D4,0)</f>
        <v>3.8461538461538464E-2</v>
      </c>
      <c r="Y4" s="24">
        <f t="shared" ref="Y4:Y32" si="10">IFERROR(G4/(W4+Z4)*-1,0)</f>
        <v>1.2699999999999998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0.52063194444444449</v>
      </c>
      <c r="AD4" s="24">
        <f t="shared" ref="AD4:AD32" si="12">IFERROR(AB4*AC4*D4*2,0)</f>
        <v>-18.680274166666667</v>
      </c>
      <c r="AE4" s="24">
        <v>-6.94</v>
      </c>
      <c r="AF4" s="24">
        <v>-11.57250681818182</v>
      </c>
      <c r="AG4" s="24">
        <v>0</v>
      </c>
    </row>
    <row r="5" spans="1:33" ht="15.75" customHeight="1" x14ac:dyDescent="0.2">
      <c r="A5" s="26" t="s">
        <v>35</v>
      </c>
      <c r="B5" s="2" t="s">
        <v>53</v>
      </c>
      <c r="C5" s="14">
        <f t="shared" si="4"/>
        <v>29.990000000000006</v>
      </c>
      <c r="D5" s="27">
        <v>32</v>
      </c>
      <c r="E5" s="27">
        <v>0</v>
      </c>
      <c r="F5" s="28">
        <v>959.68000000000018</v>
      </c>
      <c r="G5" s="28">
        <v>-1.7000000000000002</v>
      </c>
      <c r="H5" s="29">
        <f t="shared" si="1"/>
        <v>1.7714238079359786E-3</v>
      </c>
      <c r="I5" s="29">
        <f t="shared" si="2"/>
        <v>0.20695443714568015</v>
      </c>
      <c r="J5" s="30">
        <f t="shared" si="5"/>
        <v>198.61003423996635</v>
      </c>
      <c r="K5" s="30">
        <f t="shared" si="3"/>
        <v>6.2065635699989485</v>
      </c>
      <c r="L5" s="27">
        <v>228</v>
      </c>
      <c r="M5" s="31">
        <f t="shared" si="6"/>
        <v>0.14035087719298245</v>
      </c>
      <c r="N5" s="27">
        <v>223</v>
      </c>
      <c r="O5" s="32">
        <f t="shared" ref="O5:P5" si="13">D5/7</f>
        <v>4.5714285714285712</v>
      </c>
      <c r="P5" s="32">
        <f t="shared" si="13"/>
        <v>0</v>
      </c>
      <c r="Q5" s="27">
        <f t="shared" si="8"/>
        <v>48</v>
      </c>
      <c r="R5" s="27"/>
      <c r="S5" s="33">
        <v>1.57551020408163</v>
      </c>
      <c r="T5" s="26">
        <v>600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0.52123522595596761</v>
      </c>
      <c r="AD5" s="37">
        <f t="shared" si="12"/>
        <v>-23.017747578215527</v>
      </c>
      <c r="AE5" s="37">
        <v>-6.94</v>
      </c>
      <c r="AF5" s="37">
        <v>-11.57250681818182</v>
      </c>
      <c r="AG5" s="37">
        <v>0</v>
      </c>
    </row>
    <row r="6" spans="1:33" ht="15.75" customHeight="1" x14ac:dyDescent="0.2">
      <c r="A6" s="26" t="s">
        <v>38</v>
      </c>
      <c r="B6" s="2" t="s">
        <v>53</v>
      </c>
      <c r="C6" s="14">
        <f t="shared" si="4"/>
        <v>30.258888888888894</v>
      </c>
      <c r="D6" s="27">
        <v>18</v>
      </c>
      <c r="E6" s="27">
        <v>0</v>
      </c>
      <c r="F6" s="28">
        <v>544.66000000000008</v>
      </c>
      <c r="G6" s="28">
        <v>-1.8800000000000003</v>
      </c>
      <c r="H6" s="29">
        <f t="shared" si="1"/>
        <v>3.4516946351852533E-3</v>
      </c>
      <c r="I6" s="29">
        <f t="shared" si="2"/>
        <v>0.21100021990365972</v>
      </c>
      <c r="J6" s="30">
        <f t="shared" si="5"/>
        <v>114.92337977272732</v>
      </c>
      <c r="K6" s="30">
        <f t="shared" si="3"/>
        <v>6.3846322095959618</v>
      </c>
      <c r="L6" s="27">
        <v>195</v>
      </c>
      <c r="M6" s="31">
        <f t="shared" si="6"/>
        <v>9.2307692307692313E-2</v>
      </c>
      <c r="N6" s="27">
        <v>212</v>
      </c>
      <c r="O6" s="32">
        <f t="shared" ref="O6:P6" si="14">D6/7</f>
        <v>2.5714285714285716</v>
      </c>
      <c r="P6" s="32">
        <f t="shared" si="14"/>
        <v>0</v>
      </c>
      <c r="Q6" s="27">
        <f t="shared" si="8"/>
        <v>82</v>
      </c>
      <c r="R6" s="27"/>
      <c r="S6" s="33">
        <v>1.47193347193347</v>
      </c>
      <c r="T6" s="26" t="s">
        <v>34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0.52063194444444449</v>
      </c>
      <c r="AD6" s="37">
        <f t="shared" si="12"/>
        <v>-12.9324975</v>
      </c>
      <c r="AE6" s="37">
        <v>-6.94</v>
      </c>
      <c r="AF6" s="37">
        <v>-11.57250681818182</v>
      </c>
      <c r="AG6" s="37">
        <v>0</v>
      </c>
    </row>
    <row r="7" spans="1:33" ht="15.75" customHeight="1" x14ac:dyDescent="0.2">
      <c r="A7" s="26" t="s">
        <v>41</v>
      </c>
      <c r="B7" s="26" t="s">
        <v>1128</v>
      </c>
      <c r="C7" s="14">
        <f t="shared" si="4"/>
        <v>29.990000000000006</v>
      </c>
      <c r="D7" s="27">
        <v>26</v>
      </c>
      <c r="E7" s="27">
        <v>0</v>
      </c>
      <c r="F7" s="28">
        <v>779.74000000000012</v>
      </c>
      <c r="G7" s="28">
        <v>-1.5399999999999998</v>
      </c>
      <c r="H7" s="29">
        <f t="shared" si="1"/>
        <v>1.9750173134634617E-3</v>
      </c>
      <c r="I7" s="29">
        <f t="shared" si="2"/>
        <v>0.20677860384308375</v>
      </c>
      <c r="J7" s="30">
        <f t="shared" si="5"/>
        <v>161.23354856060615</v>
      </c>
      <c r="K7" s="30">
        <f t="shared" si="3"/>
        <v>6.2012903292540829</v>
      </c>
      <c r="L7" s="27">
        <v>215</v>
      </c>
      <c r="M7" s="31">
        <f t="shared" si="6"/>
        <v>0.12093023255813953</v>
      </c>
      <c r="N7" s="27">
        <v>185</v>
      </c>
      <c r="O7" s="32">
        <f t="shared" ref="O7:P7" si="15">D7/7</f>
        <v>3.7142857142857144</v>
      </c>
      <c r="P7" s="32">
        <f t="shared" si="15"/>
        <v>0</v>
      </c>
      <c r="Q7" s="27">
        <f t="shared" si="8"/>
        <v>49</v>
      </c>
      <c r="R7" s="27"/>
      <c r="S7" s="33">
        <v>1.5183867141162499</v>
      </c>
      <c r="T7" s="26" t="s">
        <v>34</v>
      </c>
      <c r="U7" s="34" t="s">
        <v>34</v>
      </c>
      <c r="V7" s="35"/>
      <c r="W7" s="26">
        <v>1</v>
      </c>
      <c r="X7" s="36">
        <f t="shared" si="9"/>
        <v>3.8461538461538464E-2</v>
      </c>
      <c r="Y7" s="37">
        <f t="shared" si="10"/>
        <v>1.5399999999999998</v>
      </c>
      <c r="Z7" s="26">
        <v>0</v>
      </c>
      <c r="AA7" s="26" t="s">
        <v>37</v>
      </c>
      <c r="AB7" s="38">
        <f t="shared" si="11"/>
        <v>-0.69</v>
      </c>
      <c r="AC7" s="39">
        <v>0.52063194444444449</v>
      </c>
      <c r="AD7" s="37">
        <f t="shared" si="12"/>
        <v>-18.680274166666667</v>
      </c>
      <c r="AE7" s="37">
        <v>-6.94</v>
      </c>
      <c r="AF7" s="37">
        <v>-11.57250681818182</v>
      </c>
      <c r="AG7" s="37">
        <v>0</v>
      </c>
    </row>
    <row r="8" spans="1:33" ht="15.75" customHeight="1" x14ac:dyDescent="0.2">
      <c r="A8" s="26" t="s">
        <v>43</v>
      </c>
      <c r="B8" s="26" t="s">
        <v>769</v>
      </c>
      <c r="C8" s="14">
        <f t="shared" si="4"/>
        <v>31.468260869565221</v>
      </c>
      <c r="D8" s="27">
        <v>23</v>
      </c>
      <c r="E8" s="27">
        <v>0</v>
      </c>
      <c r="F8" s="28">
        <v>723.7700000000001</v>
      </c>
      <c r="G8" s="28">
        <v>-0.74</v>
      </c>
      <c r="H8" s="29">
        <f t="shared" si="1"/>
        <v>1.0224242507979053E-3</v>
      </c>
      <c r="I8" s="29">
        <f t="shared" si="2"/>
        <v>0.23793420849625344</v>
      </c>
      <c r="J8" s="30">
        <f t="shared" si="5"/>
        <v>172.20964208333336</v>
      </c>
      <c r="K8" s="30">
        <f t="shared" si="3"/>
        <v>7.4873757427536249</v>
      </c>
      <c r="L8" s="27">
        <v>137</v>
      </c>
      <c r="M8" s="31">
        <f t="shared" si="6"/>
        <v>0.16788321167883211</v>
      </c>
      <c r="N8" s="27">
        <v>159</v>
      </c>
      <c r="O8" s="32">
        <f t="shared" ref="O8:P8" si="16">D8/7</f>
        <v>3.2857142857142856</v>
      </c>
      <c r="P8" s="32">
        <f t="shared" si="16"/>
        <v>0</v>
      </c>
      <c r="Q8" s="27">
        <f t="shared" si="8"/>
        <v>48</v>
      </c>
      <c r="R8" s="27"/>
      <c r="S8" s="33">
        <v>1.6885245901639301</v>
      </c>
      <c r="T8" s="26">
        <v>600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0.52063194444444449</v>
      </c>
      <c r="AD8" s="37">
        <f t="shared" si="12"/>
        <v>-16.524857916666669</v>
      </c>
      <c r="AE8" s="37">
        <v>-6.94</v>
      </c>
      <c r="AF8" s="37">
        <v>-11.57</v>
      </c>
      <c r="AG8" s="37">
        <v>0</v>
      </c>
    </row>
    <row r="9" spans="1:33" ht="15.75" customHeight="1" x14ac:dyDescent="0.2">
      <c r="A9" s="26" t="s">
        <v>45</v>
      </c>
      <c r="B9" s="2" t="s">
        <v>53</v>
      </c>
      <c r="C9" s="14">
        <f t="shared" si="4"/>
        <v>32.99</v>
      </c>
      <c r="D9" s="27">
        <v>13</v>
      </c>
      <c r="E9" s="27">
        <v>5</v>
      </c>
      <c r="F9" s="28">
        <v>428.87000000000006</v>
      </c>
      <c r="G9" s="28">
        <v>-1.5200000000000002</v>
      </c>
      <c r="H9" s="29">
        <f t="shared" si="1"/>
        <v>3.5441975423788096E-3</v>
      </c>
      <c r="I9" s="29">
        <f t="shared" si="2"/>
        <v>0.2479367115026036</v>
      </c>
      <c r="J9" s="30">
        <f t="shared" si="5"/>
        <v>106.33261746212162</v>
      </c>
      <c r="K9" s="30">
        <f t="shared" si="3"/>
        <v>8.1794321124708933</v>
      </c>
      <c r="L9" s="27">
        <v>188</v>
      </c>
      <c r="M9" s="31">
        <f t="shared" si="6"/>
        <v>6.9148936170212769E-2</v>
      </c>
      <c r="N9" s="27">
        <v>146</v>
      </c>
      <c r="O9" s="32">
        <f t="shared" ref="O9:P9" si="17">D9/7</f>
        <v>1.8571428571428572</v>
      </c>
      <c r="P9" s="32">
        <f t="shared" si="17"/>
        <v>0.7142857142857143</v>
      </c>
      <c r="Q9" s="27">
        <f t="shared" si="8"/>
        <v>56</v>
      </c>
      <c r="R9" s="27"/>
      <c r="S9" s="33">
        <v>1.5006402048655501</v>
      </c>
      <c r="T9" s="26">
        <v>600</v>
      </c>
      <c r="U9" s="34">
        <v>240</v>
      </c>
      <c r="V9" s="35" t="s">
        <v>1345</v>
      </c>
      <c r="W9" s="26">
        <v>1</v>
      </c>
      <c r="X9" s="36">
        <f t="shared" si="9"/>
        <v>7.6923076923076927E-2</v>
      </c>
      <c r="Y9" s="37">
        <f t="shared" si="10"/>
        <v>0.76000000000000012</v>
      </c>
      <c r="Z9" s="26">
        <v>1</v>
      </c>
      <c r="AA9" s="26" t="s">
        <v>37</v>
      </c>
      <c r="AB9" s="38">
        <f t="shared" si="11"/>
        <v>-0.69</v>
      </c>
      <c r="AC9" s="39">
        <v>0.52063194444444449</v>
      </c>
      <c r="AD9" s="37">
        <f t="shared" si="12"/>
        <v>-9.3401370833333335</v>
      </c>
      <c r="AE9" s="37">
        <v>-6.94</v>
      </c>
      <c r="AF9" s="37">
        <v>-12.086672727272701</v>
      </c>
      <c r="AG9" s="37">
        <v>0</v>
      </c>
    </row>
    <row r="10" spans="1:33" ht="15.75" customHeight="1" x14ac:dyDescent="0.2">
      <c r="A10" s="26" t="s">
        <v>48</v>
      </c>
      <c r="B10" s="2" t="s">
        <v>53</v>
      </c>
      <c r="C10" s="14">
        <f t="shared" si="4"/>
        <v>32.99</v>
      </c>
      <c r="D10" s="27">
        <v>27</v>
      </c>
      <c r="E10" s="27">
        <v>0</v>
      </c>
      <c r="F10" s="28">
        <v>890.73000000000013</v>
      </c>
      <c r="G10" s="28">
        <v>-1.2</v>
      </c>
      <c r="H10" s="29">
        <f t="shared" si="1"/>
        <v>1.3472095921322957E-3</v>
      </c>
      <c r="I10" s="29">
        <f t="shared" si="2"/>
        <v>0.25013369945284997</v>
      </c>
      <c r="J10" s="30">
        <f t="shared" si="5"/>
        <v>222.80159011363708</v>
      </c>
      <c r="K10" s="30">
        <f t="shared" si="3"/>
        <v>8.2519107449495213</v>
      </c>
      <c r="L10" s="27">
        <v>143</v>
      </c>
      <c r="M10" s="31">
        <f t="shared" si="6"/>
        <v>0.1888111888111888</v>
      </c>
      <c r="N10" s="27">
        <v>122</v>
      </c>
      <c r="O10" s="32">
        <f t="shared" ref="O10:P10" si="18">D10/7</f>
        <v>3.8571428571428572</v>
      </c>
      <c r="P10" s="32">
        <f t="shared" si="18"/>
        <v>0</v>
      </c>
      <c r="Q10" s="27">
        <f t="shared" si="8"/>
        <v>31</v>
      </c>
      <c r="R10" s="27"/>
      <c r="S10" s="33">
        <v>1.69911504424778</v>
      </c>
      <c r="T10" s="26">
        <v>600</v>
      </c>
      <c r="U10" s="34">
        <v>240</v>
      </c>
      <c r="V10" s="35" t="s">
        <v>1346</v>
      </c>
      <c r="W10" s="26">
        <v>0</v>
      </c>
      <c r="X10" s="36">
        <f t="shared" si="9"/>
        <v>0</v>
      </c>
      <c r="Y10" s="37">
        <f t="shared" si="10"/>
        <v>1.2</v>
      </c>
      <c r="Z10" s="26">
        <v>1</v>
      </c>
      <c r="AA10" s="26" t="s">
        <v>37</v>
      </c>
      <c r="AB10" s="38">
        <f t="shared" si="11"/>
        <v>-0.69</v>
      </c>
      <c r="AC10" s="39">
        <v>0.52063194444444449</v>
      </c>
      <c r="AD10" s="37">
        <f t="shared" si="12"/>
        <v>-19.398746250000002</v>
      </c>
      <c r="AE10" s="37">
        <v>-6.94</v>
      </c>
      <c r="AF10" s="37">
        <v>-12.086672727272701</v>
      </c>
      <c r="AG10" s="37">
        <v>0</v>
      </c>
    </row>
    <row r="11" spans="1:33" ht="15.75" customHeight="1" x14ac:dyDescent="0.2">
      <c r="A11" s="26" t="s">
        <v>50</v>
      </c>
      <c r="B11" s="2" t="s">
        <v>53</v>
      </c>
      <c r="C11" s="14">
        <f t="shared" si="4"/>
        <v>32.99</v>
      </c>
      <c r="D11" s="27">
        <v>15</v>
      </c>
      <c r="E11" s="27">
        <v>0</v>
      </c>
      <c r="F11" s="28">
        <v>494.85000000000008</v>
      </c>
      <c r="G11" s="28">
        <v>-1.04</v>
      </c>
      <c r="H11" s="29">
        <f t="shared" si="1"/>
        <v>2.1016469637263817E-3</v>
      </c>
      <c r="I11" s="29">
        <f t="shared" si="2"/>
        <v>0.24937926208125594</v>
      </c>
      <c r="J11" s="30">
        <f t="shared" si="5"/>
        <v>123.40532784090952</v>
      </c>
      <c r="K11" s="30">
        <f t="shared" si="3"/>
        <v>8.2270218560606345</v>
      </c>
      <c r="L11" s="27">
        <v>134</v>
      </c>
      <c r="M11" s="31">
        <f t="shared" si="6"/>
        <v>0.11194029850746269</v>
      </c>
      <c r="N11" s="27">
        <v>107</v>
      </c>
      <c r="O11" s="32">
        <f t="shared" ref="O11:P11" si="19">D11/7</f>
        <v>2.1428571428571428</v>
      </c>
      <c r="P11" s="32">
        <f t="shared" si="19"/>
        <v>0</v>
      </c>
      <c r="Q11" s="27">
        <f t="shared" si="8"/>
        <v>49</v>
      </c>
      <c r="R11" s="27"/>
      <c r="S11" s="33">
        <v>1.5593220338983</v>
      </c>
      <c r="T11" s="26">
        <v>600</v>
      </c>
      <c r="U11" s="34">
        <v>240</v>
      </c>
      <c r="V11" s="35" t="s">
        <v>1346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0.52063194444444449</v>
      </c>
      <c r="AD11" s="37">
        <f t="shared" si="12"/>
        <v>-10.77708125</v>
      </c>
      <c r="AE11" s="37">
        <v>-6.94</v>
      </c>
      <c r="AF11" s="37">
        <v>-12.086672727272701</v>
      </c>
      <c r="AG11" s="37">
        <v>0</v>
      </c>
    </row>
    <row r="12" spans="1:33" ht="15.75" customHeight="1" x14ac:dyDescent="0.2">
      <c r="A12" s="26" t="s">
        <v>52</v>
      </c>
      <c r="B12" s="2" t="s">
        <v>53</v>
      </c>
      <c r="C12" s="14">
        <f t="shared" si="4"/>
        <v>32.99</v>
      </c>
      <c r="D12" s="27">
        <v>16</v>
      </c>
      <c r="E12" s="27">
        <v>0</v>
      </c>
      <c r="F12" s="28">
        <v>527.84</v>
      </c>
      <c r="G12" s="28">
        <v>-1.1700000000000002</v>
      </c>
      <c r="H12" s="29">
        <f t="shared" si="1"/>
        <v>2.2165807820551686E-3</v>
      </c>
      <c r="I12" s="29">
        <f t="shared" si="2"/>
        <v>0.24926432826292708</v>
      </c>
      <c r="J12" s="30">
        <f t="shared" si="5"/>
        <v>131.57168303030343</v>
      </c>
      <c r="K12" s="30">
        <f t="shared" si="3"/>
        <v>8.2232301893939646</v>
      </c>
      <c r="L12" s="27">
        <v>166</v>
      </c>
      <c r="M12" s="31">
        <f t="shared" si="6"/>
        <v>9.6385542168674704E-2</v>
      </c>
      <c r="N12" s="27">
        <v>89</v>
      </c>
      <c r="O12" s="32">
        <f t="shared" ref="O12:P12" si="20">D12/7</f>
        <v>2.2857142857142856</v>
      </c>
      <c r="P12" s="32">
        <f t="shared" si="20"/>
        <v>0</v>
      </c>
      <c r="Q12" s="27">
        <f t="shared" si="8"/>
        <v>38</v>
      </c>
      <c r="R12" s="27"/>
      <c r="S12" s="33">
        <v>1.7197452229299299</v>
      </c>
      <c r="T12" s="26">
        <v>600</v>
      </c>
      <c r="U12" s="34">
        <v>240</v>
      </c>
      <c r="V12" s="35" t="s">
        <v>1346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0.52063194444444449</v>
      </c>
      <c r="AD12" s="37">
        <f t="shared" si="12"/>
        <v>-11.495553333333334</v>
      </c>
      <c r="AE12" s="37">
        <v>-6.94</v>
      </c>
      <c r="AF12" s="37">
        <v>-12.086672727272701</v>
      </c>
      <c r="AG12" s="37">
        <v>0</v>
      </c>
    </row>
    <row r="13" spans="1:33" ht="15.75" customHeight="1" x14ac:dyDescent="0.2">
      <c r="A13" s="26" t="s">
        <v>54</v>
      </c>
      <c r="B13" s="2" t="s">
        <v>53</v>
      </c>
      <c r="C13" s="14">
        <f t="shared" si="4"/>
        <v>31.049411764705884</v>
      </c>
      <c r="D13" s="27">
        <v>17</v>
      </c>
      <c r="E13" s="27">
        <v>0</v>
      </c>
      <c r="F13" s="30">
        <v>527.84</v>
      </c>
      <c r="G13" s="28">
        <v>-1.77</v>
      </c>
      <c r="H13" s="29">
        <f t="shared" si="1"/>
        <v>3.3532888754167927E-3</v>
      </c>
      <c r="I13" s="29">
        <f t="shared" si="2"/>
        <v>0.20200459685040209</v>
      </c>
      <c r="J13" s="30">
        <f t="shared" si="5"/>
        <v>106.62610640151624</v>
      </c>
      <c r="K13" s="30">
        <f t="shared" si="3"/>
        <v>6.2721239059715437</v>
      </c>
      <c r="L13" s="27">
        <v>113</v>
      </c>
      <c r="M13" s="31">
        <f t="shared" si="6"/>
        <v>0.15044247787610621</v>
      </c>
      <c r="N13" s="27">
        <v>75</v>
      </c>
      <c r="O13" s="32">
        <f t="shared" ref="O13:P13" si="21">D13/7</f>
        <v>2.4285714285714284</v>
      </c>
      <c r="P13" s="32">
        <f t="shared" si="21"/>
        <v>0</v>
      </c>
      <c r="Q13" s="27">
        <f t="shared" si="8"/>
        <v>30</v>
      </c>
      <c r="R13" s="27"/>
      <c r="S13" s="33">
        <v>1.8299319727891099</v>
      </c>
      <c r="T13" s="26">
        <v>600</v>
      </c>
      <c r="U13" s="34">
        <v>240</v>
      </c>
      <c r="V13" s="35" t="s">
        <v>1346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0.52063194444444449</v>
      </c>
      <c r="AD13" s="37">
        <f t="shared" si="12"/>
        <v>-12.214025416666667</v>
      </c>
      <c r="AE13" s="37">
        <v>-6.94</v>
      </c>
      <c r="AF13" s="37">
        <v>-12.3572863636363</v>
      </c>
      <c r="AG13" s="37">
        <v>0</v>
      </c>
    </row>
    <row r="14" spans="1:33" ht="15.75" customHeight="1" x14ac:dyDescent="0.2">
      <c r="A14" s="26" t="s">
        <v>56</v>
      </c>
      <c r="B14" s="26" t="s">
        <v>238</v>
      </c>
      <c r="C14" s="14">
        <f t="shared" si="4"/>
        <v>32.99</v>
      </c>
      <c r="D14" s="27">
        <v>34</v>
      </c>
      <c r="E14" s="27">
        <v>0</v>
      </c>
      <c r="F14" s="30">
        <v>1121.6600000000001</v>
      </c>
      <c r="G14" s="28">
        <v>-2.42</v>
      </c>
      <c r="H14" s="29">
        <f t="shared" si="1"/>
        <v>2.1575165379883383E-3</v>
      </c>
      <c r="I14" s="29">
        <f t="shared" si="2"/>
        <v>0.24112049355690007</v>
      </c>
      <c r="J14" s="30">
        <f t="shared" si="5"/>
        <v>270.45521280303257</v>
      </c>
      <c r="K14" s="30">
        <f t="shared" si="3"/>
        <v>7.9545650824421346</v>
      </c>
      <c r="L14" s="27">
        <v>180</v>
      </c>
      <c r="M14" s="31">
        <f t="shared" si="6"/>
        <v>0.18888888888888888</v>
      </c>
      <c r="N14" s="27">
        <v>46</v>
      </c>
      <c r="O14" s="32">
        <f t="shared" ref="O14:P14" si="22">D14/7</f>
        <v>4.8571428571428568</v>
      </c>
      <c r="P14" s="32">
        <f t="shared" si="22"/>
        <v>0</v>
      </c>
      <c r="Q14" s="27">
        <f t="shared" si="8"/>
        <v>9</v>
      </c>
      <c r="R14" s="27"/>
      <c r="S14" s="33">
        <v>1.9050966608084301</v>
      </c>
      <c r="T14" s="26">
        <v>600</v>
      </c>
      <c r="U14" s="34">
        <v>240</v>
      </c>
      <c r="V14" s="35" t="s">
        <v>1347</v>
      </c>
      <c r="W14" s="26">
        <v>4</v>
      </c>
      <c r="X14" s="36">
        <f t="shared" si="9"/>
        <v>0.11764705882352941</v>
      </c>
      <c r="Y14" s="37">
        <f t="shared" si="10"/>
        <v>0.48399999999999999</v>
      </c>
      <c r="Z14" s="26">
        <v>1</v>
      </c>
      <c r="AA14" s="26" t="s">
        <v>37</v>
      </c>
      <c r="AB14" s="38">
        <f t="shared" si="11"/>
        <v>-0.69</v>
      </c>
      <c r="AC14" s="39">
        <v>0.52063194444444449</v>
      </c>
      <c r="AD14" s="37">
        <f t="shared" si="12"/>
        <v>-24.428050833333334</v>
      </c>
      <c r="AE14" s="37">
        <v>-6.94</v>
      </c>
      <c r="AF14" s="37">
        <v>-12.3572863636363</v>
      </c>
      <c r="AG14" s="37">
        <v>0</v>
      </c>
    </row>
    <row r="15" spans="1:33" ht="15.75" customHeight="1" x14ac:dyDescent="0.2">
      <c r="A15" s="26" t="s">
        <v>58</v>
      </c>
      <c r="B15" s="2" t="s">
        <v>53</v>
      </c>
      <c r="C15" s="14">
        <f t="shared" si="4"/>
        <v>33.759230769230776</v>
      </c>
      <c r="D15" s="27">
        <v>13</v>
      </c>
      <c r="E15" s="27">
        <v>0</v>
      </c>
      <c r="F15" s="30">
        <v>438.87000000000006</v>
      </c>
      <c r="G15" s="28">
        <v>-2.25</v>
      </c>
      <c r="H15" s="29">
        <f t="shared" si="1"/>
        <v>5.1268029256955356E-3</v>
      </c>
      <c r="I15" s="29">
        <f t="shared" si="2"/>
        <v>0.2519758474933233</v>
      </c>
      <c r="J15" s="30">
        <f t="shared" si="5"/>
        <v>110.5846401893948</v>
      </c>
      <c r="K15" s="30">
        <f t="shared" si="3"/>
        <v>8.5065107837995999</v>
      </c>
      <c r="L15" s="27">
        <v>131</v>
      </c>
      <c r="M15" s="31">
        <f t="shared" si="6"/>
        <v>9.9236641221374045E-2</v>
      </c>
      <c r="N15" s="27">
        <v>30</v>
      </c>
      <c r="O15" s="32">
        <f t="shared" ref="O15:P15" si="23">D15/7</f>
        <v>1.8571428571428572</v>
      </c>
      <c r="P15" s="32">
        <f t="shared" si="23"/>
        <v>0</v>
      </c>
      <c r="Q15" s="27">
        <f t="shared" si="8"/>
        <v>16</v>
      </c>
      <c r="R15" s="27"/>
      <c r="S15" s="33">
        <v>1.77926421404682</v>
      </c>
      <c r="T15" s="26">
        <v>1524</v>
      </c>
      <c r="U15" s="34" t="s">
        <v>34</v>
      </c>
      <c r="V15" s="35" t="s">
        <v>1348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0.52063194444444449</v>
      </c>
      <c r="AD15" s="37">
        <f t="shared" si="12"/>
        <v>-9.3401370833333335</v>
      </c>
      <c r="AE15" s="37">
        <v>-6.94</v>
      </c>
      <c r="AF15" s="37">
        <v>-12.3572863636363</v>
      </c>
      <c r="AG15" s="37">
        <v>0</v>
      </c>
    </row>
    <row r="16" spans="1:33" ht="15.75" customHeight="1" x14ac:dyDescent="0.2">
      <c r="A16" s="26" t="s">
        <v>60</v>
      </c>
      <c r="B16" s="26" t="s">
        <v>1349</v>
      </c>
      <c r="C16" s="14">
        <f t="shared" si="4"/>
        <v>32.201052631578953</v>
      </c>
      <c r="D16" s="27">
        <v>19</v>
      </c>
      <c r="E16" s="27">
        <v>0</v>
      </c>
      <c r="F16" s="30">
        <v>611.82000000000005</v>
      </c>
      <c r="G16" s="28">
        <v>-3.3300000000000005</v>
      </c>
      <c r="H16" s="29">
        <f t="shared" si="1"/>
        <v>5.442777287437482E-3</v>
      </c>
      <c r="I16" s="29">
        <f t="shared" si="2"/>
        <v>0.22297013747111397</v>
      </c>
      <c r="J16" s="30">
        <f t="shared" si="5"/>
        <v>136.41758950757696</v>
      </c>
      <c r="K16" s="30">
        <f t="shared" si="3"/>
        <v>7.1798731319777351</v>
      </c>
      <c r="L16" s="27">
        <v>171</v>
      </c>
      <c r="M16" s="31">
        <f t="shared" si="6"/>
        <v>0.1111111111111111</v>
      </c>
      <c r="N16" s="27">
        <v>11</v>
      </c>
      <c r="O16" s="32">
        <f t="shared" ref="O16:P16" si="24">D16/7</f>
        <v>2.7142857142857144</v>
      </c>
      <c r="P16" s="32">
        <f t="shared" si="24"/>
        <v>0</v>
      </c>
      <c r="Q16" s="27">
        <f t="shared" si="8"/>
        <v>4</v>
      </c>
      <c r="R16" s="27"/>
      <c r="S16" s="33">
        <v>1.9924812030075101</v>
      </c>
      <c r="T16" s="26">
        <v>1020</v>
      </c>
      <c r="U16" s="34" t="s">
        <v>34</v>
      </c>
      <c r="V16" s="35" t="s">
        <v>1348</v>
      </c>
      <c r="W16" s="26">
        <v>1</v>
      </c>
      <c r="X16" s="36">
        <f t="shared" si="9"/>
        <v>5.2631578947368418E-2</v>
      </c>
      <c r="Y16" s="37">
        <f t="shared" si="10"/>
        <v>3.3300000000000005</v>
      </c>
      <c r="Z16" s="26">
        <v>0</v>
      </c>
      <c r="AA16" s="26" t="s">
        <v>37</v>
      </c>
      <c r="AB16" s="38">
        <f t="shared" si="11"/>
        <v>-0.69</v>
      </c>
      <c r="AC16" s="39">
        <v>0.52063194444444449</v>
      </c>
      <c r="AD16" s="37">
        <f t="shared" si="12"/>
        <v>-13.650969583333334</v>
      </c>
      <c r="AE16" s="37">
        <v>-6.94</v>
      </c>
      <c r="AF16" s="37">
        <v>-12.3572863636363</v>
      </c>
      <c r="AG16" s="37">
        <v>0</v>
      </c>
    </row>
    <row r="17" spans="1:33" ht="15.75" customHeight="1" x14ac:dyDescent="0.2">
      <c r="A17" s="26" t="s">
        <v>61</v>
      </c>
      <c r="B17" s="26" t="s">
        <v>1350</v>
      </c>
      <c r="C17" s="14">
        <f t="shared" si="4"/>
        <v>33.99</v>
      </c>
      <c r="D17" s="27">
        <v>6</v>
      </c>
      <c r="E17" s="27">
        <v>0</v>
      </c>
      <c r="F17" s="30">
        <v>203.94000000000003</v>
      </c>
      <c r="G17" s="28">
        <v>-6.4300000000000015</v>
      </c>
      <c r="H17" s="29">
        <f t="shared" si="1"/>
        <v>3.1528881043444153E-2</v>
      </c>
      <c r="I17" s="29">
        <f t="shared" si="2"/>
        <v>0.22959914346465723</v>
      </c>
      <c r="J17" s="30">
        <f t="shared" si="5"/>
        <v>46.824449318182204</v>
      </c>
      <c r="K17" s="30">
        <f t="shared" si="3"/>
        <v>7.8040748863637006</v>
      </c>
      <c r="L17" s="27">
        <v>176</v>
      </c>
      <c r="M17" s="31">
        <f t="shared" si="6"/>
        <v>3.4090909090909088E-2</v>
      </c>
      <c r="N17" s="27">
        <v>141</v>
      </c>
      <c r="O17" s="32">
        <f t="shared" ref="O17:P17" si="25">D17/7</f>
        <v>0.8571428571428571</v>
      </c>
      <c r="P17" s="32">
        <f t="shared" si="25"/>
        <v>0</v>
      </c>
      <c r="Q17" s="27">
        <f t="shared" si="8"/>
        <v>164</v>
      </c>
      <c r="R17" s="27"/>
      <c r="S17" s="33">
        <v>2.3612334801762098</v>
      </c>
      <c r="T17" s="26">
        <v>1020</v>
      </c>
      <c r="U17" s="34" t="s">
        <v>34</v>
      </c>
      <c r="V17" s="35" t="s">
        <v>1348</v>
      </c>
      <c r="W17" s="26">
        <v>0</v>
      </c>
      <c r="X17" s="36">
        <f t="shared" si="9"/>
        <v>0</v>
      </c>
      <c r="Y17" s="37">
        <f t="shared" si="10"/>
        <v>3.2150000000000007</v>
      </c>
      <c r="Z17" s="26">
        <v>2</v>
      </c>
      <c r="AA17" s="26" t="s">
        <v>37</v>
      </c>
      <c r="AB17" s="38">
        <f t="shared" si="11"/>
        <v>-0.69</v>
      </c>
      <c r="AC17" s="39">
        <v>0.52063194444444449</v>
      </c>
      <c r="AD17" s="37">
        <f t="shared" si="12"/>
        <v>-4.3108325000000001</v>
      </c>
      <c r="AE17" s="37">
        <v>-6.94</v>
      </c>
      <c r="AF17" s="37">
        <v>-12.3572863636363</v>
      </c>
      <c r="AG17" s="37">
        <v>0</v>
      </c>
    </row>
    <row r="18" spans="1:33" ht="15.75" customHeight="1" x14ac:dyDescent="0.2">
      <c r="A18" s="26" t="s">
        <v>62</v>
      </c>
      <c r="B18" s="2" t="s">
        <v>53</v>
      </c>
      <c r="C18" s="14">
        <f t="shared" si="4"/>
        <v>31.483448275862081</v>
      </c>
      <c r="D18" s="27">
        <v>29</v>
      </c>
      <c r="E18" s="27">
        <v>0</v>
      </c>
      <c r="F18" s="30">
        <v>913.02000000000032</v>
      </c>
      <c r="G18" s="28">
        <v>-5.26</v>
      </c>
      <c r="H18" s="29">
        <f t="shared" si="1"/>
        <v>5.7611005235372699E-3</v>
      </c>
      <c r="I18" s="29">
        <f t="shared" si="2"/>
        <v>0.20848393796179798</v>
      </c>
      <c r="J18" s="30">
        <f t="shared" si="5"/>
        <v>190.35000503788086</v>
      </c>
      <c r="K18" s="30">
        <f t="shared" si="3"/>
        <v>6.5637932771683056</v>
      </c>
      <c r="L18" s="27">
        <v>213</v>
      </c>
      <c r="M18" s="31">
        <f t="shared" si="6"/>
        <v>0.13615023474178403</v>
      </c>
      <c r="N18" s="27">
        <v>200</v>
      </c>
      <c r="O18" s="32">
        <f t="shared" ref="O18:P18" si="26">D18/7</f>
        <v>4.1428571428571432</v>
      </c>
      <c r="P18" s="32">
        <f t="shared" si="26"/>
        <v>0</v>
      </c>
      <c r="Q18" s="27">
        <f t="shared" si="8"/>
        <v>48</v>
      </c>
      <c r="R18" s="27"/>
      <c r="S18" s="33">
        <v>1.5709779179810699</v>
      </c>
      <c r="T18" s="26">
        <v>858</v>
      </c>
      <c r="U18" s="34">
        <v>198</v>
      </c>
      <c r="V18" s="35" t="s">
        <v>1351</v>
      </c>
      <c r="W18" s="26">
        <v>1</v>
      </c>
      <c r="X18" s="36">
        <f t="shared" si="9"/>
        <v>3.4482758620689655E-2</v>
      </c>
      <c r="Y18" s="37">
        <f t="shared" si="10"/>
        <v>1.7533333333333332</v>
      </c>
      <c r="Z18" s="26">
        <v>2</v>
      </c>
      <c r="AA18" s="26" t="s">
        <v>37</v>
      </c>
      <c r="AB18" s="38">
        <f t="shared" si="11"/>
        <v>-0.69</v>
      </c>
      <c r="AC18" s="39">
        <v>0.52063194444444449</v>
      </c>
      <c r="AD18" s="37">
        <f t="shared" si="12"/>
        <v>-20.835690416666665</v>
      </c>
      <c r="AE18" s="37">
        <v>-6.94</v>
      </c>
      <c r="AF18" s="37">
        <v>-12.3572863636363</v>
      </c>
      <c r="AG18" s="37">
        <v>0</v>
      </c>
    </row>
    <row r="19" spans="1:33" ht="15.75" customHeight="1" x14ac:dyDescent="0.2">
      <c r="A19" s="26" t="s">
        <v>64</v>
      </c>
      <c r="B19" s="26" t="s">
        <v>1341</v>
      </c>
      <c r="C19" s="14">
        <f t="shared" si="4"/>
        <v>30.304666666666662</v>
      </c>
      <c r="D19" s="27">
        <v>60</v>
      </c>
      <c r="E19" s="27">
        <v>0</v>
      </c>
      <c r="F19" s="30">
        <v>1818.2799999999997</v>
      </c>
      <c r="G19" s="28">
        <v>-4.8099999999999996</v>
      </c>
      <c r="H19" s="29">
        <f t="shared" si="1"/>
        <v>2.6453571507138616E-3</v>
      </c>
      <c r="I19" s="29">
        <f t="shared" si="2"/>
        <v>0.18687028025486618</v>
      </c>
      <c r="J19" s="30">
        <f t="shared" si="5"/>
        <v>339.78249318181804</v>
      </c>
      <c r="K19" s="30">
        <f t="shared" si="3"/>
        <v>5.6630415530303004</v>
      </c>
      <c r="L19" s="27">
        <v>313</v>
      </c>
      <c r="M19" s="31">
        <f t="shared" si="6"/>
        <v>0.19169329073482427</v>
      </c>
      <c r="N19" s="27">
        <v>159</v>
      </c>
      <c r="O19" s="32">
        <f t="shared" ref="O19:P19" si="27">D19/7</f>
        <v>8.5714285714285712</v>
      </c>
      <c r="P19" s="32">
        <f t="shared" si="27"/>
        <v>0</v>
      </c>
      <c r="Q19" s="27">
        <f t="shared" si="8"/>
        <v>18</v>
      </c>
      <c r="R19" s="27"/>
      <c r="S19" s="33">
        <v>1.7080062794348501</v>
      </c>
      <c r="T19" s="26">
        <v>708</v>
      </c>
      <c r="U19" s="34">
        <v>198</v>
      </c>
      <c r="V19" s="35" t="s">
        <v>1351</v>
      </c>
      <c r="W19" s="26">
        <v>3</v>
      </c>
      <c r="X19" s="36">
        <f t="shared" si="9"/>
        <v>0.05</v>
      </c>
      <c r="Y19" s="37">
        <f t="shared" si="10"/>
        <v>1.2024999999999999</v>
      </c>
      <c r="Z19" s="26">
        <v>1</v>
      </c>
      <c r="AA19" s="26" t="s">
        <v>37</v>
      </c>
      <c r="AB19" s="38">
        <f t="shared" si="11"/>
        <v>-0.69</v>
      </c>
      <c r="AC19" s="39">
        <v>0.52063194444444449</v>
      </c>
      <c r="AD19" s="37">
        <f t="shared" si="12"/>
        <v>-43.108325000000001</v>
      </c>
      <c r="AE19" s="37">
        <v>-6.94</v>
      </c>
      <c r="AF19" s="37">
        <v>-12.357286363636364</v>
      </c>
      <c r="AG19" s="37">
        <v>0</v>
      </c>
    </row>
    <row r="20" spans="1:33" ht="15.75" customHeight="1" x14ac:dyDescent="0.2">
      <c r="A20" s="26" t="s">
        <v>65</v>
      </c>
      <c r="B20" s="26" t="s">
        <v>774</v>
      </c>
      <c r="C20" s="14">
        <f t="shared" si="4"/>
        <v>34.102105263157888</v>
      </c>
      <c r="D20" s="27">
        <v>38</v>
      </c>
      <c r="E20" s="27">
        <v>1</v>
      </c>
      <c r="F20" s="30">
        <v>1295.8799999999999</v>
      </c>
      <c r="G20" s="28">
        <v>-6.1000000000000005</v>
      </c>
      <c r="H20" s="29">
        <f t="shared" si="1"/>
        <v>4.7072259777139868E-3</v>
      </c>
      <c r="I20" s="29">
        <f t="shared" si="2"/>
        <v>0.25835662176679275</v>
      </c>
      <c r="J20" s="30">
        <f t="shared" si="5"/>
        <v>334.79917901515137</v>
      </c>
      <c r="K20" s="30">
        <f t="shared" si="3"/>
        <v>8.8105047109250361</v>
      </c>
      <c r="L20" s="27">
        <v>245</v>
      </c>
      <c r="M20" s="31">
        <f t="shared" si="6"/>
        <v>0.15510204081632653</v>
      </c>
      <c r="N20" s="27">
        <v>111</v>
      </c>
      <c r="O20" s="32">
        <f t="shared" ref="O20:P20" si="28">D20/7</f>
        <v>5.4285714285714288</v>
      </c>
      <c r="P20" s="32">
        <f t="shared" si="28"/>
        <v>0.14285714285714285</v>
      </c>
      <c r="Q20" s="27">
        <f t="shared" si="8"/>
        <v>19</v>
      </c>
      <c r="R20" s="27"/>
      <c r="S20" s="33">
        <v>2.4296875</v>
      </c>
      <c r="T20" s="26">
        <v>708</v>
      </c>
      <c r="U20" s="34">
        <v>198</v>
      </c>
      <c r="V20" s="35" t="s">
        <v>1351</v>
      </c>
      <c r="W20" s="26">
        <v>2</v>
      </c>
      <c r="X20" s="36">
        <f t="shared" si="9"/>
        <v>5.2631578947368418E-2</v>
      </c>
      <c r="Y20" s="37">
        <f t="shared" si="10"/>
        <v>2.0333333333333337</v>
      </c>
      <c r="Z20" s="26">
        <v>1</v>
      </c>
      <c r="AA20" s="26" t="s">
        <v>37</v>
      </c>
      <c r="AB20" s="38">
        <f t="shared" si="11"/>
        <v>-0.69</v>
      </c>
      <c r="AC20" s="39">
        <v>0.52063194444444449</v>
      </c>
      <c r="AD20" s="37">
        <f t="shared" si="12"/>
        <v>-27.301939166666667</v>
      </c>
      <c r="AE20" s="37">
        <v>-6.94</v>
      </c>
      <c r="AF20" s="37">
        <v>-12.357286363636364</v>
      </c>
      <c r="AG20" s="37">
        <v>0</v>
      </c>
    </row>
    <row r="21" spans="1:33" ht="15.75" customHeight="1" x14ac:dyDescent="0.2">
      <c r="A21" s="26" t="s">
        <v>66</v>
      </c>
      <c r="B21" s="26" t="s">
        <v>1113</v>
      </c>
      <c r="C21" s="14">
        <f t="shared" si="4"/>
        <v>38.515128205128207</v>
      </c>
      <c r="D21" s="27">
        <v>39</v>
      </c>
      <c r="E21" s="27">
        <v>0</v>
      </c>
      <c r="F21" s="30">
        <v>1502.0900000000001</v>
      </c>
      <c r="G21" s="28">
        <v>-5.0999999999999996</v>
      </c>
      <c r="H21" s="29">
        <f t="shared" si="1"/>
        <v>3.3952692581669533E-3</v>
      </c>
      <c r="I21" s="29">
        <f t="shared" si="2"/>
        <v>0.32691910642383737</v>
      </c>
      <c r="J21" s="30">
        <f t="shared" si="5"/>
        <v>491.06192056818196</v>
      </c>
      <c r="K21" s="30">
        <f t="shared" si="3"/>
        <v>12.59133129662005</v>
      </c>
      <c r="L21" s="27">
        <v>116</v>
      </c>
      <c r="M21" s="31">
        <f t="shared" si="6"/>
        <v>0.33620689655172414</v>
      </c>
      <c r="N21" s="27">
        <v>79</v>
      </c>
      <c r="O21" s="32">
        <f t="shared" ref="O21:P21" si="29">D21/7</f>
        <v>5.5714285714285712</v>
      </c>
      <c r="P21" s="32">
        <f t="shared" si="29"/>
        <v>0</v>
      </c>
      <c r="Q21" s="27">
        <f t="shared" si="8"/>
        <v>14</v>
      </c>
      <c r="R21" s="27"/>
      <c r="S21" s="33">
        <v>3.1143552311435498</v>
      </c>
      <c r="T21" s="26" t="s">
        <v>34</v>
      </c>
      <c r="U21" s="34" t="s">
        <v>34</v>
      </c>
      <c r="V21" s="35" t="s">
        <v>34</v>
      </c>
      <c r="W21" s="26">
        <v>4</v>
      </c>
      <c r="X21" s="36">
        <f t="shared" si="9"/>
        <v>0.10256410256410256</v>
      </c>
      <c r="Y21" s="37">
        <f t="shared" si="10"/>
        <v>1.2749999999999999</v>
      </c>
      <c r="Z21" s="26">
        <v>0</v>
      </c>
      <c r="AA21" s="26" t="s">
        <v>37</v>
      </c>
      <c r="AB21" s="38">
        <f t="shared" si="11"/>
        <v>-0.69</v>
      </c>
      <c r="AC21" s="39">
        <v>0.52063194444444449</v>
      </c>
      <c r="AD21" s="37">
        <f t="shared" si="12"/>
        <v>-28.020411250000002</v>
      </c>
      <c r="AE21" s="37">
        <v>-6.94</v>
      </c>
      <c r="AF21" s="37">
        <v>-12.357286363636364</v>
      </c>
      <c r="AG21" s="37">
        <v>0</v>
      </c>
    </row>
    <row r="22" spans="1:33" ht="15.75" customHeight="1" x14ac:dyDescent="0.2">
      <c r="A22" s="26" t="s">
        <v>67</v>
      </c>
      <c r="B22" s="26" t="s">
        <v>1352</v>
      </c>
      <c r="C22" s="14">
        <f t="shared" si="4"/>
        <v>41.399756097560982</v>
      </c>
      <c r="D22" s="27">
        <v>41</v>
      </c>
      <c r="E22" s="27">
        <v>1</v>
      </c>
      <c r="F22" s="28">
        <v>1697.3900000000003</v>
      </c>
      <c r="G22" s="28">
        <v>-4.84</v>
      </c>
      <c r="H22" s="29">
        <f t="shared" si="1"/>
        <v>2.8514366173949409E-3</v>
      </c>
      <c r="I22" s="29">
        <f t="shared" si="2"/>
        <v>0.36367328879882799</v>
      </c>
      <c r="J22" s="30">
        <f t="shared" si="5"/>
        <v>617.29540367424272</v>
      </c>
      <c r="K22" s="30">
        <f t="shared" si="3"/>
        <v>15.055985455469335</v>
      </c>
      <c r="L22" s="27">
        <v>183</v>
      </c>
      <c r="M22" s="31">
        <f t="shared" si="6"/>
        <v>0.22404371584699453</v>
      </c>
      <c r="N22" s="27">
        <v>40</v>
      </c>
      <c r="O22" s="32">
        <f t="shared" ref="O22:P22" si="30">D22/7</f>
        <v>5.8571428571428568</v>
      </c>
      <c r="P22" s="32">
        <f t="shared" si="30"/>
        <v>0.14285714285714285</v>
      </c>
      <c r="Q22" s="27">
        <f t="shared" si="8"/>
        <v>6</v>
      </c>
      <c r="R22" s="27"/>
      <c r="S22" s="33">
        <v>2.8631578947368399</v>
      </c>
      <c r="T22" s="26" t="s">
        <v>34</v>
      </c>
      <c r="U22" s="34" t="s">
        <v>34</v>
      </c>
      <c r="V22" s="35" t="s">
        <v>34</v>
      </c>
      <c r="W22" s="26">
        <v>4</v>
      </c>
      <c r="X22" s="36">
        <f t="shared" si="9"/>
        <v>9.7560975609756101E-2</v>
      </c>
      <c r="Y22" s="37">
        <f t="shared" si="10"/>
        <v>0.96799999999999997</v>
      </c>
      <c r="Z22" s="26">
        <v>1</v>
      </c>
      <c r="AA22" s="26" t="s">
        <v>37</v>
      </c>
      <c r="AB22" s="38">
        <f t="shared" si="11"/>
        <v>-0.69</v>
      </c>
      <c r="AC22" s="39">
        <v>0.52063194444444449</v>
      </c>
      <c r="AD22" s="37">
        <f t="shared" si="12"/>
        <v>-29.457355416666665</v>
      </c>
      <c r="AE22" s="37">
        <v>-6.94</v>
      </c>
      <c r="AF22" s="37">
        <v>-12.357286363636364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>
        <f t="shared" si="4"/>
        <v>42.231388888888894</v>
      </c>
      <c r="D23" s="27">
        <v>36</v>
      </c>
      <c r="E23" s="27">
        <v>0</v>
      </c>
      <c r="F23" s="30">
        <v>1520.3300000000002</v>
      </c>
      <c r="G23" s="28">
        <v>-3.09</v>
      </c>
      <c r="H23" s="29">
        <f t="shared" si="1"/>
        <v>2.0324534804943661E-3</v>
      </c>
      <c r="I23" s="29">
        <f t="shared" si="2"/>
        <v>0.37401300764247958</v>
      </c>
      <c r="J23" s="30">
        <f t="shared" si="5"/>
        <v>568.62319590909101</v>
      </c>
      <c r="K23" s="30">
        <f t="shared" si="3"/>
        <v>15.795088775252529</v>
      </c>
      <c r="L23" s="27">
        <v>160</v>
      </c>
      <c r="M23" s="31">
        <f t="shared" si="6"/>
        <v>0.22500000000000001</v>
      </c>
      <c r="N23" s="27">
        <v>8</v>
      </c>
      <c r="O23" s="32">
        <f t="shared" ref="O23:P23" si="31">D23/7</f>
        <v>5.1428571428571432</v>
      </c>
      <c r="P23" s="32">
        <f t="shared" si="31"/>
        <v>0</v>
      </c>
      <c r="Q23" s="27">
        <f t="shared" si="8"/>
        <v>1</v>
      </c>
      <c r="R23" s="27"/>
      <c r="S23" s="33">
        <v>3.0488322717621998</v>
      </c>
      <c r="T23" s="26">
        <v>498</v>
      </c>
      <c r="U23" s="34">
        <v>198</v>
      </c>
      <c r="V23" s="35" t="s">
        <v>1353</v>
      </c>
      <c r="W23" s="26">
        <v>1</v>
      </c>
      <c r="X23" s="36">
        <f t="shared" si="9"/>
        <v>2.7777777777777776E-2</v>
      </c>
      <c r="Y23" s="37">
        <f t="shared" si="10"/>
        <v>3.09</v>
      </c>
      <c r="Z23" s="26">
        <v>0</v>
      </c>
      <c r="AA23" s="26" t="s">
        <v>37</v>
      </c>
      <c r="AB23" s="38">
        <f t="shared" si="11"/>
        <v>-0.69</v>
      </c>
      <c r="AC23" s="39">
        <v>0.52063194444444449</v>
      </c>
      <c r="AD23" s="37">
        <f t="shared" si="12"/>
        <v>-25.864995</v>
      </c>
      <c r="AE23" s="37">
        <v>-6.94</v>
      </c>
      <c r="AF23" s="37">
        <v>-12.357286363636364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43.99</v>
      </c>
      <c r="D24" s="27">
        <v>5</v>
      </c>
      <c r="E24" s="27">
        <v>0</v>
      </c>
      <c r="F24" s="30">
        <v>219.95000000000002</v>
      </c>
      <c r="G24" s="30">
        <v>-0.63000000000000012</v>
      </c>
      <c r="H24" s="29">
        <f t="shared" si="1"/>
        <v>2.8642873380313712E-3</v>
      </c>
      <c r="I24" s="29">
        <f t="shared" si="2"/>
        <v>0.39212870090998642</v>
      </c>
      <c r="J24" s="30">
        <f t="shared" si="5"/>
        <v>86.248707765151522</v>
      </c>
      <c r="K24" s="30">
        <f t="shared" si="3"/>
        <v>17.249741553030304</v>
      </c>
      <c r="L24" s="27">
        <v>33</v>
      </c>
      <c r="M24" s="31">
        <f t="shared" si="6"/>
        <v>0.15151515151515152</v>
      </c>
      <c r="N24" s="27">
        <v>0</v>
      </c>
      <c r="O24" s="32">
        <f t="shared" ref="O24:P24" si="32">D24/7</f>
        <v>0.7142857142857143</v>
      </c>
      <c r="P24" s="32">
        <f t="shared" si="32"/>
        <v>0</v>
      </c>
      <c r="Q24" s="27">
        <f t="shared" si="8"/>
        <v>0</v>
      </c>
      <c r="R24" s="27"/>
      <c r="S24" s="33">
        <v>4.0563380281690096</v>
      </c>
      <c r="T24" s="26">
        <v>1002</v>
      </c>
      <c r="U24" s="34">
        <v>198</v>
      </c>
      <c r="V24" s="35" t="s">
        <v>1353</v>
      </c>
      <c r="W24" s="26">
        <v>1</v>
      </c>
      <c r="X24" s="36">
        <f t="shared" si="9"/>
        <v>0.2</v>
      </c>
      <c r="Y24" s="37">
        <f t="shared" si="10"/>
        <v>0.31500000000000006</v>
      </c>
      <c r="Z24" s="26">
        <v>1</v>
      </c>
      <c r="AA24" s="26" t="s">
        <v>37</v>
      </c>
      <c r="AB24" s="38">
        <f t="shared" si="11"/>
        <v>-0.69</v>
      </c>
      <c r="AC24" s="39">
        <v>0.52063194444444449</v>
      </c>
      <c r="AD24" s="37">
        <f t="shared" si="12"/>
        <v>-3.5923604166666667</v>
      </c>
      <c r="AE24" s="37">
        <v>-6.94</v>
      </c>
      <c r="AF24" s="37">
        <v>-12.357286363636364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43.99</v>
      </c>
      <c r="D25" s="15">
        <v>4</v>
      </c>
      <c r="E25" s="15">
        <v>0</v>
      </c>
      <c r="F25" s="16">
        <v>175.96</v>
      </c>
      <c r="G25" s="16">
        <v>-0.72</v>
      </c>
      <c r="H25" s="29">
        <f t="shared" si="1"/>
        <v>4.0918390543305296E-3</v>
      </c>
      <c r="I25" s="29">
        <f t="shared" si="2"/>
        <v>0.39083946162006511</v>
      </c>
      <c r="J25" s="30">
        <f t="shared" si="5"/>
        <v>68.77211166666666</v>
      </c>
      <c r="K25" s="30">
        <f t="shared" si="3"/>
        <v>17.193027916666665</v>
      </c>
      <c r="L25" s="15">
        <v>39</v>
      </c>
      <c r="M25" s="31">
        <f t="shared" si="6"/>
        <v>0.10256410256410256</v>
      </c>
      <c r="N25" s="15">
        <v>2</v>
      </c>
      <c r="O25" s="32">
        <f t="shared" ref="O25:P25" si="33">D25/7</f>
        <v>0.5714285714285714</v>
      </c>
      <c r="P25" s="32">
        <f t="shared" si="33"/>
        <v>0</v>
      </c>
      <c r="Q25" s="27">
        <f t="shared" si="8"/>
        <v>3</v>
      </c>
      <c r="R25" s="27"/>
      <c r="S25" s="41">
        <v>4.8458781362007173</v>
      </c>
      <c r="T25" s="26">
        <v>804</v>
      </c>
      <c r="U25" s="34">
        <v>300</v>
      </c>
      <c r="V25" s="35" t="s">
        <v>1354</v>
      </c>
      <c r="W25" s="40">
        <v>1</v>
      </c>
      <c r="X25" s="36">
        <f t="shared" si="9"/>
        <v>0.25</v>
      </c>
      <c r="Y25" s="37">
        <f t="shared" si="10"/>
        <v>0.72</v>
      </c>
      <c r="Z25" s="40">
        <v>0</v>
      </c>
      <c r="AA25" s="26" t="s">
        <v>37</v>
      </c>
      <c r="AB25" s="38">
        <f t="shared" si="11"/>
        <v>-0.69</v>
      </c>
      <c r="AC25" s="39">
        <v>0.52063194444444449</v>
      </c>
      <c r="AD25" s="37">
        <f t="shared" si="12"/>
        <v>-2.8738883333333334</v>
      </c>
      <c r="AE25" s="42">
        <v>-6.94</v>
      </c>
      <c r="AF25" s="42">
        <v>-12.36</v>
      </c>
      <c r="AG25" s="42">
        <v>0</v>
      </c>
    </row>
    <row r="26" spans="1:33" ht="15.75" customHeight="1" x14ac:dyDescent="0.2">
      <c r="A26" s="40" t="s">
        <v>75</v>
      </c>
      <c r="B26" s="40" t="s">
        <v>1355</v>
      </c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2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3.6065573770491799</v>
      </c>
      <c r="T26" s="26">
        <v>804</v>
      </c>
      <c r="U26" s="34">
        <v>300</v>
      </c>
      <c r="V26" s="35" t="s">
        <v>1356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0.52063194444444449</v>
      </c>
      <c r="AD26" s="37">
        <f t="shared" si="12"/>
        <v>0</v>
      </c>
      <c r="AE26" s="42">
        <v>-6.94</v>
      </c>
      <c r="AF26" s="42">
        <v>-12.3572863636363</v>
      </c>
      <c r="AG26" s="42">
        <v>0</v>
      </c>
    </row>
    <row r="27" spans="1:33" ht="15.75" customHeight="1" x14ac:dyDescent="0.2">
      <c r="A27" s="40" t="s">
        <v>77</v>
      </c>
      <c r="B27" s="40" t="s">
        <v>1357</v>
      </c>
      <c r="C27" s="14">
        <f t="shared" si="4"/>
        <v>43.99</v>
      </c>
      <c r="D27" s="15">
        <v>8</v>
      </c>
      <c r="E27" s="15">
        <v>0</v>
      </c>
      <c r="F27" s="16">
        <v>351.92</v>
      </c>
      <c r="G27" s="16">
        <v>-3.79</v>
      </c>
      <c r="H27" s="29">
        <f t="shared" si="1"/>
        <v>1.0769493066606047E-2</v>
      </c>
      <c r="I27" s="29">
        <f t="shared" si="2"/>
        <v>0.38558744153285668</v>
      </c>
      <c r="J27" s="30">
        <f t="shared" si="5"/>
        <v>135.69593242424293</v>
      </c>
      <c r="K27" s="30">
        <f t="shared" si="3"/>
        <v>16.961991553030366</v>
      </c>
      <c r="L27" s="15">
        <v>89</v>
      </c>
      <c r="M27" s="31">
        <f t="shared" si="6"/>
        <v>8.98876404494382E-2</v>
      </c>
      <c r="N27" s="15">
        <v>202</v>
      </c>
      <c r="O27" s="32">
        <f t="shared" ref="O27:P27" si="35">D27/7</f>
        <v>1.1428571428571428</v>
      </c>
      <c r="P27" s="32">
        <f t="shared" si="35"/>
        <v>0</v>
      </c>
      <c r="Q27" s="27">
        <f t="shared" si="8"/>
        <v>176</v>
      </c>
      <c r="R27" s="27"/>
      <c r="S27" s="41">
        <v>2.195652173913043</v>
      </c>
      <c r="T27" s="26">
        <v>804</v>
      </c>
      <c r="U27" s="34">
        <v>300</v>
      </c>
      <c r="V27" s="35" t="s">
        <v>1356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0.52063194444444449</v>
      </c>
      <c r="AD27" s="37">
        <f t="shared" si="12"/>
        <v>-5.7477766666666668</v>
      </c>
      <c r="AE27" s="42">
        <v>-6.88</v>
      </c>
      <c r="AF27" s="42">
        <v>-12.3572863636363</v>
      </c>
      <c r="AG27" s="42">
        <v>0</v>
      </c>
    </row>
    <row r="28" spans="1:33" ht="15.75" customHeight="1" x14ac:dyDescent="0.2">
      <c r="A28" s="40" t="s">
        <v>79</v>
      </c>
      <c r="B28" s="40" t="s">
        <v>1113</v>
      </c>
      <c r="C28" s="14">
        <f t="shared" si="4"/>
        <v>39.531304347826087</v>
      </c>
      <c r="D28" s="15">
        <v>46</v>
      </c>
      <c r="E28" s="15">
        <v>0</v>
      </c>
      <c r="F28" s="16">
        <v>1818.44</v>
      </c>
      <c r="G28" s="16">
        <v>-4.5599999999999996</v>
      </c>
      <c r="H28" s="29">
        <f t="shared" si="1"/>
        <v>2.5076439145641314E-3</v>
      </c>
      <c r="I28" s="29">
        <f t="shared" si="2"/>
        <v>0.34268335025593194</v>
      </c>
      <c r="J28" s="30">
        <f t="shared" si="5"/>
        <v>623.14911143939685</v>
      </c>
      <c r="K28" s="30">
        <f t="shared" si="3"/>
        <v>13.546719813899932</v>
      </c>
      <c r="L28" s="15">
        <v>210</v>
      </c>
      <c r="M28" s="31">
        <f t="shared" si="6"/>
        <v>0.21904761904761905</v>
      </c>
      <c r="N28" s="15">
        <v>159</v>
      </c>
      <c r="O28" s="32">
        <f t="shared" ref="O28:P28" si="36">D28/7</f>
        <v>6.5714285714285712</v>
      </c>
      <c r="P28" s="32">
        <f t="shared" si="36"/>
        <v>0</v>
      </c>
      <c r="Q28" s="27">
        <f t="shared" si="8"/>
        <v>24</v>
      </c>
      <c r="R28" s="27"/>
      <c r="S28" s="41">
        <v>2.784922394678492</v>
      </c>
      <c r="T28" s="40">
        <v>504</v>
      </c>
      <c r="U28" s="22">
        <v>300</v>
      </c>
      <c r="V28" s="1" t="s">
        <v>1358</v>
      </c>
      <c r="W28" s="40">
        <v>3</v>
      </c>
      <c r="X28" s="36">
        <f t="shared" si="9"/>
        <v>6.5217391304347824E-2</v>
      </c>
      <c r="Y28" s="37">
        <f t="shared" si="10"/>
        <v>1.1399999999999999</v>
      </c>
      <c r="Z28" s="40">
        <v>1</v>
      </c>
      <c r="AA28" s="26" t="s">
        <v>37</v>
      </c>
      <c r="AB28" s="38">
        <f t="shared" si="11"/>
        <v>-0.69</v>
      </c>
      <c r="AC28" s="39">
        <v>0.52063194444444449</v>
      </c>
      <c r="AD28" s="37">
        <f t="shared" si="12"/>
        <v>-33.049715833333337</v>
      </c>
      <c r="AE28" s="42">
        <v>-6.88</v>
      </c>
      <c r="AF28" s="42">
        <v>-12.3572863636363</v>
      </c>
      <c r="AG28" s="42">
        <v>0</v>
      </c>
    </row>
    <row r="29" spans="1:33" ht="15.75" customHeight="1" x14ac:dyDescent="0.2">
      <c r="A29" s="26" t="s">
        <v>82</v>
      </c>
      <c r="B29" s="26" t="s">
        <v>1359</v>
      </c>
      <c r="C29" s="14">
        <f t="shared" si="4"/>
        <v>39.652941176470584</v>
      </c>
      <c r="D29" s="27">
        <v>51</v>
      </c>
      <c r="E29" s="27">
        <v>0</v>
      </c>
      <c r="F29" s="30">
        <v>2022.3</v>
      </c>
      <c r="G29" s="30">
        <v>-5.9600000000000009</v>
      </c>
      <c r="H29" s="29">
        <f t="shared" si="1"/>
        <v>2.947139395737527E-3</v>
      </c>
      <c r="I29" s="29">
        <f t="shared" si="2"/>
        <v>0.34379237462520323</v>
      </c>
      <c r="J29" s="30">
        <f t="shared" si="5"/>
        <v>695.25131920454851</v>
      </c>
      <c r="K29" s="30">
        <f t="shared" si="3"/>
        <v>13.632378807932323</v>
      </c>
      <c r="L29" s="27">
        <v>238</v>
      </c>
      <c r="M29" s="31">
        <f t="shared" si="6"/>
        <v>0.21428571428571427</v>
      </c>
      <c r="N29" s="15">
        <v>108</v>
      </c>
      <c r="O29" s="32">
        <f t="shared" ref="O29:P29" si="37">D29/7</f>
        <v>7.2857142857142856</v>
      </c>
      <c r="P29" s="32">
        <f t="shared" si="37"/>
        <v>0</v>
      </c>
      <c r="Q29" s="27">
        <f t="shared" si="8"/>
        <v>14</v>
      </c>
      <c r="R29" s="27"/>
      <c r="S29" s="41">
        <v>4.4676923076923076</v>
      </c>
      <c r="T29" s="40" t="s">
        <v>34</v>
      </c>
      <c r="U29" s="22" t="s">
        <v>34</v>
      </c>
      <c r="V29" s="1" t="s">
        <v>34</v>
      </c>
      <c r="W29" s="40">
        <v>2</v>
      </c>
      <c r="X29" s="36">
        <f t="shared" si="9"/>
        <v>3.9215686274509803E-2</v>
      </c>
      <c r="Y29" s="37">
        <f t="shared" si="10"/>
        <v>1.986666666666667</v>
      </c>
      <c r="Z29" s="40">
        <v>1</v>
      </c>
      <c r="AA29" s="26" t="s">
        <v>37</v>
      </c>
      <c r="AB29" s="38">
        <f t="shared" si="11"/>
        <v>-0.69</v>
      </c>
      <c r="AC29" s="39">
        <v>0.52063194444444449</v>
      </c>
      <c r="AD29" s="37">
        <f t="shared" si="12"/>
        <v>-36.642076250000002</v>
      </c>
      <c r="AE29" s="37">
        <v>-6.88</v>
      </c>
      <c r="AF29" s="42">
        <v>-12.3572863636363</v>
      </c>
      <c r="AG29" s="37">
        <v>0</v>
      </c>
    </row>
    <row r="30" spans="1:33" ht="15.75" customHeight="1" x14ac:dyDescent="0.2">
      <c r="A30" s="40" t="s">
        <v>84</v>
      </c>
      <c r="B30" s="1" t="s">
        <v>53</v>
      </c>
      <c r="C30" s="14">
        <f t="shared" si="4"/>
        <v>42.764705882352935</v>
      </c>
      <c r="D30" s="15">
        <v>51</v>
      </c>
      <c r="E30" s="15">
        <v>0</v>
      </c>
      <c r="F30" s="16">
        <v>2180.9999999999995</v>
      </c>
      <c r="G30" s="16">
        <v>-3.06</v>
      </c>
      <c r="H30" s="29">
        <f t="shared" si="1"/>
        <v>1.4030261348005504E-3</v>
      </c>
      <c r="I30" s="29">
        <f t="shared" si="2"/>
        <v>0.37255985860155877</v>
      </c>
      <c r="J30" s="30">
        <f t="shared" si="5"/>
        <v>812.55305160999956</v>
      </c>
      <c r="K30" s="30">
        <f t="shared" si="3"/>
        <v>15.932412776666657</v>
      </c>
      <c r="L30" s="15">
        <v>204</v>
      </c>
      <c r="M30" s="31">
        <f t="shared" si="6"/>
        <v>0.25</v>
      </c>
      <c r="N30" s="15">
        <v>47</v>
      </c>
      <c r="O30" s="32">
        <f t="shared" ref="O30:P30" si="38">D30/7</f>
        <v>7.2857142857142856</v>
      </c>
      <c r="P30" s="32">
        <f t="shared" si="38"/>
        <v>0</v>
      </c>
      <c r="Q30" s="27">
        <f t="shared" si="8"/>
        <v>6</v>
      </c>
      <c r="R30" s="27"/>
      <c r="S30" s="41">
        <v>6.2530612244897963</v>
      </c>
      <c r="T30" s="26">
        <v>804</v>
      </c>
      <c r="U30" s="34">
        <v>300</v>
      </c>
      <c r="V30" s="35" t="s">
        <v>1360</v>
      </c>
      <c r="W30" s="40">
        <v>1</v>
      </c>
      <c r="X30" s="36">
        <f t="shared" si="9"/>
        <v>1.9607843137254902E-2</v>
      </c>
      <c r="Y30" s="37">
        <f t="shared" si="10"/>
        <v>3.06</v>
      </c>
      <c r="Z30" s="40">
        <v>0</v>
      </c>
      <c r="AA30" s="26" t="s">
        <v>37</v>
      </c>
      <c r="AB30" s="38">
        <f t="shared" si="11"/>
        <v>-0.69</v>
      </c>
      <c r="AC30" s="39">
        <v>0.52063194444444449</v>
      </c>
      <c r="AD30" s="37">
        <f t="shared" si="12"/>
        <v>-36.642076250000002</v>
      </c>
      <c r="AE30" s="42">
        <v>-6.88</v>
      </c>
      <c r="AF30" s="42">
        <v>-12.75911514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4"/>
        <v>44.003095238095234</v>
      </c>
      <c r="D31" s="15">
        <v>42</v>
      </c>
      <c r="E31" s="15">
        <v>0</v>
      </c>
      <c r="F31" s="16">
        <v>1848.1299999999999</v>
      </c>
      <c r="G31" s="43">
        <v>-3.870000000000001</v>
      </c>
      <c r="H31" s="29">
        <f t="shared" si="1"/>
        <v>2.0940085383603976E-3</v>
      </c>
      <c r="I31" s="29">
        <f t="shared" si="2"/>
        <v>0.38526609958173935</v>
      </c>
      <c r="J31" s="30">
        <f t="shared" si="5"/>
        <v>712.02183661999993</v>
      </c>
      <c r="K31" s="30">
        <f t="shared" si="3"/>
        <v>16.95290087190476</v>
      </c>
      <c r="L31" s="15">
        <v>200</v>
      </c>
      <c r="M31" s="31">
        <f t="shared" si="6"/>
        <v>0.21</v>
      </c>
      <c r="N31" s="15">
        <v>5</v>
      </c>
      <c r="O31" s="32">
        <f t="shared" ref="O31:P31" si="39">D31/7</f>
        <v>6</v>
      </c>
      <c r="P31" s="32">
        <f t="shared" si="39"/>
        <v>0</v>
      </c>
      <c r="Q31" s="27">
        <f t="shared" si="8"/>
        <v>0</v>
      </c>
      <c r="R31" s="27"/>
      <c r="S31" s="41">
        <v>3.4677754677754602</v>
      </c>
      <c r="T31" s="40">
        <v>456</v>
      </c>
      <c r="U31" s="22">
        <v>510</v>
      </c>
      <c r="V31" s="1" t="s">
        <v>1361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0.52063194444444449</v>
      </c>
      <c r="AD31" s="37">
        <f t="shared" si="12"/>
        <v>-30.1758275</v>
      </c>
      <c r="AE31" s="45">
        <v>-6.88</v>
      </c>
      <c r="AF31" s="45">
        <v>-12.75911514</v>
      </c>
      <c r="AG31" s="42">
        <v>0</v>
      </c>
    </row>
    <row r="32" spans="1:33" ht="15.75" customHeight="1" x14ac:dyDescent="0.2">
      <c r="A32" s="40" t="s">
        <v>90</v>
      </c>
      <c r="B32" s="50" t="s">
        <v>1362</v>
      </c>
      <c r="C32" s="14">
        <f t="shared" si="4"/>
        <v>43.99</v>
      </c>
      <c r="D32" s="15">
        <v>18</v>
      </c>
      <c r="E32" s="15">
        <v>0</v>
      </c>
      <c r="F32" s="16">
        <v>791.82</v>
      </c>
      <c r="G32" s="16">
        <v>-2.83</v>
      </c>
      <c r="H32" s="29">
        <f t="shared" si="1"/>
        <v>3.5740446060973452E-3</v>
      </c>
      <c r="I32" s="29">
        <f t="shared" si="2"/>
        <v>0.383648341769594</v>
      </c>
      <c r="J32" s="30">
        <f t="shared" si="5"/>
        <v>303.78042997999995</v>
      </c>
      <c r="K32" s="30">
        <f t="shared" si="3"/>
        <v>16.876690554444441</v>
      </c>
      <c r="L32" s="15">
        <v>196</v>
      </c>
      <c r="M32" s="31">
        <f t="shared" si="6"/>
        <v>9.1836734693877556E-2</v>
      </c>
      <c r="N32" s="15">
        <v>303</v>
      </c>
      <c r="O32" s="32">
        <f t="shared" ref="O32:P32" si="40">D32/7</f>
        <v>2.5714285714285716</v>
      </c>
      <c r="P32" s="32">
        <f t="shared" si="40"/>
        <v>0</v>
      </c>
      <c r="Q32" s="27">
        <f t="shared" si="8"/>
        <v>117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2.0565275908479141</v>
      </c>
      <c r="T32" s="40">
        <f ca="1">IFERROR(__xludf.DUMMYFUNCTION("IFERROR(VLOOKUP($B$2,IMPORTRANGE(""https://docs.google.com/spreadsheets/d/1KiWZV1ko8G7lnRucBRBd29jj3Be6ltMfljMDqzOkQmI/edit#gid=1381463014"",""Lookup!A:D""),4,FALSE),"""")"),456)</f>
        <v>456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AGL253  - 210 units 11/01")</f>
        <v>| AGL253  - 210 units 11/01</v>
      </c>
      <c r="W32" s="40">
        <v>1</v>
      </c>
      <c r="X32" s="36">
        <f t="shared" si="9"/>
        <v>5.5555555555555552E-2</v>
      </c>
      <c r="Y32" s="37">
        <f t="shared" si="10"/>
        <v>2.83</v>
      </c>
      <c r="Z32" s="40">
        <v>0</v>
      </c>
      <c r="AA32" s="40" t="s">
        <v>37</v>
      </c>
      <c r="AB32" s="38">
        <f t="shared" si="11"/>
        <v>-0.69</v>
      </c>
      <c r="AC32" s="44">
        <v>0.52063194444444449</v>
      </c>
      <c r="AD32" s="37">
        <f t="shared" si="12"/>
        <v>-12.9324975</v>
      </c>
      <c r="AE32" s="42">
        <v>-6.88</v>
      </c>
      <c r="AF32" s="42">
        <v>-12.75911514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32.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Info!B1:BJ5000""),3,FALSE),"""")"),"Outdoor Glass Beverage Dispenser with Stainless Steel Spigot - Drink Dispenser for Lemonade, Tea, Cold Water &amp; More")</f>
        <v>Outdoor Glass Beverage Dispenser with Stainless Steel Spigot - Drink Dispenser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Info!B1:BJ5000""),2,FALSE),"""")"),"B07HMJZGMK")</f>
        <v>B07HMJZGMK</v>
      </c>
      <c r="B2" s="3" t="s">
        <v>1363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16.25" customHeight="1" x14ac:dyDescent="0.2">
      <c r="A3" s="68" t="s">
        <v>31</v>
      </c>
      <c r="B3" s="69"/>
      <c r="C3" s="48">
        <f>((AE32+AF32)/0.85)*-1</f>
        <v>22.165564870588117</v>
      </c>
      <c r="D3" s="5">
        <f>SUM(D4:D99767)</f>
        <v>23</v>
      </c>
      <c r="E3" s="5"/>
      <c r="F3" s="6">
        <f t="shared" ref="F3:G3" si="0">SUM(F4:F99767)</f>
        <v>767.78000000000009</v>
      </c>
      <c r="G3" s="6">
        <f t="shared" si="0"/>
        <v>-3.96</v>
      </c>
      <c r="H3" s="7">
        <f t="shared" ref="H3:H32" si="1">G3/F3*-1</f>
        <v>5.157727474015994E-3</v>
      </c>
      <c r="I3" s="8">
        <f t="shared" ref="I3:I32" si="2">J3/F3</f>
        <v>0.28945952788783774</v>
      </c>
      <c r="J3" s="6">
        <f>SUM(J4:J99767)</f>
        <v>222.2412363217241</v>
      </c>
      <c r="K3" s="6">
        <f t="shared" ref="K3:K32" si="3">J3/D3</f>
        <v>9.6626624487706128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3 - May
3 - June
3 - July
3 - Aug
3 - Sept
0 - Oct
0 - Nov
0 - Dec
1 - Jan
1 - Feb")</f>
        <v>1 - March
1 - April
3 - May
3 - June
3 - July
3 - Aug
3 - Sept
0 - Oct
0 - Nov
0 -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</v>
      </c>
      <c r="X3" s="7">
        <f>W3/D3</f>
        <v>4.3478260869565216E-2</v>
      </c>
      <c r="Y3" s="6"/>
      <c r="Z3" s="5"/>
      <c r="AA3" s="5"/>
      <c r="AB3" s="5"/>
      <c r="AC3" s="5"/>
      <c r="AD3" s="6">
        <f>SUM(AD4:AD99767)</f>
        <v>-15.003115811003283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Info!B2:BZ3000""),37,FALSE)),"""")*-1"),-11.9607301399999)</f>
        <v>-11.9607301399999</v>
      </c>
      <c r="AG3" s="6">
        <f>SUM(AG4:AG99767)</f>
        <v>0</v>
      </c>
    </row>
    <row r="4" spans="1:33" x14ac:dyDescent="0.2">
      <c r="A4" s="1" t="s">
        <v>32</v>
      </c>
      <c r="B4" s="2" t="s">
        <v>53</v>
      </c>
      <c r="C4" s="14">
        <f t="shared" ref="C4:C32" si="4">IFERROR(F4/D4," - ")</f>
        <v>33.99</v>
      </c>
      <c r="D4" s="15">
        <v>4</v>
      </c>
      <c r="E4" s="15">
        <v>0</v>
      </c>
      <c r="F4" s="16">
        <v>135.96</v>
      </c>
      <c r="G4" s="16">
        <v>-0.24</v>
      </c>
      <c r="H4" s="17">
        <f t="shared" si="1"/>
        <v>1.7652250661959398E-3</v>
      </c>
      <c r="I4" s="17">
        <f t="shared" si="2"/>
        <v>0.30606823558845292</v>
      </c>
      <c r="J4" s="16">
        <f t="shared" ref="J4:J32" si="5">F4*0.85+G4+AF4*D4+D4*AE4+AG4+AD4</f>
        <v>41.61303731060606</v>
      </c>
      <c r="K4" s="16">
        <f t="shared" si="3"/>
        <v>10.403259327651515</v>
      </c>
      <c r="L4" s="15">
        <v>44</v>
      </c>
      <c r="M4" s="18">
        <f t="shared" ref="M4:M32" si="6">IFERROR(D4/L4,"-")</f>
        <v>9.0909090909090912E-2</v>
      </c>
      <c r="N4" s="15">
        <v>16</v>
      </c>
      <c r="O4" s="19">
        <f t="shared" ref="O4:P4" si="7">D4/7</f>
        <v>0.5714285714285714</v>
      </c>
      <c r="P4" s="19">
        <f t="shared" si="7"/>
        <v>0</v>
      </c>
      <c r="Q4" s="15">
        <f t="shared" ref="Q4:Q32" si="8">ROUNDDOWN(N4/(O4+P4),0)</f>
        <v>28</v>
      </c>
      <c r="R4" s="15"/>
      <c r="S4" s="20">
        <v>1.78894472361809</v>
      </c>
      <c r="T4" s="26">
        <v>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0.51747743055555562</v>
      </c>
      <c r="AD4" s="24">
        <f t="shared" ref="AD4:AD32" si="12">IFERROR(AB4*AC4*D4*2,0)</f>
        <v>-2.8564754166666666</v>
      </c>
      <c r="AE4" s="24">
        <v>-6.94</v>
      </c>
      <c r="AF4" s="24">
        <v>-10.774121818181818</v>
      </c>
      <c r="AG4" s="24">
        <v>0</v>
      </c>
    </row>
    <row r="5" spans="1:33" ht="15.75" customHeight="1" x14ac:dyDescent="0.2">
      <c r="A5" s="26" t="s">
        <v>35</v>
      </c>
      <c r="B5" s="26" t="s">
        <v>76</v>
      </c>
      <c r="C5" s="14">
        <f t="shared" si="4"/>
        <v>33.99</v>
      </c>
      <c r="D5" s="27">
        <v>8</v>
      </c>
      <c r="E5" s="27">
        <v>0</v>
      </c>
      <c r="F5" s="28">
        <v>271.92</v>
      </c>
      <c r="G5" s="28">
        <v>-0.52</v>
      </c>
      <c r="H5" s="29">
        <f t="shared" si="1"/>
        <v>1.9123271550456017E-3</v>
      </c>
      <c r="I5" s="29">
        <f t="shared" si="2"/>
        <v>0.30589678856909686</v>
      </c>
      <c r="J5" s="30">
        <f t="shared" si="5"/>
        <v>83.179454747708817</v>
      </c>
      <c r="K5" s="30">
        <f t="shared" si="3"/>
        <v>10.397431843463602</v>
      </c>
      <c r="L5" s="27">
        <v>59</v>
      </c>
      <c r="M5" s="31">
        <f t="shared" si="6"/>
        <v>0.13559322033898305</v>
      </c>
      <c r="N5" s="27">
        <v>7</v>
      </c>
      <c r="O5" s="32">
        <f t="shared" ref="O5:P5" si="13">D5/7</f>
        <v>1.1428571428571428</v>
      </c>
      <c r="P5" s="32">
        <f t="shared" si="13"/>
        <v>0</v>
      </c>
      <c r="Q5" s="27">
        <f t="shared" si="8"/>
        <v>6</v>
      </c>
      <c r="R5" s="27"/>
      <c r="S5" s="33">
        <v>1.93333333333333</v>
      </c>
      <c r="T5" s="26">
        <v>0</v>
      </c>
      <c r="U5" s="34" t="s">
        <v>34</v>
      </c>
      <c r="V5" s="35" t="s">
        <v>34</v>
      </c>
      <c r="W5" s="26">
        <v>1</v>
      </c>
      <c r="X5" s="36">
        <f t="shared" si="9"/>
        <v>0.125</v>
      </c>
      <c r="Y5" s="37">
        <f t="shared" si="10"/>
        <v>0.52</v>
      </c>
      <c r="Z5" s="26">
        <v>0</v>
      </c>
      <c r="AA5" s="26" t="s">
        <v>37</v>
      </c>
      <c r="AB5" s="38">
        <f t="shared" si="11"/>
        <v>-0.69</v>
      </c>
      <c r="AC5" s="39">
        <v>0.51807705677867899</v>
      </c>
      <c r="AD5" s="37">
        <f t="shared" si="12"/>
        <v>-5.7195707068366159</v>
      </c>
      <c r="AE5" s="37">
        <v>-6.94</v>
      </c>
      <c r="AF5" s="37">
        <v>-10.774121818181818</v>
      </c>
      <c r="AG5" s="37">
        <v>0</v>
      </c>
    </row>
    <row r="6" spans="1:33" ht="15.75" customHeight="1" x14ac:dyDescent="0.2">
      <c r="A6" s="26" t="s">
        <v>38</v>
      </c>
      <c r="B6" s="26" t="s">
        <v>684</v>
      </c>
      <c r="C6" s="14">
        <f t="shared" si="4"/>
        <v>0</v>
      </c>
      <c r="D6" s="27">
        <v>1</v>
      </c>
      <c r="E6" s="27">
        <v>0</v>
      </c>
      <c r="F6" s="28">
        <v>0</v>
      </c>
      <c r="G6" s="28">
        <v>-0.51</v>
      </c>
      <c r="H6" s="29" t="e">
        <f t="shared" si="1"/>
        <v>#DIV/0!</v>
      </c>
      <c r="I6" s="29" t="e">
        <f t="shared" si="2"/>
        <v>#DIV/0!</v>
      </c>
      <c r="J6" s="30">
        <f t="shared" si="5"/>
        <v>-18.938240672348485</v>
      </c>
      <c r="K6" s="30">
        <f t="shared" si="3"/>
        <v>-18.938240672348485</v>
      </c>
      <c r="L6" s="27">
        <v>34</v>
      </c>
      <c r="M6" s="31">
        <f t="shared" si="6"/>
        <v>2.9411764705882353E-2</v>
      </c>
      <c r="N6" s="27">
        <v>5</v>
      </c>
      <c r="O6" s="32">
        <f t="shared" ref="O6:P6" si="14">D6/7</f>
        <v>0.14285714285714285</v>
      </c>
      <c r="P6" s="32">
        <f t="shared" si="14"/>
        <v>0</v>
      </c>
      <c r="Q6" s="27">
        <f t="shared" si="8"/>
        <v>35</v>
      </c>
      <c r="R6" s="27"/>
      <c r="S6" s="33">
        <v>2.1315789473684199</v>
      </c>
      <c r="T6" s="26">
        <v>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0.51747743055555562</v>
      </c>
      <c r="AD6" s="37">
        <f t="shared" si="12"/>
        <v>-0.71411885416666665</v>
      </c>
      <c r="AE6" s="37">
        <v>-6.94</v>
      </c>
      <c r="AF6" s="37">
        <v>-10.774121818181818</v>
      </c>
      <c r="AG6" s="37">
        <v>0</v>
      </c>
    </row>
    <row r="7" spans="1:33" ht="15.75" customHeight="1" x14ac:dyDescent="0.2">
      <c r="A7" s="26" t="s">
        <v>41</v>
      </c>
      <c r="B7" s="26" t="s">
        <v>661</v>
      </c>
      <c r="C7" s="14">
        <f t="shared" si="4"/>
        <v>35.99</v>
      </c>
      <c r="D7" s="27">
        <v>2</v>
      </c>
      <c r="E7" s="27">
        <v>0</v>
      </c>
      <c r="F7" s="28">
        <v>71.98</v>
      </c>
      <c r="G7" s="28">
        <v>-0.39</v>
      </c>
      <c r="H7" s="29">
        <f t="shared" si="1"/>
        <v>5.4181717143651012E-3</v>
      </c>
      <c r="I7" s="29">
        <f t="shared" si="2"/>
        <v>0.332544021329578</v>
      </c>
      <c r="J7" s="30">
        <f t="shared" si="5"/>
        <v>23.936518655303026</v>
      </c>
      <c r="K7" s="30">
        <f t="shared" si="3"/>
        <v>11.968259327651513</v>
      </c>
      <c r="L7" s="27">
        <v>56</v>
      </c>
      <c r="M7" s="31">
        <f t="shared" si="6"/>
        <v>3.5714285714285712E-2</v>
      </c>
      <c r="N7" s="27">
        <v>4</v>
      </c>
      <c r="O7" s="32">
        <f t="shared" ref="O7:P7" si="15">D7/7</f>
        <v>0.2857142857142857</v>
      </c>
      <c r="P7" s="32">
        <f t="shared" si="15"/>
        <v>0</v>
      </c>
      <c r="Q7" s="27">
        <f t="shared" si="8"/>
        <v>14</v>
      </c>
      <c r="R7" s="27"/>
      <c r="S7" s="33">
        <v>2.1705426356589101</v>
      </c>
      <c r="T7" s="26">
        <v>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0.51747743055555562</v>
      </c>
      <c r="AD7" s="37">
        <f t="shared" si="12"/>
        <v>-1.4282377083333333</v>
      </c>
      <c r="AE7" s="37">
        <v>-6.94</v>
      </c>
      <c r="AF7" s="37">
        <v>-10.774121818181818</v>
      </c>
      <c r="AG7" s="37">
        <v>0</v>
      </c>
    </row>
    <row r="8" spans="1:33" ht="15.75" customHeight="1" x14ac:dyDescent="0.2">
      <c r="A8" s="26" t="s">
        <v>43</v>
      </c>
      <c r="B8" s="26" t="s">
        <v>461</v>
      </c>
      <c r="C8" s="14">
        <f t="shared" si="4"/>
        <v>35.99</v>
      </c>
      <c r="D8" s="27">
        <v>3</v>
      </c>
      <c r="E8" s="27">
        <v>0</v>
      </c>
      <c r="F8" s="28">
        <v>107.97</v>
      </c>
      <c r="G8" s="28">
        <v>-0.28999999999999998</v>
      </c>
      <c r="H8" s="29">
        <f t="shared" si="1"/>
        <v>2.6859312772066313E-3</v>
      </c>
      <c r="I8" s="29">
        <f t="shared" si="2"/>
        <v>0.33539078852922105</v>
      </c>
      <c r="J8" s="30">
        <f t="shared" si="5"/>
        <v>36.212143437499996</v>
      </c>
      <c r="K8" s="30">
        <f t="shared" si="3"/>
        <v>12.070714479166666</v>
      </c>
      <c r="L8" s="27">
        <v>37</v>
      </c>
      <c r="M8" s="31">
        <f t="shared" si="6"/>
        <v>8.1081081081081086E-2</v>
      </c>
      <c r="N8" s="27">
        <v>2</v>
      </c>
      <c r="O8" s="32">
        <f t="shared" ref="O8:P8" si="16">D8/7</f>
        <v>0.42857142857142855</v>
      </c>
      <c r="P8" s="32">
        <f t="shared" si="16"/>
        <v>0</v>
      </c>
      <c r="Q8" s="27">
        <f t="shared" si="8"/>
        <v>4</v>
      </c>
      <c r="R8" s="27"/>
      <c r="S8" s="33">
        <v>2.31963470319634</v>
      </c>
      <c r="T8" s="26">
        <v>0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0.51747743055555562</v>
      </c>
      <c r="AD8" s="37">
        <f t="shared" si="12"/>
        <v>-2.1423565624999998</v>
      </c>
      <c r="AE8" s="37">
        <v>-6.94</v>
      </c>
      <c r="AF8" s="37">
        <v>-10.77</v>
      </c>
      <c r="AG8" s="37">
        <v>0</v>
      </c>
    </row>
    <row r="9" spans="1:33" ht="15.75" customHeight="1" x14ac:dyDescent="0.2">
      <c r="A9" s="26" t="s">
        <v>45</v>
      </c>
      <c r="B9" s="26" t="s">
        <v>461</v>
      </c>
      <c r="C9" s="14">
        <f t="shared" si="4"/>
        <v>35.99</v>
      </c>
      <c r="D9" s="27">
        <v>1</v>
      </c>
      <c r="E9" s="27">
        <v>0</v>
      </c>
      <c r="F9" s="28">
        <v>35.99</v>
      </c>
      <c r="G9" s="28">
        <v>0</v>
      </c>
      <c r="H9" s="29">
        <f t="shared" si="1"/>
        <v>0</v>
      </c>
      <c r="I9" s="29">
        <f t="shared" si="2"/>
        <v>0.32367583824841989</v>
      </c>
      <c r="J9" s="30">
        <f t="shared" si="5"/>
        <v>11.649093418560632</v>
      </c>
      <c r="K9" s="30">
        <f t="shared" si="3"/>
        <v>11.649093418560632</v>
      </c>
      <c r="L9" s="27">
        <v>4</v>
      </c>
      <c r="M9" s="31">
        <f t="shared" si="6"/>
        <v>0.25</v>
      </c>
      <c r="N9" s="27">
        <v>0</v>
      </c>
      <c r="O9" s="32">
        <f t="shared" ref="O9:P9" si="17">D9/7</f>
        <v>0.14285714285714285</v>
      </c>
      <c r="P9" s="32">
        <f t="shared" si="17"/>
        <v>0</v>
      </c>
      <c r="Q9" s="27">
        <f t="shared" si="8"/>
        <v>0</v>
      </c>
      <c r="R9" s="27"/>
      <c r="S9" s="33">
        <v>2.5130890052355999</v>
      </c>
      <c r="T9" s="26">
        <v>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0.51747743055555562</v>
      </c>
      <c r="AD9" s="37">
        <f t="shared" si="12"/>
        <v>-0.71411885416666665</v>
      </c>
      <c r="AE9" s="37">
        <v>-6.94</v>
      </c>
      <c r="AF9" s="37">
        <v>-11.288287727272699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 t="str">
        <f t="shared" si="4"/>
        <v xml:space="preserve"> - </v>
      </c>
      <c r="D10" s="27">
        <v>0</v>
      </c>
      <c r="E10" s="27">
        <v>2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0.2857142857142857</v>
      </c>
      <c r="Q10" s="27">
        <f t="shared" si="8"/>
        <v>0</v>
      </c>
      <c r="R10" s="27"/>
      <c r="S10" s="33" t="e">
        <v>#N/A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-11.288287727272699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-11.288287727272699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-11.288287727272699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-11.5589013636363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-11.5589013636363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804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-11.5589013636363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402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-11.5589013636363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402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e">
        <v>#N/A</v>
      </c>
      <c r="AB17" s="38" t="e">
        <f t="shared" si="11"/>
        <v>#N/A</v>
      </c>
      <c r="AC17" s="39" t="e">
        <v>#N/A</v>
      </c>
      <c r="AD17" s="37">
        <f t="shared" si="12"/>
        <v>0</v>
      </c>
      <c r="AE17" s="37">
        <v>0</v>
      </c>
      <c r="AF17" s="37">
        <v>-11.5589013636363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402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-11.5589013636363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510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e">
        <v>#N/A</v>
      </c>
      <c r="AB19" s="38" t="e">
        <f t="shared" si="11"/>
        <v>#N/A</v>
      </c>
      <c r="AC19" s="39" t="e">
        <v>#N/A</v>
      </c>
      <c r="AD19" s="37">
        <f t="shared" si="12"/>
        <v>0</v>
      </c>
      <c r="AE19" s="37">
        <v>0</v>
      </c>
      <c r="AF19" s="37">
        <v>-11.558901363636362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510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e">
        <v>#N/A</v>
      </c>
      <c r="AB20" s="38" t="e">
        <f t="shared" si="11"/>
        <v>#N/A</v>
      </c>
      <c r="AC20" s="39" t="e">
        <v>#N/A</v>
      </c>
      <c r="AD20" s="37">
        <f t="shared" si="12"/>
        <v>0</v>
      </c>
      <c r="AE20" s="37">
        <v>0</v>
      </c>
      <c r="AF20" s="37">
        <v>-11.558901363636362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-0.77</v>
      </c>
      <c r="H21" s="29" t="e">
        <f t="shared" si="1"/>
        <v>#DIV/0!</v>
      </c>
      <c r="I21" s="29" t="e">
        <f t="shared" si="2"/>
        <v>#DIV/0!</v>
      </c>
      <c r="J21" s="30">
        <f t="shared" si="5"/>
        <v>-0.77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1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>
        <v>0.63157894736842102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0.51747743055555562</v>
      </c>
      <c r="AD21" s="37">
        <f t="shared" si="12"/>
        <v>0</v>
      </c>
      <c r="AE21" s="37">
        <v>-6.94</v>
      </c>
      <c r="AF21" s="37">
        <v>-11.558901363636362</v>
      </c>
      <c r="AG21" s="37">
        <v>0</v>
      </c>
    </row>
    <row r="22" spans="1:33" ht="15.75" customHeight="1" x14ac:dyDescent="0.2">
      <c r="A22" s="26" t="s">
        <v>67</v>
      </c>
      <c r="B22" s="26" t="s">
        <v>76</v>
      </c>
      <c r="C22" s="14">
        <f t="shared" si="4"/>
        <v>35.99</v>
      </c>
      <c r="D22" s="27">
        <v>1</v>
      </c>
      <c r="E22" s="27">
        <v>0</v>
      </c>
      <c r="F22" s="28">
        <v>35.99</v>
      </c>
      <c r="G22" s="28">
        <v>-0.89999999999999991</v>
      </c>
      <c r="H22" s="29">
        <f t="shared" si="1"/>
        <v>2.5006946373992773E-2</v>
      </c>
      <c r="I22" s="29">
        <f t="shared" si="2"/>
        <v>0.29114975777151902</v>
      </c>
      <c r="J22" s="30">
        <f t="shared" si="5"/>
        <v>10.47847978219697</v>
      </c>
      <c r="K22" s="30">
        <f t="shared" si="3"/>
        <v>10.47847978219697</v>
      </c>
      <c r="L22" s="27">
        <v>21</v>
      </c>
      <c r="M22" s="31">
        <f t="shared" si="6"/>
        <v>4.7619047619047616E-2</v>
      </c>
      <c r="N22" s="27">
        <v>0</v>
      </c>
      <c r="O22" s="32">
        <f t="shared" ref="O22:P22" si="30">D22/7</f>
        <v>0.14285714285714285</v>
      </c>
      <c r="P22" s="32">
        <f t="shared" si="30"/>
        <v>0</v>
      </c>
      <c r="Q22" s="27">
        <f t="shared" si="8"/>
        <v>0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0.51747743055555562</v>
      </c>
      <c r="AD22" s="37">
        <f t="shared" si="12"/>
        <v>-0.71411885416666665</v>
      </c>
      <c r="AE22" s="37">
        <v>-6.94</v>
      </c>
      <c r="AF22" s="37">
        <v>-11.558901363636362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>
        <f t="shared" si="4"/>
        <v>35.99</v>
      </c>
      <c r="D23" s="27">
        <v>1</v>
      </c>
      <c r="E23" s="27">
        <v>0</v>
      </c>
      <c r="F23" s="30">
        <v>35.99</v>
      </c>
      <c r="G23" s="28">
        <v>0</v>
      </c>
      <c r="H23" s="29">
        <f t="shared" si="1"/>
        <v>0</v>
      </c>
      <c r="I23" s="29">
        <f t="shared" si="2"/>
        <v>0.33599885069084845</v>
      </c>
      <c r="J23" s="30">
        <f t="shared" si="5"/>
        <v>12.092598636363636</v>
      </c>
      <c r="K23" s="30">
        <f t="shared" si="3"/>
        <v>12.092598636363636</v>
      </c>
      <c r="L23" s="27">
        <v>8</v>
      </c>
      <c r="M23" s="31">
        <f t="shared" si="6"/>
        <v>0.125</v>
      </c>
      <c r="N23" s="27">
        <v>0</v>
      </c>
      <c r="O23" s="32">
        <f t="shared" ref="O23:P23" si="31">D23/7</f>
        <v>0.14285714285714285</v>
      </c>
      <c r="P23" s="32">
        <f t="shared" si="31"/>
        <v>0</v>
      </c>
      <c r="Q23" s="27">
        <f t="shared" si="8"/>
        <v>0</v>
      </c>
      <c r="R23" s="27"/>
      <c r="S23" s="33" t="e">
        <v>#N/A</v>
      </c>
      <c r="T23" s="26">
        <v>180</v>
      </c>
      <c r="U23" s="34">
        <v>180</v>
      </c>
      <c r="V23" s="35" t="s">
        <v>1364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 t="e">
        <v>#N/A</v>
      </c>
      <c r="AD23" s="37">
        <f t="shared" si="12"/>
        <v>0</v>
      </c>
      <c r="AE23" s="37">
        <v>-6.94</v>
      </c>
      <c r="AF23" s="37">
        <v>-11.558901363636362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402</v>
      </c>
      <c r="U24" s="34">
        <v>180</v>
      </c>
      <c r="V24" s="35" t="s">
        <v>1364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 t="e">
        <v>#N/A</v>
      </c>
      <c r="AD24" s="37">
        <f t="shared" si="12"/>
        <v>0</v>
      </c>
      <c r="AE24" s="37">
        <v>-6.94</v>
      </c>
      <c r="AF24" s="37">
        <v>-11.558901363636362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35.99</v>
      </c>
      <c r="D25" s="15">
        <v>1</v>
      </c>
      <c r="E25" s="15">
        <v>0</v>
      </c>
      <c r="F25" s="16">
        <v>35.99</v>
      </c>
      <c r="G25" s="16">
        <v>-0.34</v>
      </c>
      <c r="H25" s="29">
        <f t="shared" si="1"/>
        <v>9.4470686301750487E-3</v>
      </c>
      <c r="I25" s="29">
        <f t="shared" si="2"/>
        <v>0.32652125590441777</v>
      </c>
      <c r="J25" s="30">
        <f t="shared" si="5"/>
        <v>11.751499999999997</v>
      </c>
      <c r="K25" s="30">
        <f t="shared" si="3"/>
        <v>11.751499999999997</v>
      </c>
      <c r="L25" s="15">
        <v>9</v>
      </c>
      <c r="M25" s="31">
        <f t="shared" si="6"/>
        <v>0.1111111111111111</v>
      </c>
      <c r="N25" s="15">
        <v>0</v>
      </c>
      <c r="O25" s="32">
        <f t="shared" ref="O25:P25" si="33">D25/7</f>
        <v>0.14285714285714285</v>
      </c>
      <c r="P25" s="32">
        <f t="shared" si="33"/>
        <v>0</v>
      </c>
      <c r="Q25" s="27">
        <f t="shared" si="8"/>
        <v>0</v>
      </c>
      <c r="R25" s="27"/>
      <c r="S25" s="41">
        <v>0.70588235294117652</v>
      </c>
      <c r="T25" s="26">
        <v>402</v>
      </c>
      <c r="U25" s="34">
        <v>180</v>
      </c>
      <c r="V25" s="35" t="s">
        <v>1364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 t="e">
        <v>#N/A</v>
      </c>
      <c r="AD25" s="37">
        <f t="shared" si="12"/>
        <v>0</v>
      </c>
      <c r="AE25" s="42">
        <v>-6.94</v>
      </c>
      <c r="AF25" s="42">
        <v>-11.56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402</v>
      </c>
      <c r="U26" s="34">
        <v>180</v>
      </c>
      <c r="V26" s="35" t="s">
        <v>1365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 t="e">
        <v>#N/A</v>
      </c>
      <c r="AD26" s="37">
        <f t="shared" si="12"/>
        <v>0</v>
      </c>
      <c r="AE26" s="42">
        <v>-6.94</v>
      </c>
      <c r="AF26" s="42">
        <v>-11.5589013636363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402</v>
      </c>
      <c r="U27" s="34">
        <v>180</v>
      </c>
      <c r="V27" s="35" t="s">
        <v>1365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 t="e">
        <v>#N/A</v>
      </c>
      <c r="AD27" s="37">
        <f t="shared" si="12"/>
        <v>0</v>
      </c>
      <c r="AE27" s="42">
        <v>-6.94</v>
      </c>
      <c r="AF27" s="42">
        <v>-11.5589013636363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>
        <v>402</v>
      </c>
      <c r="V28" s="1" t="s">
        <v>1366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 t="e">
        <v>#N/A</v>
      </c>
      <c r="AD28" s="37">
        <f t="shared" si="12"/>
        <v>0</v>
      </c>
      <c r="AE28" s="42">
        <v>-6.94</v>
      </c>
      <c r="AF28" s="42">
        <v>-11.5589013636363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 t="e">
        <v>#N/A</v>
      </c>
      <c r="AD29" s="37">
        <f t="shared" si="12"/>
        <v>0</v>
      </c>
      <c r="AE29" s="37">
        <v>-6.94</v>
      </c>
      <c r="AF29" s="42">
        <v>-11.5589013636363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624</v>
      </c>
      <c r="U30" s="34">
        <v>180</v>
      </c>
      <c r="V30" s="35" t="s">
        <v>1367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 t="e">
        <v>#N/A</v>
      </c>
      <c r="AD30" s="37">
        <f t="shared" si="12"/>
        <v>0</v>
      </c>
      <c r="AE30" s="42">
        <v>-6.94</v>
      </c>
      <c r="AF30" s="42">
        <v>-11.9607301399999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>
        <v>402</v>
      </c>
      <c r="V31" s="1" t="s">
        <v>1368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 t="e">
        <v>#N/A</v>
      </c>
      <c r="AD31" s="37">
        <f t="shared" si="12"/>
        <v>0</v>
      </c>
      <c r="AE31" s="45">
        <v>-6.94</v>
      </c>
      <c r="AF31" s="45">
        <v>-11.960730139999999</v>
      </c>
      <c r="AG31" s="42">
        <v>0</v>
      </c>
    </row>
    <row r="32" spans="1:33" ht="15.75" customHeight="1" x14ac:dyDescent="0.2">
      <c r="A32" s="40" t="s">
        <v>90</v>
      </c>
      <c r="B32" s="50" t="s">
        <v>1085</v>
      </c>
      <c r="C32" s="14">
        <f t="shared" si="4"/>
        <v>35.99</v>
      </c>
      <c r="D32" s="15">
        <v>1</v>
      </c>
      <c r="E32" s="15">
        <v>0</v>
      </c>
      <c r="F32" s="16">
        <v>35.99</v>
      </c>
      <c r="G32" s="16">
        <v>0</v>
      </c>
      <c r="H32" s="29">
        <f t="shared" si="1"/>
        <v>0</v>
      </c>
      <c r="I32" s="29">
        <f t="shared" si="2"/>
        <v>0.30665882205705569</v>
      </c>
      <c r="J32" s="30">
        <f t="shared" si="5"/>
        <v>11.036651005833434</v>
      </c>
      <c r="K32" s="30">
        <f t="shared" si="3"/>
        <v>11.036651005833434</v>
      </c>
      <c r="L32" s="15">
        <v>14</v>
      </c>
      <c r="M32" s="31">
        <f t="shared" si="6"/>
        <v>7.1428571428571425E-2</v>
      </c>
      <c r="N32" s="15">
        <v>179</v>
      </c>
      <c r="O32" s="32">
        <f t="shared" ref="O32:P32" si="40">D32/7</f>
        <v>0.14285714285714285</v>
      </c>
      <c r="P32" s="32">
        <f t="shared" si="40"/>
        <v>0</v>
      </c>
      <c r="Q32" s="27">
        <f t="shared" si="8"/>
        <v>1253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8.3769633507853408E-2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AGL253  - 222 units 11/01")</f>
        <v>| AGL253  - 222 units 11/01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0.51747743055555562</v>
      </c>
      <c r="AD32" s="37">
        <f t="shared" si="12"/>
        <v>-0.71411885416666665</v>
      </c>
      <c r="AE32" s="42">
        <v>-6.88</v>
      </c>
      <c r="AF32" s="42">
        <v>-11.9607301399999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19.66406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7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Info!B1:BJ5000""),3,FALSE),"""")"),"Glass Beverage Dispenser 2 Pack with Stainless Steel Spigot - Drink Dispensers for Cold Water, Lemonade, Tea &amp; More")</f>
        <v>Glass Beverage Dispenser 2 Pack with Stainless Steel Spigot - Drink Dispensers for Cold Water, Lemonade, Tea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Info!B1:BJ5000""),2,FALSE),"""")"),"B07BKBC395")</f>
        <v>B07BKBC395</v>
      </c>
      <c r="B2" s="3" t="s">
        <v>1369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0.5" customHeight="1" x14ac:dyDescent="0.2">
      <c r="A3" s="68" t="s">
        <v>31</v>
      </c>
      <c r="B3" s="69"/>
      <c r="C3" s="48">
        <f>((AE32+AF32)/0.85)*-1</f>
        <v>32.62619957647059</v>
      </c>
      <c r="D3" s="5">
        <f>SUM(D4:D99767)</f>
        <v>767</v>
      </c>
      <c r="E3" s="5"/>
      <c r="F3" s="6">
        <f t="shared" ref="F3:G3" si="0">SUM(F4:F99767)</f>
        <v>45097.429999999971</v>
      </c>
      <c r="G3" s="6">
        <f t="shared" si="0"/>
        <v>-142.79000000000002</v>
      </c>
      <c r="H3" s="7">
        <f t="shared" ref="H3:H32" si="1">G3/F3*-1</f>
        <v>3.1662558154644314E-3</v>
      </c>
      <c r="I3" s="8">
        <f t="shared" ref="I3:I32" si="2">J3/F3</f>
        <v>0.35675203482302853</v>
      </c>
      <c r="J3" s="6">
        <f>SUM(J4:J99767)</f>
        <v>16088.599917789081</v>
      </c>
      <c r="K3" s="6">
        <f t="shared" ref="K3:K32" si="3">J3/D3</f>
        <v>20.976010323062688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6 - May
10 - June
10 - July
15 - Aug
15 - Sept
10 - Oct
10 - Nov
12 - Dec
4 - Jan
4 - Feb")</f>
        <v>4 - March
4 - April
6 - May
10 - June
10 - July
15 - Aug
15 - Sept
10 - Oct
10 - Nov
12 -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65</v>
      </c>
      <c r="X3" s="7">
        <f>W3/D3</f>
        <v>8.4745762711864403E-2</v>
      </c>
      <c r="Y3" s="6"/>
      <c r="Z3" s="5"/>
      <c r="AA3" s="5"/>
      <c r="AB3" s="5"/>
      <c r="AC3" s="5"/>
      <c r="AD3" s="6">
        <f>SUM(AD4:AD99767)</f>
        <v>-916.89097500000003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Info!B2:BZ3000""),37,FALSE)),"""")*-1"),-19.65226964)</f>
        <v>-19.65226964</v>
      </c>
      <c r="AG3" s="6">
        <f>SUM(AG4:AG99767)</f>
        <v>0</v>
      </c>
    </row>
    <row r="4" spans="1:33" ht="16" x14ac:dyDescent="0.2">
      <c r="A4" s="1" t="s">
        <v>32</v>
      </c>
      <c r="B4" s="2"/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1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 t="e">
        <v>#N/A</v>
      </c>
      <c r="T4" s="2">
        <v>900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-17.737339393939394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1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 t="e">
        <v>#N/A</v>
      </c>
      <c r="T5" s="26">
        <v>1095</v>
      </c>
      <c r="U5" s="34" t="s">
        <v>34</v>
      </c>
      <c r="V5" s="35" t="s">
        <v>1370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-17.737339393939394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1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 t="e">
        <v>#N/A</v>
      </c>
      <c r="T6" s="26">
        <v>1095</v>
      </c>
      <c r="U6" s="34">
        <v>195</v>
      </c>
      <c r="V6" s="35" t="s">
        <v>1371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-17.737339393939394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2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1</v>
      </c>
      <c r="O7" s="32">
        <f t="shared" ref="O7:P7" si="15">D7/7</f>
        <v>0</v>
      </c>
      <c r="P7" s="32">
        <f t="shared" si="15"/>
        <v>0.2857142857142857</v>
      </c>
      <c r="Q7" s="27">
        <f t="shared" si="8"/>
        <v>3</v>
      </c>
      <c r="R7" s="27"/>
      <c r="S7" s="33" t="e">
        <v>#N/A</v>
      </c>
      <c r="T7" s="26">
        <v>1095</v>
      </c>
      <c r="U7" s="34">
        <v>195</v>
      </c>
      <c r="V7" s="35" t="s">
        <v>1371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-17.737339393939394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1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1095</v>
      </c>
      <c r="U8" s="34">
        <v>195</v>
      </c>
      <c r="V8" s="35" t="s">
        <v>1371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-17.739999999999998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1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 t="e">
        <v>#N/A</v>
      </c>
      <c r="T9" s="26">
        <v>900</v>
      </c>
      <c r="U9" s="34">
        <v>195</v>
      </c>
      <c r="V9" s="35" t="s">
        <v>1372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-18.5670924242424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1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900</v>
      </c>
      <c r="U10" s="34">
        <v>195</v>
      </c>
      <c r="V10" s="35" t="s">
        <v>1373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-18.5670924242424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1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900</v>
      </c>
      <c r="U11" s="34">
        <v>195</v>
      </c>
      <c r="V11" s="35" t="s">
        <v>1373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-18.5670924242424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2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1</v>
      </c>
      <c r="O12" s="32">
        <f t="shared" ref="O12:P12" si="20">D12/7</f>
        <v>0</v>
      </c>
      <c r="P12" s="32">
        <f t="shared" si="20"/>
        <v>0.2857142857142857</v>
      </c>
      <c r="Q12" s="27">
        <f t="shared" si="8"/>
        <v>3</v>
      </c>
      <c r="R12" s="27"/>
      <c r="S12" s="33" t="e">
        <v>#N/A</v>
      </c>
      <c r="T12" s="26">
        <v>900</v>
      </c>
      <c r="U12" s="34">
        <v>195</v>
      </c>
      <c r="V12" s="35" t="s">
        <v>1373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-18.5670924242424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1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900</v>
      </c>
      <c r="U13" s="34">
        <v>195</v>
      </c>
      <c r="V13" s="35" t="s">
        <v>1373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-19.0038045454545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1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1</v>
      </c>
      <c r="O14" s="32">
        <f t="shared" ref="O14:P14" si="22">D14/7</f>
        <v>0</v>
      </c>
      <c r="P14" s="32">
        <f t="shared" si="22"/>
        <v>0.14285714285714285</v>
      </c>
      <c r="Q14" s="27">
        <f t="shared" si="8"/>
        <v>7</v>
      </c>
      <c r="R14" s="27"/>
      <c r="S14" s="33" t="e">
        <v>#N/A</v>
      </c>
      <c r="T14" s="26">
        <v>705</v>
      </c>
      <c r="U14" s="34">
        <v>360</v>
      </c>
      <c r="V14" s="35" t="s">
        <v>106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-19.0038045454545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2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1</v>
      </c>
      <c r="O15" s="32">
        <f t="shared" ref="O15:P15" si="23">D15/7</f>
        <v>0</v>
      </c>
      <c r="P15" s="32">
        <f t="shared" si="23"/>
        <v>0.2857142857142857</v>
      </c>
      <c r="Q15" s="27">
        <f t="shared" si="8"/>
        <v>3</v>
      </c>
      <c r="R15" s="27"/>
      <c r="S15" s="33" t="e">
        <v>#N/A</v>
      </c>
      <c r="T15" s="26">
        <v>990</v>
      </c>
      <c r="U15" s="34" t="s">
        <v>34</v>
      </c>
      <c r="V15" s="35" t="s">
        <v>1374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-19.0038045454545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1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1</v>
      </c>
      <c r="O16" s="32">
        <f t="shared" ref="O16:P16" si="24">D16/7</f>
        <v>0</v>
      </c>
      <c r="P16" s="32">
        <f t="shared" si="24"/>
        <v>0.14285714285714285</v>
      </c>
      <c r="Q16" s="27">
        <f t="shared" si="8"/>
        <v>7</v>
      </c>
      <c r="R16" s="27"/>
      <c r="S16" s="33" t="e">
        <v>#N/A</v>
      </c>
      <c r="T16" s="26">
        <v>1494</v>
      </c>
      <c r="U16" s="34" t="s">
        <v>34</v>
      </c>
      <c r="V16" s="35" t="s">
        <v>1374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-19.0038045454545</v>
      </c>
      <c r="AG16" s="37">
        <v>0</v>
      </c>
    </row>
    <row r="17" spans="1:33" ht="15.75" customHeight="1" x14ac:dyDescent="0.2">
      <c r="A17" s="26" t="s">
        <v>61</v>
      </c>
      <c r="B17" s="26" t="s">
        <v>1375</v>
      </c>
      <c r="C17" s="14">
        <f t="shared" si="4"/>
        <v>55.99</v>
      </c>
      <c r="D17" s="27">
        <v>8</v>
      </c>
      <c r="E17" s="27">
        <v>0</v>
      </c>
      <c r="F17" s="30">
        <v>447.92</v>
      </c>
      <c r="G17" s="28">
        <v>-2.2999999999999998</v>
      </c>
      <c r="H17" s="29">
        <f t="shared" si="1"/>
        <v>5.1348455081264505E-3</v>
      </c>
      <c r="I17" s="29">
        <f t="shared" si="2"/>
        <v>0.32621486791472587</v>
      </c>
      <c r="J17" s="30">
        <f t="shared" si="5"/>
        <v>146.11816363636402</v>
      </c>
      <c r="K17" s="30">
        <f t="shared" si="3"/>
        <v>18.264770454545502</v>
      </c>
      <c r="L17" s="27">
        <v>32</v>
      </c>
      <c r="M17" s="31">
        <f t="shared" si="6"/>
        <v>0.25</v>
      </c>
      <c r="N17" s="27">
        <v>314</v>
      </c>
      <c r="O17" s="32">
        <f t="shared" ref="O17:P17" si="25">D17/7</f>
        <v>1.1428571428571428</v>
      </c>
      <c r="P17" s="32">
        <f t="shared" si="25"/>
        <v>0</v>
      </c>
      <c r="Q17" s="27">
        <f t="shared" si="8"/>
        <v>274</v>
      </c>
      <c r="R17" s="27"/>
      <c r="S17" s="33">
        <v>9.5693779904306206E-2</v>
      </c>
      <c r="T17" s="26">
        <v>1494</v>
      </c>
      <c r="U17" s="34" t="s">
        <v>34</v>
      </c>
      <c r="V17" s="35" t="s">
        <v>1374</v>
      </c>
      <c r="W17" s="26">
        <v>2</v>
      </c>
      <c r="X17" s="36">
        <f t="shared" si="9"/>
        <v>0.25</v>
      </c>
      <c r="Y17" s="37">
        <f t="shared" si="10"/>
        <v>1.1499999999999999</v>
      </c>
      <c r="Z17" s="26">
        <v>0</v>
      </c>
      <c r="AA17" s="26" t="s">
        <v>37</v>
      </c>
      <c r="AB17" s="38">
        <f t="shared" si="11"/>
        <v>-0.69</v>
      </c>
      <c r="AC17" s="39">
        <v>0.86625000000000008</v>
      </c>
      <c r="AD17" s="37">
        <f t="shared" si="12"/>
        <v>-9.5633999999999997</v>
      </c>
      <c r="AE17" s="37">
        <v>-8.84</v>
      </c>
      <c r="AF17" s="37">
        <v>-19.0038045454545</v>
      </c>
      <c r="AG17" s="37">
        <v>0</v>
      </c>
    </row>
    <row r="18" spans="1:33" ht="15.75" customHeight="1" x14ac:dyDescent="0.2">
      <c r="A18" s="26" t="s">
        <v>62</v>
      </c>
      <c r="B18" s="26" t="s">
        <v>1359</v>
      </c>
      <c r="C18" s="14">
        <f t="shared" si="4"/>
        <v>54.304545454545426</v>
      </c>
      <c r="D18" s="27">
        <v>44</v>
      </c>
      <c r="E18" s="27">
        <v>0</v>
      </c>
      <c r="F18" s="30">
        <v>2389.3999999999987</v>
      </c>
      <c r="G18" s="28">
        <v>-10.330000000000002</v>
      </c>
      <c r="H18" s="29">
        <f t="shared" si="1"/>
        <v>4.3232610697246203E-3</v>
      </c>
      <c r="I18" s="29">
        <f t="shared" si="2"/>
        <v>0.31092906168912754</v>
      </c>
      <c r="J18" s="30">
        <f t="shared" si="5"/>
        <v>742.9339000000009</v>
      </c>
      <c r="K18" s="30">
        <f t="shared" si="3"/>
        <v>16.884861363636386</v>
      </c>
      <c r="L18" s="27">
        <v>186</v>
      </c>
      <c r="M18" s="31">
        <f t="shared" si="6"/>
        <v>0.23655913978494625</v>
      </c>
      <c r="N18" s="27">
        <v>273</v>
      </c>
      <c r="O18" s="32">
        <f t="shared" ref="O18:P18" si="26">D18/7</f>
        <v>6.2857142857142856</v>
      </c>
      <c r="P18" s="32">
        <f t="shared" si="26"/>
        <v>0</v>
      </c>
      <c r="Q18" s="27">
        <f t="shared" si="8"/>
        <v>43</v>
      </c>
      <c r="R18" s="27"/>
      <c r="S18" s="33">
        <v>0.40771349862258899</v>
      </c>
      <c r="T18" s="26">
        <v>1380</v>
      </c>
      <c r="U18" s="34">
        <v>231</v>
      </c>
      <c r="V18" s="35" t="s">
        <v>1376</v>
      </c>
      <c r="W18" s="26">
        <v>5</v>
      </c>
      <c r="X18" s="36">
        <f t="shared" si="9"/>
        <v>0.11363636363636363</v>
      </c>
      <c r="Y18" s="37">
        <f t="shared" si="10"/>
        <v>1.0330000000000001</v>
      </c>
      <c r="Z18" s="26">
        <v>5</v>
      </c>
      <c r="AA18" s="26" t="s">
        <v>37</v>
      </c>
      <c r="AB18" s="38">
        <f t="shared" si="11"/>
        <v>-0.69</v>
      </c>
      <c r="AC18" s="39">
        <v>0.86625000000000008</v>
      </c>
      <c r="AD18" s="37">
        <f t="shared" si="12"/>
        <v>-52.598700000000001</v>
      </c>
      <c r="AE18" s="37">
        <v>-8.84</v>
      </c>
      <c r="AF18" s="37">
        <v>-19.0038045454545</v>
      </c>
      <c r="AG18" s="37">
        <v>0</v>
      </c>
    </row>
    <row r="19" spans="1:33" ht="15.75" customHeight="1" x14ac:dyDescent="0.2">
      <c r="A19" s="26" t="s">
        <v>64</v>
      </c>
      <c r="B19" s="26" t="s">
        <v>1377</v>
      </c>
      <c r="C19" s="14">
        <f t="shared" si="4"/>
        <v>47.970360360360345</v>
      </c>
      <c r="D19" s="27">
        <v>111</v>
      </c>
      <c r="E19" s="27">
        <v>0</v>
      </c>
      <c r="F19" s="30">
        <v>5324.7099999999982</v>
      </c>
      <c r="G19" s="28">
        <v>-15.510000000000002</v>
      </c>
      <c r="H19" s="29">
        <f t="shared" si="1"/>
        <v>2.9128346895887299E-3</v>
      </c>
      <c r="I19" s="29">
        <f t="shared" si="2"/>
        <v>0.24172941257919092</v>
      </c>
      <c r="J19" s="30">
        <f t="shared" si="5"/>
        <v>1287.1390204545432</v>
      </c>
      <c r="K19" s="30">
        <f t="shared" si="3"/>
        <v>11.595847031122011</v>
      </c>
      <c r="L19" s="27">
        <v>310</v>
      </c>
      <c r="M19" s="31">
        <f t="shared" si="6"/>
        <v>0.35806451612903228</v>
      </c>
      <c r="N19" s="27">
        <v>224</v>
      </c>
      <c r="O19" s="32">
        <f t="shared" ref="O19:P19" si="27">D19/7</f>
        <v>15.857142857142858</v>
      </c>
      <c r="P19" s="32">
        <f t="shared" si="27"/>
        <v>0</v>
      </c>
      <c r="Q19" s="27">
        <f t="shared" si="8"/>
        <v>14</v>
      </c>
      <c r="R19" s="27"/>
      <c r="S19" s="33">
        <v>0.96703296703296704</v>
      </c>
      <c r="T19" s="26">
        <v>741</v>
      </c>
      <c r="U19" s="34">
        <v>231</v>
      </c>
      <c r="V19" s="35" t="s">
        <v>1376</v>
      </c>
      <c r="W19" s="26">
        <v>15</v>
      </c>
      <c r="X19" s="36">
        <f t="shared" si="9"/>
        <v>0.13513513513513514</v>
      </c>
      <c r="Y19" s="37">
        <f t="shared" si="10"/>
        <v>0.9693750000000001</v>
      </c>
      <c r="Z19" s="26">
        <v>1</v>
      </c>
      <c r="AA19" s="26" t="s">
        <v>37</v>
      </c>
      <c r="AB19" s="38">
        <f t="shared" si="11"/>
        <v>-0.69</v>
      </c>
      <c r="AC19" s="39">
        <v>0.86625000000000008</v>
      </c>
      <c r="AD19" s="37">
        <f t="shared" si="12"/>
        <v>-132.69217499999999</v>
      </c>
      <c r="AE19" s="37">
        <v>-8.84</v>
      </c>
      <c r="AF19" s="37">
        <v>-19.003804545454546</v>
      </c>
      <c r="AG19" s="37">
        <v>0</v>
      </c>
    </row>
    <row r="20" spans="1:33" ht="15.75" customHeight="1" x14ac:dyDescent="0.2">
      <c r="A20" s="26" t="s">
        <v>65</v>
      </c>
      <c r="B20" s="26" t="s">
        <v>1378</v>
      </c>
      <c r="C20" s="14">
        <f t="shared" si="4"/>
        <v>50.569734513274291</v>
      </c>
      <c r="D20" s="27">
        <v>113</v>
      </c>
      <c r="E20" s="27">
        <v>0</v>
      </c>
      <c r="F20" s="30">
        <v>5714.3799999999947</v>
      </c>
      <c r="G20" s="28">
        <v>-14.260000000000002</v>
      </c>
      <c r="H20" s="29">
        <f t="shared" si="1"/>
        <v>2.4954588249293912E-3</v>
      </c>
      <c r="I20" s="29">
        <f t="shared" si="2"/>
        <v>0.27326325189497946</v>
      </c>
      <c r="J20" s="30">
        <f t="shared" si="5"/>
        <v>1561.5300613636314</v>
      </c>
      <c r="K20" s="30">
        <f t="shared" si="3"/>
        <v>13.818850100563109</v>
      </c>
      <c r="L20" s="27">
        <v>391</v>
      </c>
      <c r="M20" s="31">
        <f t="shared" si="6"/>
        <v>0.28900255754475701</v>
      </c>
      <c r="N20" s="27">
        <v>118</v>
      </c>
      <c r="O20" s="32">
        <f t="shared" ref="O20:P20" si="28">D20/7</f>
        <v>16.142857142857142</v>
      </c>
      <c r="P20" s="32">
        <f t="shared" si="28"/>
        <v>0</v>
      </c>
      <c r="Q20" s="27">
        <f t="shared" si="8"/>
        <v>7</v>
      </c>
      <c r="R20" s="27"/>
      <c r="S20" s="33">
        <v>3.7606837606837602</v>
      </c>
      <c r="T20" s="26">
        <v>741</v>
      </c>
      <c r="U20" s="34">
        <v>231</v>
      </c>
      <c r="V20" s="35" t="s">
        <v>1376</v>
      </c>
      <c r="W20" s="26">
        <v>9</v>
      </c>
      <c r="X20" s="36">
        <f t="shared" si="9"/>
        <v>7.9646017699115043E-2</v>
      </c>
      <c r="Y20" s="37">
        <f t="shared" si="10"/>
        <v>1.4260000000000002</v>
      </c>
      <c r="Z20" s="26">
        <v>1</v>
      </c>
      <c r="AA20" s="26" t="s">
        <v>37</v>
      </c>
      <c r="AB20" s="38">
        <f t="shared" si="11"/>
        <v>-0.69</v>
      </c>
      <c r="AC20" s="39">
        <v>0.86625000000000008</v>
      </c>
      <c r="AD20" s="37">
        <f t="shared" si="12"/>
        <v>-135.08302499999999</v>
      </c>
      <c r="AE20" s="37">
        <v>-8.84</v>
      </c>
      <c r="AF20" s="37">
        <v>-19.003804545454546</v>
      </c>
      <c r="AG20" s="37">
        <v>0</v>
      </c>
    </row>
    <row r="21" spans="1:33" ht="15.75" customHeight="1" x14ac:dyDescent="0.2">
      <c r="A21" s="26" t="s">
        <v>66</v>
      </c>
      <c r="B21" s="26" t="s">
        <v>1379</v>
      </c>
      <c r="C21" s="14">
        <f t="shared" si="4"/>
        <v>59.152523364485901</v>
      </c>
      <c r="D21" s="27">
        <v>107</v>
      </c>
      <c r="E21" s="27">
        <v>0</v>
      </c>
      <c r="F21" s="30">
        <v>6329.3199999999915</v>
      </c>
      <c r="G21" s="28">
        <v>-12.47</v>
      </c>
      <c r="H21" s="29">
        <f t="shared" si="1"/>
        <v>1.9701958504231131E-3</v>
      </c>
      <c r="I21" s="29">
        <f t="shared" si="2"/>
        <v>0.35710857384938011</v>
      </c>
      <c r="J21" s="30">
        <f t="shared" si="5"/>
        <v>2260.2544386363556</v>
      </c>
      <c r="K21" s="30">
        <f t="shared" si="3"/>
        <v>21.123873258283698</v>
      </c>
      <c r="L21" s="27">
        <v>242</v>
      </c>
      <c r="M21" s="31">
        <f t="shared" si="6"/>
        <v>0.44214876033057854</v>
      </c>
      <c r="N21" s="27">
        <v>128</v>
      </c>
      <c r="O21" s="32">
        <f t="shared" ref="O21:P21" si="29">D21/7</f>
        <v>15.285714285714286</v>
      </c>
      <c r="P21" s="32">
        <f t="shared" si="29"/>
        <v>0</v>
      </c>
      <c r="Q21" s="27">
        <f t="shared" si="8"/>
        <v>8</v>
      </c>
      <c r="R21" s="27"/>
      <c r="S21" s="33">
        <v>4.4571428571428502</v>
      </c>
      <c r="T21" s="26" t="s">
        <v>34</v>
      </c>
      <c r="U21" s="34" t="s">
        <v>34</v>
      </c>
      <c r="V21" s="35" t="s">
        <v>34</v>
      </c>
      <c r="W21" s="26">
        <v>7</v>
      </c>
      <c r="X21" s="36">
        <f t="shared" si="9"/>
        <v>6.5420560747663545E-2</v>
      </c>
      <c r="Y21" s="37">
        <f t="shared" si="10"/>
        <v>1.7814285714285716</v>
      </c>
      <c r="Z21" s="26">
        <v>0</v>
      </c>
      <c r="AA21" s="26" t="s">
        <v>37</v>
      </c>
      <c r="AB21" s="38">
        <f t="shared" si="11"/>
        <v>-0.69</v>
      </c>
      <c r="AC21" s="39">
        <v>0.86625000000000008</v>
      </c>
      <c r="AD21" s="37">
        <f t="shared" si="12"/>
        <v>-127.91047499999999</v>
      </c>
      <c r="AE21" s="37">
        <v>-8.84</v>
      </c>
      <c r="AF21" s="37">
        <v>-19.003804545454546</v>
      </c>
      <c r="AG21" s="37">
        <v>0</v>
      </c>
    </row>
    <row r="22" spans="1:33" ht="15.75" customHeight="1" x14ac:dyDescent="0.2">
      <c r="A22" s="26" t="s">
        <v>67</v>
      </c>
      <c r="B22" s="26" t="s">
        <v>1380</v>
      </c>
      <c r="C22" s="14">
        <f t="shared" si="4"/>
        <v>62.364035087719287</v>
      </c>
      <c r="D22" s="27">
        <v>57</v>
      </c>
      <c r="E22" s="27">
        <v>0</v>
      </c>
      <c r="F22" s="28">
        <v>3554.7499999999995</v>
      </c>
      <c r="G22" s="28">
        <v>-11.260000000000003</v>
      </c>
      <c r="H22" s="29">
        <f t="shared" si="1"/>
        <v>3.167592657711514E-3</v>
      </c>
      <c r="I22" s="29">
        <f t="shared" si="2"/>
        <v>0.38119176198300592</v>
      </c>
      <c r="J22" s="30">
        <f t="shared" si="5"/>
        <v>1355.0414159090901</v>
      </c>
      <c r="K22" s="30">
        <f t="shared" si="3"/>
        <v>23.772656419457721</v>
      </c>
      <c r="L22" s="27">
        <v>311</v>
      </c>
      <c r="M22" s="31">
        <f t="shared" si="6"/>
        <v>0.18327974276527331</v>
      </c>
      <c r="N22" s="27">
        <v>74</v>
      </c>
      <c r="O22" s="32">
        <f t="shared" ref="O22:P22" si="30">D22/7</f>
        <v>8.1428571428571423</v>
      </c>
      <c r="P22" s="32">
        <f t="shared" si="30"/>
        <v>0</v>
      </c>
      <c r="Q22" s="27">
        <f t="shared" si="8"/>
        <v>9</v>
      </c>
      <c r="R22" s="27"/>
      <c r="S22" s="33">
        <v>3.70989010989011</v>
      </c>
      <c r="T22" s="26" t="s">
        <v>34</v>
      </c>
      <c r="U22" s="34" t="s">
        <v>34</v>
      </c>
      <c r="V22" s="35" t="s">
        <v>34</v>
      </c>
      <c r="W22" s="26">
        <v>2</v>
      </c>
      <c r="X22" s="36">
        <f t="shared" si="9"/>
        <v>3.5087719298245612E-2</v>
      </c>
      <c r="Y22" s="37">
        <f t="shared" si="10"/>
        <v>3.7533333333333343</v>
      </c>
      <c r="Z22" s="26">
        <v>1</v>
      </c>
      <c r="AA22" s="26" t="s">
        <v>37</v>
      </c>
      <c r="AB22" s="38">
        <f t="shared" si="11"/>
        <v>-0.69</v>
      </c>
      <c r="AC22" s="39">
        <v>0.86625000000000008</v>
      </c>
      <c r="AD22" s="37">
        <f t="shared" si="12"/>
        <v>-68.139224999999996</v>
      </c>
      <c r="AE22" s="37">
        <v>-8.84</v>
      </c>
      <c r="AF22" s="37">
        <v>-19.003804545454546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>
        <f t="shared" si="4"/>
        <v>66.339137931034401</v>
      </c>
      <c r="D23" s="27">
        <v>58</v>
      </c>
      <c r="E23" s="27">
        <v>0</v>
      </c>
      <c r="F23" s="30">
        <v>3847.6699999999951</v>
      </c>
      <c r="G23" s="28">
        <v>-10.620000000000001</v>
      </c>
      <c r="H23" s="29">
        <f t="shared" si="1"/>
        <v>2.7601119638638485E-3</v>
      </c>
      <c r="I23" s="29">
        <f t="shared" si="2"/>
        <v>0.40950086321426588</v>
      </c>
      <c r="J23" s="30">
        <f t="shared" si="5"/>
        <v>1575.6241863636324</v>
      </c>
      <c r="K23" s="30">
        <f t="shared" si="3"/>
        <v>27.165934247648835</v>
      </c>
      <c r="L23" s="27">
        <v>262</v>
      </c>
      <c r="M23" s="31">
        <f t="shared" si="6"/>
        <v>0.22137404580152673</v>
      </c>
      <c r="N23" s="27">
        <v>10</v>
      </c>
      <c r="O23" s="32">
        <f t="shared" ref="O23:P23" si="31">D23/7</f>
        <v>8.2857142857142865</v>
      </c>
      <c r="P23" s="32">
        <f t="shared" si="31"/>
        <v>0</v>
      </c>
      <c r="Q23" s="27">
        <f t="shared" si="8"/>
        <v>1</v>
      </c>
      <c r="R23" s="27"/>
      <c r="S23" s="33">
        <v>4.6564102564102496</v>
      </c>
      <c r="T23" s="26">
        <v>732</v>
      </c>
      <c r="U23" s="34">
        <v>231</v>
      </c>
      <c r="V23" s="35" t="s">
        <v>1381</v>
      </c>
      <c r="W23" s="26">
        <v>4</v>
      </c>
      <c r="X23" s="36">
        <f t="shared" si="9"/>
        <v>6.8965517241379309E-2</v>
      </c>
      <c r="Y23" s="37">
        <f t="shared" si="10"/>
        <v>1.0620000000000001</v>
      </c>
      <c r="Z23" s="26">
        <v>6</v>
      </c>
      <c r="AA23" s="26" t="s">
        <v>37</v>
      </c>
      <c r="AB23" s="38">
        <f t="shared" si="11"/>
        <v>-0.69</v>
      </c>
      <c r="AC23" s="39">
        <v>0.86625000000000008</v>
      </c>
      <c r="AD23" s="37">
        <f t="shared" si="12"/>
        <v>-69.334649999999996</v>
      </c>
      <c r="AE23" s="37">
        <v>-8.84</v>
      </c>
      <c r="AF23" s="37">
        <v>-19.003804545454546</v>
      </c>
      <c r="AG23" s="37">
        <v>0</v>
      </c>
    </row>
    <row r="24" spans="1:33" ht="15.75" customHeight="1" x14ac:dyDescent="0.2">
      <c r="A24" s="26" t="s">
        <v>71</v>
      </c>
      <c r="B24" s="26" t="s">
        <v>76</v>
      </c>
      <c r="C24" s="14">
        <f t="shared" si="4"/>
        <v>66.585555555555558</v>
      </c>
      <c r="D24" s="27">
        <v>9</v>
      </c>
      <c r="E24" s="27">
        <v>6</v>
      </c>
      <c r="F24" s="30">
        <v>599.27</v>
      </c>
      <c r="G24" s="30">
        <v>-6.6500000000000012</v>
      </c>
      <c r="H24" s="29">
        <f t="shared" si="1"/>
        <v>1.1096834481953045E-2</v>
      </c>
      <c r="I24" s="29">
        <f t="shared" si="2"/>
        <v>0.40278411081967908</v>
      </c>
      <c r="J24" s="30">
        <f t="shared" si="5"/>
        <v>241.37643409090907</v>
      </c>
      <c r="K24" s="30">
        <f t="shared" si="3"/>
        <v>26.819603787878787</v>
      </c>
      <c r="L24" s="27">
        <v>221</v>
      </c>
      <c r="M24" s="31">
        <f t="shared" si="6"/>
        <v>4.072398190045249E-2</v>
      </c>
      <c r="N24" s="27">
        <v>2</v>
      </c>
      <c r="O24" s="32">
        <f t="shared" ref="O24:P24" si="32">D24/7</f>
        <v>1.2857142857142858</v>
      </c>
      <c r="P24" s="32">
        <f t="shared" si="32"/>
        <v>0.8571428571428571</v>
      </c>
      <c r="Q24" s="27">
        <f t="shared" si="8"/>
        <v>0</v>
      </c>
      <c r="R24" s="27"/>
      <c r="S24" s="33">
        <v>6.6531986531986496</v>
      </c>
      <c r="T24" s="26">
        <v>1977</v>
      </c>
      <c r="U24" s="34">
        <v>231</v>
      </c>
      <c r="V24" s="35" t="s">
        <v>1381</v>
      </c>
      <c r="W24" s="26">
        <v>1</v>
      </c>
      <c r="X24" s="36">
        <f t="shared" si="9"/>
        <v>0.1111111111111111</v>
      </c>
      <c r="Y24" s="37">
        <f t="shared" si="10"/>
        <v>1.1083333333333336</v>
      </c>
      <c r="Z24" s="26">
        <v>5</v>
      </c>
      <c r="AA24" s="26" t="s">
        <v>37</v>
      </c>
      <c r="AB24" s="38">
        <f t="shared" si="11"/>
        <v>-0.69</v>
      </c>
      <c r="AC24" s="39">
        <v>0.86625000000000008</v>
      </c>
      <c r="AD24" s="37">
        <f t="shared" si="12"/>
        <v>-10.758825</v>
      </c>
      <c r="AE24" s="37">
        <v>-8.84</v>
      </c>
      <c r="AF24" s="37">
        <v>-19.003804545454546</v>
      </c>
      <c r="AG24" s="37">
        <v>0</v>
      </c>
    </row>
    <row r="25" spans="1:33" ht="15.75" customHeight="1" x14ac:dyDescent="0.2">
      <c r="A25" s="40" t="s">
        <v>73</v>
      </c>
      <c r="B25" s="26" t="s">
        <v>76</v>
      </c>
      <c r="C25" s="14">
        <f t="shared" si="4"/>
        <v>67.613333333333316</v>
      </c>
      <c r="D25" s="15">
        <v>6</v>
      </c>
      <c r="E25" s="15">
        <v>3</v>
      </c>
      <c r="F25" s="16">
        <v>405.67999999999989</v>
      </c>
      <c r="G25" s="16">
        <v>-1.58</v>
      </c>
      <c r="H25" s="29">
        <f t="shared" si="1"/>
        <v>3.8946953263656096E-3</v>
      </c>
      <c r="I25" s="29">
        <f t="shared" si="2"/>
        <v>0.41667188424373885</v>
      </c>
      <c r="J25" s="30">
        <f t="shared" si="5"/>
        <v>169.03544999999994</v>
      </c>
      <c r="K25" s="30">
        <f t="shared" si="3"/>
        <v>28.172574999999991</v>
      </c>
      <c r="L25" s="15">
        <v>155</v>
      </c>
      <c r="M25" s="31">
        <f t="shared" si="6"/>
        <v>3.870967741935484E-2</v>
      </c>
      <c r="N25" s="15">
        <v>1</v>
      </c>
      <c r="O25" s="32">
        <f t="shared" ref="O25:P25" si="33">D25/7</f>
        <v>0.8571428571428571</v>
      </c>
      <c r="P25" s="32">
        <f t="shared" si="33"/>
        <v>0.42857142857142855</v>
      </c>
      <c r="Q25" s="27">
        <f t="shared" si="8"/>
        <v>0</v>
      </c>
      <c r="R25" s="27"/>
      <c r="S25" s="41">
        <v>13.863013698630141</v>
      </c>
      <c r="T25" s="26">
        <v>1746</v>
      </c>
      <c r="U25" s="34">
        <v>501</v>
      </c>
      <c r="V25" s="35" t="s">
        <v>1382</v>
      </c>
      <c r="W25" s="40">
        <v>0</v>
      </c>
      <c r="X25" s="36">
        <f t="shared" si="9"/>
        <v>0</v>
      </c>
      <c r="Y25" s="37">
        <f t="shared" si="10"/>
        <v>1.58</v>
      </c>
      <c r="Z25" s="40">
        <v>1</v>
      </c>
      <c r="AA25" s="26" t="s">
        <v>37</v>
      </c>
      <c r="AB25" s="38">
        <f t="shared" si="11"/>
        <v>-0.69</v>
      </c>
      <c r="AC25" s="39">
        <v>0.86625000000000008</v>
      </c>
      <c r="AD25" s="37">
        <f t="shared" si="12"/>
        <v>-7.1725499999999993</v>
      </c>
      <c r="AE25" s="42">
        <v>-8.84</v>
      </c>
      <c r="AF25" s="42">
        <v>-19</v>
      </c>
      <c r="AG25" s="42">
        <v>0</v>
      </c>
    </row>
    <row r="26" spans="1:33" ht="15.75" customHeight="1" x14ac:dyDescent="0.2">
      <c r="A26" s="40" t="s">
        <v>75</v>
      </c>
      <c r="B26" s="40" t="s">
        <v>1355</v>
      </c>
      <c r="C26" s="14">
        <f t="shared" si="4"/>
        <v>67.673333333333332</v>
      </c>
      <c r="D26" s="15">
        <v>3</v>
      </c>
      <c r="E26" s="15">
        <v>0</v>
      </c>
      <c r="F26" s="16">
        <v>203.02</v>
      </c>
      <c r="G26" s="16">
        <v>-3.24</v>
      </c>
      <c r="H26" s="29">
        <f t="shared" si="1"/>
        <v>1.5959018815880209E-2</v>
      </c>
      <c r="I26" s="29">
        <f t="shared" si="2"/>
        <v>0.41616250302254204</v>
      </c>
      <c r="J26" s="30">
        <f t="shared" si="5"/>
        <v>84.489311363636489</v>
      </c>
      <c r="K26" s="30">
        <f t="shared" si="3"/>
        <v>28.163103787878828</v>
      </c>
      <c r="L26" s="15">
        <v>98</v>
      </c>
      <c r="M26" s="31">
        <f t="shared" si="6"/>
        <v>3.0612244897959183E-2</v>
      </c>
      <c r="N26" s="15">
        <v>2</v>
      </c>
      <c r="O26" s="32">
        <f t="shared" ref="O26:P26" si="34">D26/7</f>
        <v>0.42857142857142855</v>
      </c>
      <c r="P26" s="32">
        <f t="shared" si="34"/>
        <v>0</v>
      </c>
      <c r="Q26" s="27">
        <f t="shared" si="8"/>
        <v>4</v>
      </c>
      <c r="R26" s="27"/>
      <c r="S26" s="41">
        <v>4.0477137176938367</v>
      </c>
      <c r="T26" s="26">
        <v>1746</v>
      </c>
      <c r="U26" s="34">
        <v>501</v>
      </c>
      <c r="V26" s="35" t="s">
        <v>1383</v>
      </c>
      <c r="W26" s="40">
        <v>0</v>
      </c>
      <c r="X26" s="36">
        <f t="shared" si="9"/>
        <v>0</v>
      </c>
      <c r="Y26" s="37">
        <f t="shared" si="10"/>
        <v>1.08</v>
      </c>
      <c r="Z26" s="40">
        <v>3</v>
      </c>
      <c r="AA26" s="26" t="s">
        <v>37</v>
      </c>
      <c r="AB26" s="38">
        <f t="shared" si="11"/>
        <v>-0.69</v>
      </c>
      <c r="AC26" s="40">
        <v>0.86625000000000008</v>
      </c>
      <c r="AD26" s="37">
        <f t="shared" si="12"/>
        <v>-3.5862749999999997</v>
      </c>
      <c r="AE26" s="42">
        <v>-8.08</v>
      </c>
      <c r="AF26" s="42">
        <v>-19.0038045454545</v>
      </c>
      <c r="AG26" s="42">
        <v>0</v>
      </c>
    </row>
    <row r="27" spans="1:33" ht="15.75" customHeight="1" x14ac:dyDescent="0.2">
      <c r="A27" s="40" t="s">
        <v>77</v>
      </c>
      <c r="B27" s="40" t="s">
        <v>1378</v>
      </c>
      <c r="C27" s="14">
        <f t="shared" si="4"/>
        <v>65.989999999999995</v>
      </c>
      <c r="D27" s="15">
        <v>16</v>
      </c>
      <c r="E27" s="15">
        <v>0</v>
      </c>
      <c r="F27" s="16">
        <v>1055.8399999999999</v>
      </c>
      <c r="G27" s="16">
        <v>-12</v>
      </c>
      <c r="H27" s="29">
        <f t="shared" si="1"/>
        <v>1.1365358387634491E-2</v>
      </c>
      <c r="I27" s="29">
        <f t="shared" si="2"/>
        <v>0.41009653666533563</v>
      </c>
      <c r="J27" s="30">
        <f t="shared" si="5"/>
        <v>432.99632727272797</v>
      </c>
      <c r="K27" s="30">
        <f t="shared" si="3"/>
        <v>27.062270454545498</v>
      </c>
      <c r="L27" s="15">
        <v>140</v>
      </c>
      <c r="M27" s="31">
        <f t="shared" si="6"/>
        <v>0.11428571428571428</v>
      </c>
      <c r="N27" s="15">
        <v>222</v>
      </c>
      <c r="O27" s="32">
        <f t="shared" ref="O27:P27" si="35">D27/7</f>
        <v>2.2857142857142856</v>
      </c>
      <c r="P27" s="32">
        <f t="shared" si="35"/>
        <v>0</v>
      </c>
      <c r="Q27" s="27">
        <f t="shared" si="8"/>
        <v>97</v>
      </c>
      <c r="R27" s="27"/>
      <c r="S27" s="41">
        <v>3.3279999999999998</v>
      </c>
      <c r="T27" s="26">
        <v>1746</v>
      </c>
      <c r="U27" s="34">
        <v>501</v>
      </c>
      <c r="V27" s="35" t="s">
        <v>1383</v>
      </c>
      <c r="W27" s="40">
        <v>4</v>
      </c>
      <c r="X27" s="36">
        <f t="shared" si="9"/>
        <v>0.25</v>
      </c>
      <c r="Y27" s="37">
        <f t="shared" si="10"/>
        <v>2.4</v>
      </c>
      <c r="Z27" s="40">
        <v>1</v>
      </c>
      <c r="AA27" s="26" t="s">
        <v>37</v>
      </c>
      <c r="AB27" s="38">
        <f t="shared" si="11"/>
        <v>-0.69</v>
      </c>
      <c r="AC27" s="39">
        <v>0.86625000000000008</v>
      </c>
      <c r="AD27" s="37">
        <f t="shared" si="12"/>
        <v>-19.126799999999999</v>
      </c>
      <c r="AE27" s="42">
        <v>-8.08</v>
      </c>
      <c r="AF27" s="42">
        <v>-19.0038045454545</v>
      </c>
      <c r="AG27" s="42">
        <v>0</v>
      </c>
    </row>
    <row r="28" spans="1:33" ht="15.75" customHeight="1" x14ac:dyDescent="0.2">
      <c r="A28" s="40" t="s">
        <v>79</v>
      </c>
      <c r="B28" s="40" t="s">
        <v>1384</v>
      </c>
      <c r="C28" s="14">
        <f t="shared" si="4"/>
        <v>63.924752475247523</v>
      </c>
      <c r="D28" s="15">
        <v>101</v>
      </c>
      <c r="E28" s="15">
        <v>0</v>
      </c>
      <c r="F28" s="16">
        <v>6456.4</v>
      </c>
      <c r="G28" s="16">
        <v>-11.26</v>
      </c>
      <c r="H28" s="29">
        <f t="shared" si="1"/>
        <v>1.7440059475868905E-3</v>
      </c>
      <c r="I28" s="29">
        <f t="shared" si="2"/>
        <v>0.40587290377131147</v>
      </c>
      <c r="J28" s="30">
        <f t="shared" si="5"/>
        <v>2620.4778159090952</v>
      </c>
      <c r="K28" s="30">
        <f t="shared" si="3"/>
        <v>25.94532490999104</v>
      </c>
      <c r="L28" s="15">
        <v>330</v>
      </c>
      <c r="M28" s="31">
        <f t="shared" si="6"/>
        <v>0.30606060606060603</v>
      </c>
      <c r="N28" s="15">
        <v>131</v>
      </c>
      <c r="O28" s="32">
        <f t="shared" ref="O28:P28" si="36">D28/7</f>
        <v>14.428571428571429</v>
      </c>
      <c r="P28" s="32">
        <f t="shared" si="36"/>
        <v>0</v>
      </c>
      <c r="Q28" s="27">
        <f t="shared" si="8"/>
        <v>9</v>
      </c>
      <c r="R28" s="27"/>
      <c r="S28" s="41">
        <v>4.8295687885010263</v>
      </c>
      <c r="T28" s="40">
        <v>942</v>
      </c>
      <c r="U28" s="22">
        <v>804</v>
      </c>
      <c r="V28" s="1" t="s">
        <v>1385</v>
      </c>
      <c r="W28" s="40">
        <v>9</v>
      </c>
      <c r="X28" s="36">
        <f t="shared" si="9"/>
        <v>8.9108910891089105E-2</v>
      </c>
      <c r="Y28" s="37">
        <f t="shared" si="10"/>
        <v>1.2511111111111111</v>
      </c>
      <c r="Z28" s="40">
        <v>0</v>
      </c>
      <c r="AA28" s="26" t="s">
        <v>37</v>
      </c>
      <c r="AB28" s="38">
        <f t="shared" si="11"/>
        <v>-0.69</v>
      </c>
      <c r="AC28" s="39">
        <v>0.86625000000000008</v>
      </c>
      <c r="AD28" s="37">
        <f t="shared" si="12"/>
        <v>-120.73792499999999</v>
      </c>
      <c r="AE28" s="42">
        <v>-8.08</v>
      </c>
      <c r="AF28" s="42">
        <v>-19.0038045454545</v>
      </c>
      <c r="AG28" s="42">
        <v>0</v>
      </c>
    </row>
    <row r="29" spans="1:33" ht="15.75" customHeight="1" x14ac:dyDescent="0.2">
      <c r="A29" s="26" t="s">
        <v>82</v>
      </c>
      <c r="B29" s="26" t="s">
        <v>76</v>
      </c>
      <c r="C29" s="14">
        <f t="shared" si="4"/>
        <v>64.32415841584158</v>
      </c>
      <c r="D29" s="27">
        <v>101</v>
      </c>
      <c r="E29" s="27">
        <v>0</v>
      </c>
      <c r="F29" s="30">
        <v>6496.74</v>
      </c>
      <c r="G29" s="30">
        <v>-11.41</v>
      </c>
      <c r="H29" s="29">
        <f t="shared" si="1"/>
        <v>1.75626545005649E-3</v>
      </c>
      <c r="I29" s="29">
        <f t="shared" si="2"/>
        <v>0.40860751944961554</v>
      </c>
      <c r="J29" s="30">
        <f t="shared" si="5"/>
        <v>2654.6168159090953</v>
      </c>
      <c r="K29" s="30">
        <f t="shared" si="3"/>
        <v>26.283334810981142</v>
      </c>
      <c r="L29" s="27">
        <v>380</v>
      </c>
      <c r="M29" s="31">
        <f t="shared" si="6"/>
        <v>0.26578947368421052</v>
      </c>
      <c r="N29" s="15">
        <v>26</v>
      </c>
      <c r="O29" s="32">
        <f t="shared" ref="O29:P29" si="37">D29/7</f>
        <v>14.428571428571429</v>
      </c>
      <c r="P29" s="32">
        <f t="shared" si="37"/>
        <v>0</v>
      </c>
      <c r="Q29" s="27">
        <f t="shared" si="8"/>
        <v>1</v>
      </c>
      <c r="R29" s="27"/>
      <c r="S29" s="41">
        <v>11.377049180327869</v>
      </c>
      <c r="T29" s="40" t="s">
        <v>34</v>
      </c>
      <c r="U29" s="22" t="s">
        <v>34</v>
      </c>
      <c r="V29" s="1" t="s">
        <v>34</v>
      </c>
      <c r="W29" s="40">
        <v>4</v>
      </c>
      <c r="X29" s="36">
        <f t="shared" si="9"/>
        <v>3.9603960396039604E-2</v>
      </c>
      <c r="Y29" s="37">
        <f t="shared" si="10"/>
        <v>1.6300000000000001</v>
      </c>
      <c r="Z29" s="40">
        <v>3</v>
      </c>
      <c r="AA29" s="26" t="s">
        <v>37</v>
      </c>
      <c r="AB29" s="38">
        <f t="shared" si="11"/>
        <v>-0.69</v>
      </c>
      <c r="AC29" s="39">
        <v>0.86625000000000008</v>
      </c>
      <c r="AD29" s="37">
        <f t="shared" si="12"/>
        <v>-120.73792499999999</v>
      </c>
      <c r="AE29" s="37">
        <v>-8.08</v>
      </c>
      <c r="AF29" s="42">
        <v>-19.0038045454545</v>
      </c>
      <c r="AG29" s="37">
        <v>0</v>
      </c>
    </row>
    <row r="30" spans="1:33" ht="15.75" customHeight="1" x14ac:dyDescent="0.2">
      <c r="A30" s="40" t="s">
        <v>84</v>
      </c>
      <c r="B30" s="26" t="s">
        <v>76</v>
      </c>
      <c r="C30" s="14">
        <f t="shared" si="4"/>
        <v>70.488749999999996</v>
      </c>
      <c r="D30" s="15">
        <v>16</v>
      </c>
      <c r="E30" s="15">
        <v>0</v>
      </c>
      <c r="F30" s="16">
        <v>1127.82</v>
      </c>
      <c r="G30" s="16">
        <v>-8.82</v>
      </c>
      <c r="H30" s="29">
        <f t="shared" si="1"/>
        <v>7.8203968718412523E-3</v>
      </c>
      <c r="I30" s="29">
        <f t="shared" si="2"/>
        <v>0.43179220599031753</v>
      </c>
      <c r="J30" s="30">
        <f t="shared" si="5"/>
        <v>486.98388575999991</v>
      </c>
      <c r="K30" s="30">
        <f t="shared" si="3"/>
        <v>30.436492859999994</v>
      </c>
      <c r="L30" s="15">
        <v>187</v>
      </c>
      <c r="M30" s="31">
        <f t="shared" si="6"/>
        <v>8.5561497326203204E-2</v>
      </c>
      <c r="N30" s="15">
        <v>2</v>
      </c>
      <c r="O30" s="32">
        <f t="shared" ref="O30:P30" si="38">D30/7</f>
        <v>2.2857142857142856</v>
      </c>
      <c r="P30" s="32">
        <f t="shared" si="38"/>
        <v>0</v>
      </c>
      <c r="Q30" s="27">
        <f t="shared" si="8"/>
        <v>0</v>
      </c>
      <c r="R30" s="27"/>
      <c r="S30" s="41">
        <v>8.4521739130434774</v>
      </c>
      <c r="T30" s="26">
        <v>2049</v>
      </c>
      <c r="U30" s="34">
        <v>501</v>
      </c>
      <c r="V30" s="35" t="s">
        <v>1386</v>
      </c>
      <c r="W30" s="40">
        <v>1</v>
      </c>
      <c r="X30" s="36">
        <f t="shared" si="9"/>
        <v>6.25E-2</v>
      </c>
      <c r="Y30" s="37">
        <f t="shared" si="10"/>
        <v>2.94</v>
      </c>
      <c r="Z30" s="40">
        <v>2</v>
      </c>
      <c r="AA30" s="26" t="s">
        <v>37</v>
      </c>
      <c r="AB30" s="38">
        <f t="shared" si="11"/>
        <v>-0.69</v>
      </c>
      <c r="AC30" s="39">
        <v>0.86625000000000008</v>
      </c>
      <c r="AD30" s="37">
        <f t="shared" si="12"/>
        <v>-19.126799999999999</v>
      </c>
      <c r="AE30" s="42">
        <v>-8.08</v>
      </c>
      <c r="AF30" s="42">
        <v>-19.65226964</v>
      </c>
      <c r="AG30" s="42">
        <v>0</v>
      </c>
    </row>
    <row r="31" spans="1:33" ht="15.75" customHeight="1" x14ac:dyDescent="0.2">
      <c r="A31" s="40" t="s">
        <v>87</v>
      </c>
      <c r="B31" s="26" t="s">
        <v>76</v>
      </c>
      <c r="C31" s="14">
        <f t="shared" si="4"/>
        <v>69.989999999999995</v>
      </c>
      <c r="D31" s="15">
        <v>1</v>
      </c>
      <c r="E31" s="15">
        <v>1</v>
      </c>
      <c r="F31" s="16">
        <v>69.989999999999995</v>
      </c>
      <c r="G31" s="43">
        <v>-3.4600000000000004</v>
      </c>
      <c r="H31" s="29">
        <f t="shared" si="1"/>
        <v>4.9435633661951715E-2</v>
      </c>
      <c r="I31" s="29">
        <f t="shared" si="2"/>
        <v>0.38725254122017427</v>
      </c>
      <c r="J31" s="30">
        <f t="shared" si="5"/>
        <v>27.103805359999996</v>
      </c>
      <c r="K31" s="30">
        <f t="shared" si="3"/>
        <v>27.103805359999996</v>
      </c>
      <c r="L31" s="15">
        <v>55</v>
      </c>
      <c r="M31" s="31">
        <f t="shared" si="6"/>
        <v>1.8181818181818181E-2</v>
      </c>
      <c r="N31" s="15">
        <v>1</v>
      </c>
      <c r="O31" s="32">
        <f t="shared" ref="O31:P31" si="39">D31/7</f>
        <v>0.14285714285714285</v>
      </c>
      <c r="P31" s="32">
        <f t="shared" si="39"/>
        <v>0.14285714285714285</v>
      </c>
      <c r="Q31" s="27">
        <f t="shared" si="8"/>
        <v>3</v>
      </c>
      <c r="R31" s="27"/>
      <c r="S31" s="41">
        <v>4.01711840228245</v>
      </c>
      <c r="T31" s="40">
        <v>759</v>
      </c>
      <c r="U31" s="22">
        <v>1101</v>
      </c>
      <c r="V31" s="1" t="s">
        <v>1387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0.86625000000000008</v>
      </c>
      <c r="AD31" s="37">
        <f t="shared" si="12"/>
        <v>-1.195425</v>
      </c>
      <c r="AE31" s="45">
        <v>-8.08</v>
      </c>
      <c r="AF31" s="45">
        <v>-19.65226964</v>
      </c>
      <c r="AG31" s="42">
        <v>0</v>
      </c>
    </row>
    <row r="32" spans="1:33" ht="15.75" customHeight="1" x14ac:dyDescent="0.2">
      <c r="A32" s="40" t="s">
        <v>90</v>
      </c>
      <c r="B32" s="50" t="s">
        <v>1388</v>
      </c>
      <c r="C32" s="14">
        <f t="shared" si="4"/>
        <v>67.157499999999999</v>
      </c>
      <c r="D32" s="15">
        <v>16</v>
      </c>
      <c r="E32" s="15">
        <v>7</v>
      </c>
      <c r="F32" s="16">
        <v>1074.52</v>
      </c>
      <c r="G32" s="16">
        <v>-7.62</v>
      </c>
      <c r="H32" s="29">
        <f t="shared" si="1"/>
        <v>7.0915385474444401E-3</v>
      </c>
      <c r="I32" s="29">
        <f t="shared" si="2"/>
        <v>0.41216439504150693</v>
      </c>
      <c r="J32" s="30">
        <f t="shared" si="5"/>
        <v>442.87888576</v>
      </c>
      <c r="K32" s="30">
        <f t="shared" si="3"/>
        <v>27.67993036</v>
      </c>
      <c r="L32" s="15">
        <v>157</v>
      </c>
      <c r="M32" s="31">
        <f t="shared" si="6"/>
        <v>0.10191082802547771</v>
      </c>
      <c r="N32" s="15">
        <v>496</v>
      </c>
      <c r="O32" s="32">
        <f t="shared" ref="O32:P32" si="40">D32/7</f>
        <v>2.2857142857142856</v>
      </c>
      <c r="P32" s="32">
        <f t="shared" si="40"/>
        <v>1</v>
      </c>
      <c r="Q32" s="27">
        <f t="shared" si="8"/>
        <v>150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2.4312195121951219</v>
      </c>
      <c r="T32" s="40">
        <f ca="1">IFERROR(__xludf.DUMMYFUNCTION("IFERROR(VLOOKUP($B$2,IMPORTRANGE(""https://docs.google.com/spreadsheets/d/1KiWZV1ko8G7lnRucBRBd29jj3Be6ltMfljMDqzOkQmI/edit#gid=1381463014"",""Lookup!A:D""),4,FALSE),"""")"),759)</f>
        <v>759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AGL253  - 600 units 11/01")</f>
        <v>| AGL253  - 600 units 11/01</v>
      </c>
      <c r="W32" s="40">
        <v>2</v>
      </c>
      <c r="X32" s="36">
        <f t="shared" si="9"/>
        <v>0.125</v>
      </c>
      <c r="Y32" s="37">
        <f t="shared" si="10"/>
        <v>3.81</v>
      </c>
      <c r="Z32" s="40">
        <v>0</v>
      </c>
      <c r="AA32" s="40" t="s">
        <v>37</v>
      </c>
      <c r="AB32" s="38">
        <f t="shared" si="11"/>
        <v>-0.69</v>
      </c>
      <c r="AC32" s="44">
        <v>0.86625000000000008</v>
      </c>
      <c r="AD32" s="37">
        <f t="shared" si="12"/>
        <v>-19.126799999999999</v>
      </c>
      <c r="AE32" s="42">
        <v>-8.08</v>
      </c>
      <c r="AF32" s="42">
        <v>-19.65226964</v>
      </c>
      <c r="AG32" s="42">
        <v>0</v>
      </c>
    </row>
    <row r="33" spans="3:33" ht="15.75" customHeight="1" x14ac:dyDescent="0.2"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U33" s="22"/>
      <c r="V33" s="1"/>
      <c r="AA33" s="2"/>
      <c r="AE33" s="42"/>
      <c r="AF33" s="42"/>
      <c r="AG33" s="42"/>
    </row>
    <row r="34" spans="3:33" ht="15.75" customHeight="1" x14ac:dyDescent="0.2"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U34" s="22"/>
      <c r="V34" s="1"/>
      <c r="AA34" s="2"/>
      <c r="AE34" s="42"/>
      <c r="AF34" s="42"/>
      <c r="AG34" s="42"/>
    </row>
    <row r="35" spans="3:33" ht="15.75" customHeight="1" x14ac:dyDescent="0.2"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U35" s="22"/>
      <c r="V35" s="1"/>
      <c r="AA35" s="2"/>
      <c r="AE35" s="42"/>
      <c r="AF35" s="42"/>
      <c r="AG35" s="42"/>
    </row>
    <row r="36" spans="3:33" ht="15.75" customHeight="1" x14ac:dyDescent="0.2"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U36" s="22"/>
      <c r="V36" s="1"/>
      <c r="AA36" s="2"/>
      <c r="AE36" s="42"/>
      <c r="AF36" s="42"/>
      <c r="AG36" s="42"/>
    </row>
    <row r="37" spans="3:33" ht="15.75" customHeight="1" x14ac:dyDescent="0.2"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U37" s="22"/>
      <c r="V37" s="1"/>
      <c r="AA37" s="2"/>
      <c r="AE37" s="42"/>
      <c r="AF37" s="42"/>
      <c r="AG37" s="42"/>
    </row>
    <row r="38" spans="3:33" ht="15.75" customHeight="1" x14ac:dyDescent="0.2"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U38" s="22"/>
      <c r="V38" s="1"/>
      <c r="AA38" s="2"/>
      <c r="AE38" s="42"/>
      <c r="AF38" s="42"/>
      <c r="AG38" s="42"/>
    </row>
    <row r="39" spans="3:33" ht="15.75" customHeight="1" x14ac:dyDescent="0.2"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U39" s="22"/>
      <c r="V39" s="1"/>
      <c r="AA39" s="2"/>
      <c r="AE39" s="42"/>
      <c r="AF39" s="42"/>
      <c r="AG39" s="42"/>
    </row>
    <row r="40" spans="3:33" ht="15.75" customHeight="1" x14ac:dyDescent="0.2"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U40" s="22"/>
      <c r="V40" s="1"/>
      <c r="AA40" s="2"/>
      <c r="AE40" s="42"/>
      <c r="AF40" s="42"/>
      <c r="AG40" s="42"/>
    </row>
    <row r="41" spans="3:33" ht="15.75" customHeight="1" x14ac:dyDescent="0.2"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U41" s="22"/>
      <c r="V41" s="1"/>
      <c r="AA41" s="2"/>
      <c r="AE41" s="42"/>
      <c r="AF41" s="42"/>
      <c r="AG41" s="42"/>
    </row>
    <row r="42" spans="3:33" ht="15.75" customHeight="1" x14ac:dyDescent="0.2"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U42" s="22"/>
      <c r="V42" s="1"/>
      <c r="AA42" s="2"/>
      <c r="AE42" s="42"/>
      <c r="AF42" s="42"/>
      <c r="AG42" s="42"/>
    </row>
    <row r="43" spans="3:33" ht="15.75" customHeight="1" x14ac:dyDescent="0.2"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U43" s="22"/>
      <c r="V43" s="1"/>
      <c r="AA43" s="2"/>
      <c r="AE43" s="42"/>
      <c r="AF43" s="42"/>
      <c r="AG43" s="42"/>
    </row>
    <row r="44" spans="3:33" ht="15.75" customHeight="1" x14ac:dyDescent="0.2"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U44" s="22"/>
      <c r="V44" s="1"/>
      <c r="AA44" s="2"/>
      <c r="AE44" s="42"/>
      <c r="AF44" s="42"/>
      <c r="AG44" s="42"/>
    </row>
    <row r="45" spans="3:33" ht="15.75" customHeight="1" x14ac:dyDescent="0.2"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U45" s="22"/>
      <c r="V45" s="1"/>
      <c r="AA45" s="2"/>
      <c r="AE45" s="42"/>
      <c r="AF45" s="42"/>
      <c r="AG45" s="42"/>
    </row>
    <row r="46" spans="3:33" ht="15.75" customHeight="1" x14ac:dyDescent="0.2"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U46" s="22"/>
      <c r="V46" s="1"/>
      <c r="AA46" s="2"/>
      <c r="AE46" s="42"/>
      <c r="AF46" s="42"/>
      <c r="AG46" s="42"/>
    </row>
    <row r="47" spans="3:33" ht="15.75" customHeight="1" x14ac:dyDescent="0.2"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U47" s="22"/>
      <c r="V47" s="1"/>
      <c r="AA47" s="2"/>
      <c r="AE47" s="42"/>
      <c r="AF47" s="42"/>
      <c r="AG47" s="42"/>
    </row>
    <row r="48" spans="3:33" ht="15.75" customHeight="1" x14ac:dyDescent="0.2"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U48" s="22"/>
      <c r="V48" s="1"/>
      <c r="AA48" s="2"/>
      <c r="AE48" s="42"/>
      <c r="AF48" s="42"/>
      <c r="AG48" s="42"/>
    </row>
    <row r="49" spans="3:33" ht="15.75" customHeight="1" x14ac:dyDescent="0.2"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U49" s="22"/>
      <c r="V49" s="1"/>
      <c r="AA49" s="2"/>
      <c r="AE49" s="42"/>
      <c r="AF49" s="42"/>
      <c r="AG49" s="42"/>
    </row>
    <row r="50" spans="3:33" ht="15.75" customHeight="1" x14ac:dyDescent="0.2"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U50" s="22"/>
      <c r="V50" s="1"/>
      <c r="AA50" s="2"/>
      <c r="AE50" s="42"/>
      <c r="AF50" s="42"/>
      <c r="AG50" s="42"/>
    </row>
    <row r="51" spans="3:33" ht="15.75" customHeight="1" x14ac:dyDescent="0.2"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U51" s="22"/>
      <c r="V51" s="1"/>
      <c r="AA51" s="2"/>
      <c r="AE51" s="42"/>
      <c r="AF51" s="42"/>
      <c r="AG51" s="42"/>
    </row>
    <row r="52" spans="3:33" ht="15.75" customHeight="1" x14ac:dyDescent="0.2"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U52" s="22"/>
      <c r="V52" s="1"/>
      <c r="AA52" s="2"/>
      <c r="AE52" s="42"/>
      <c r="AF52" s="42"/>
      <c r="AG52" s="42"/>
    </row>
    <row r="53" spans="3:33" ht="15.75" customHeight="1" x14ac:dyDescent="0.2"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U53" s="22"/>
      <c r="V53" s="1"/>
      <c r="AA53" s="2"/>
      <c r="AE53" s="42"/>
      <c r="AF53" s="42"/>
      <c r="AG53" s="42"/>
    </row>
    <row r="54" spans="3:33" ht="15.75" customHeight="1" x14ac:dyDescent="0.2"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U54" s="22"/>
      <c r="V54" s="1"/>
      <c r="AA54" s="2"/>
      <c r="AE54" s="42"/>
      <c r="AF54" s="42"/>
      <c r="AG54" s="42"/>
    </row>
    <row r="55" spans="3:33" ht="15.75" customHeight="1" x14ac:dyDescent="0.2"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U55" s="22"/>
      <c r="V55" s="1"/>
      <c r="AA55" s="2"/>
      <c r="AE55" s="42"/>
      <c r="AF55" s="42"/>
      <c r="AG55" s="42"/>
    </row>
    <row r="56" spans="3:33" ht="15.75" customHeight="1" x14ac:dyDescent="0.2"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U56" s="22"/>
      <c r="V56" s="1"/>
      <c r="AA56" s="2"/>
      <c r="AE56" s="42"/>
      <c r="AF56" s="42"/>
      <c r="AG56" s="42"/>
    </row>
    <row r="57" spans="3:33" ht="15.75" customHeight="1" x14ac:dyDescent="0.2"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U57" s="22"/>
      <c r="V57" s="1"/>
      <c r="AA57" s="2"/>
      <c r="AE57" s="42"/>
      <c r="AF57" s="42"/>
      <c r="AG57" s="42"/>
    </row>
    <row r="58" spans="3:33" ht="15.75" customHeight="1" x14ac:dyDescent="0.2"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U58" s="22"/>
      <c r="V58" s="1"/>
      <c r="AA58" s="2"/>
      <c r="AE58" s="42"/>
      <c r="AF58" s="42"/>
      <c r="AG58" s="42"/>
    </row>
    <row r="59" spans="3:33" ht="15.75" customHeight="1" x14ac:dyDescent="0.2"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U59" s="22"/>
      <c r="V59" s="1"/>
      <c r="AA59" s="2"/>
      <c r="AE59" s="42"/>
      <c r="AF59" s="42"/>
      <c r="AG59" s="42"/>
    </row>
    <row r="60" spans="3:33" ht="15.75" customHeight="1" x14ac:dyDescent="0.2"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U60" s="22"/>
      <c r="V60" s="1"/>
      <c r="AA60" s="2"/>
      <c r="AE60" s="42"/>
      <c r="AF60" s="42"/>
      <c r="AG60" s="42"/>
    </row>
    <row r="61" spans="3:33" ht="15.75" customHeight="1" x14ac:dyDescent="0.2"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U61" s="22"/>
      <c r="V61" s="1"/>
      <c r="AA61" s="2"/>
      <c r="AE61" s="42"/>
      <c r="AF61" s="42"/>
      <c r="AG61" s="42"/>
    </row>
    <row r="62" spans="3:33" ht="15.75" customHeight="1" x14ac:dyDescent="0.2"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U62" s="22"/>
      <c r="V62" s="1"/>
      <c r="AA62" s="2"/>
      <c r="AE62" s="42"/>
      <c r="AF62" s="42"/>
      <c r="AG62" s="42"/>
    </row>
    <row r="63" spans="3:33" ht="15.75" customHeight="1" x14ac:dyDescent="0.2"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U63" s="22"/>
      <c r="V63" s="1"/>
      <c r="AA63" s="2"/>
      <c r="AE63" s="42"/>
      <c r="AF63" s="42"/>
      <c r="AG63" s="42"/>
    </row>
    <row r="64" spans="3:33" ht="15.75" customHeight="1" x14ac:dyDescent="0.2"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U64" s="22"/>
      <c r="V64" s="1"/>
      <c r="AA64" s="2"/>
      <c r="AE64" s="42"/>
      <c r="AF64" s="42"/>
      <c r="AG64" s="42"/>
    </row>
    <row r="65" spans="3:33" ht="15.75" customHeight="1" x14ac:dyDescent="0.2"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U65" s="22"/>
      <c r="V65" s="1"/>
      <c r="AA65" s="2"/>
      <c r="AE65" s="42"/>
      <c r="AF65" s="42"/>
      <c r="AG65" s="42"/>
    </row>
    <row r="66" spans="3:33" ht="15.75" customHeight="1" x14ac:dyDescent="0.2"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U66" s="22"/>
      <c r="V66" s="1"/>
      <c r="AA66" s="2"/>
      <c r="AE66" s="42"/>
      <c r="AF66" s="42"/>
      <c r="AG66" s="42"/>
    </row>
    <row r="67" spans="3:33" ht="15.75" customHeight="1" x14ac:dyDescent="0.2"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U67" s="22"/>
      <c r="V67" s="1"/>
      <c r="AA67" s="2"/>
      <c r="AE67" s="42"/>
      <c r="AF67" s="42"/>
      <c r="AG67" s="42"/>
    </row>
    <row r="68" spans="3:33" ht="15.75" customHeight="1" x14ac:dyDescent="0.2"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U68" s="22"/>
      <c r="V68" s="1"/>
      <c r="AA68" s="2"/>
      <c r="AE68" s="42"/>
      <c r="AF68" s="42"/>
      <c r="AG68" s="42"/>
    </row>
    <row r="69" spans="3:33" ht="15.75" customHeight="1" x14ac:dyDescent="0.2"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U69" s="22"/>
      <c r="V69" s="1"/>
      <c r="AA69" s="2"/>
      <c r="AE69" s="42"/>
      <c r="AF69" s="42"/>
      <c r="AG69" s="42"/>
    </row>
    <row r="70" spans="3:33" ht="15.75" customHeight="1" x14ac:dyDescent="0.2"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U70" s="22"/>
      <c r="V70" s="1"/>
      <c r="AA70" s="2"/>
      <c r="AE70" s="42"/>
      <c r="AF70" s="42"/>
      <c r="AG70" s="42"/>
    </row>
    <row r="71" spans="3:33" ht="15.75" customHeight="1" x14ac:dyDescent="0.2"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U71" s="22"/>
      <c r="V71" s="1"/>
      <c r="AA71" s="2"/>
      <c r="AE71" s="42"/>
      <c r="AF71" s="42"/>
      <c r="AG71" s="42"/>
    </row>
    <row r="72" spans="3:33" ht="15.75" customHeight="1" x14ac:dyDescent="0.2"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U72" s="22"/>
      <c r="V72" s="1"/>
      <c r="AA72" s="2"/>
      <c r="AE72" s="42"/>
      <c r="AF72" s="42"/>
      <c r="AG72" s="42"/>
    </row>
    <row r="73" spans="3:33" ht="15.75" customHeight="1" x14ac:dyDescent="0.2"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U73" s="22"/>
      <c r="V73" s="1"/>
      <c r="AA73" s="2"/>
      <c r="AE73" s="42"/>
      <c r="AF73" s="42"/>
      <c r="AG73" s="42"/>
    </row>
    <row r="74" spans="3:33" ht="15.75" customHeight="1" x14ac:dyDescent="0.2"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U74" s="22"/>
      <c r="V74" s="1"/>
      <c r="AA74" s="2"/>
      <c r="AE74" s="42"/>
      <c r="AF74" s="42"/>
      <c r="AG74" s="42"/>
    </row>
    <row r="75" spans="3:33" ht="15.75" customHeight="1" x14ac:dyDescent="0.2"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U75" s="22"/>
      <c r="V75" s="1"/>
      <c r="AA75" s="2"/>
      <c r="AE75" s="42"/>
      <c r="AF75" s="42"/>
      <c r="AG75" s="42"/>
    </row>
    <row r="76" spans="3:33" ht="15.75" customHeight="1" x14ac:dyDescent="0.2"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U76" s="22"/>
      <c r="V76" s="1"/>
      <c r="AA76" s="2"/>
      <c r="AE76" s="42"/>
      <c r="AF76" s="42"/>
      <c r="AG76" s="42"/>
    </row>
    <row r="77" spans="3:33" ht="15.75" customHeight="1" x14ac:dyDescent="0.2"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U77" s="22"/>
      <c r="V77" s="1"/>
      <c r="AA77" s="2"/>
      <c r="AE77" s="42"/>
      <c r="AF77" s="42"/>
      <c r="AG77" s="42"/>
    </row>
    <row r="78" spans="3:33" ht="15.75" customHeight="1" x14ac:dyDescent="0.2"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U78" s="22"/>
      <c r="V78" s="1"/>
      <c r="AA78" s="2"/>
      <c r="AE78" s="42"/>
      <c r="AF78" s="42"/>
      <c r="AG78" s="42"/>
    </row>
    <row r="79" spans="3:33" ht="15.75" customHeight="1" x14ac:dyDescent="0.2"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U79" s="22"/>
      <c r="V79" s="1"/>
      <c r="AA79" s="2"/>
      <c r="AE79" s="42"/>
      <c r="AF79" s="42"/>
      <c r="AG79" s="42"/>
    </row>
    <row r="80" spans="3:33" ht="15.75" customHeight="1" x14ac:dyDescent="0.2"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U80" s="22"/>
      <c r="V80" s="1"/>
      <c r="AA80" s="2"/>
      <c r="AE80" s="42"/>
      <c r="AF80" s="42"/>
      <c r="AG80" s="42"/>
    </row>
    <row r="81" spans="3:33" ht="15.75" customHeight="1" x14ac:dyDescent="0.2"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U81" s="22"/>
      <c r="V81" s="1"/>
      <c r="AA81" s="2"/>
      <c r="AE81" s="42"/>
      <c r="AF81" s="42"/>
      <c r="AG81" s="42"/>
    </row>
    <row r="82" spans="3:33" ht="15.75" customHeight="1" x14ac:dyDescent="0.2"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U82" s="22"/>
      <c r="V82" s="1"/>
      <c r="AA82" s="2"/>
      <c r="AE82" s="42"/>
      <c r="AF82" s="42"/>
      <c r="AG82" s="42"/>
    </row>
    <row r="83" spans="3:33" ht="15.75" customHeight="1" x14ac:dyDescent="0.2"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U83" s="22"/>
      <c r="V83" s="1"/>
      <c r="AA83" s="2"/>
      <c r="AE83" s="42"/>
      <c r="AF83" s="42"/>
      <c r="AG83" s="42"/>
    </row>
    <row r="84" spans="3:33" ht="15.75" customHeight="1" x14ac:dyDescent="0.2"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U84" s="22"/>
      <c r="V84" s="1"/>
      <c r="AA84" s="2"/>
      <c r="AE84" s="42"/>
      <c r="AF84" s="42"/>
      <c r="AG84" s="42"/>
    </row>
    <row r="85" spans="3:33" ht="15.75" customHeight="1" x14ac:dyDescent="0.2"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U85" s="22"/>
      <c r="V85" s="1"/>
      <c r="AA85" s="2"/>
      <c r="AE85" s="42"/>
      <c r="AF85" s="42"/>
      <c r="AG85" s="42"/>
    </row>
    <row r="86" spans="3:33" ht="15.75" customHeight="1" x14ac:dyDescent="0.2"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U86" s="22"/>
      <c r="V86" s="1"/>
      <c r="AA86" s="2"/>
      <c r="AE86" s="42"/>
      <c r="AF86" s="42"/>
      <c r="AG86" s="42"/>
    </row>
    <row r="87" spans="3:33" ht="15.75" customHeight="1" x14ac:dyDescent="0.2"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U87" s="22"/>
      <c r="V87" s="1"/>
      <c r="AA87" s="2"/>
      <c r="AE87" s="42"/>
      <c r="AF87" s="42"/>
      <c r="AG87" s="42"/>
    </row>
    <row r="88" spans="3:33" ht="15.75" customHeight="1" x14ac:dyDescent="0.2"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U88" s="22"/>
      <c r="V88" s="1"/>
      <c r="AA88" s="2"/>
      <c r="AE88" s="42"/>
      <c r="AF88" s="42"/>
      <c r="AG88" s="42"/>
    </row>
    <row r="89" spans="3:33" ht="15.75" customHeight="1" x14ac:dyDescent="0.2"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U89" s="22"/>
      <c r="V89" s="1"/>
      <c r="AA89" s="2"/>
      <c r="AE89" s="42"/>
      <c r="AF89" s="42"/>
      <c r="AG89" s="42"/>
    </row>
    <row r="90" spans="3:33" ht="15.75" customHeight="1" x14ac:dyDescent="0.2"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U90" s="22"/>
      <c r="V90" s="1"/>
      <c r="AA90" s="2"/>
      <c r="AE90" s="42"/>
      <c r="AF90" s="42"/>
      <c r="AG90" s="42"/>
    </row>
    <row r="91" spans="3:33" ht="15.75" customHeight="1" x14ac:dyDescent="0.2"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U91" s="22"/>
      <c r="V91" s="1"/>
      <c r="AA91" s="2"/>
      <c r="AE91" s="42"/>
      <c r="AF91" s="42"/>
      <c r="AG91" s="42"/>
    </row>
    <row r="92" spans="3:33" ht="15.75" customHeight="1" x14ac:dyDescent="0.2"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U92" s="22"/>
      <c r="V92" s="1"/>
      <c r="AA92" s="2"/>
      <c r="AE92" s="42"/>
      <c r="AF92" s="42"/>
      <c r="AG92" s="42"/>
    </row>
    <row r="93" spans="3:33" ht="15.75" customHeight="1" x14ac:dyDescent="0.2"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U93" s="22"/>
      <c r="V93" s="1"/>
      <c r="AA93" s="2"/>
      <c r="AE93" s="42"/>
      <c r="AF93" s="42"/>
      <c r="AG93" s="42"/>
    </row>
    <row r="94" spans="3:33" ht="15.75" customHeight="1" x14ac:dyDescent="0.2"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U94" s="22"/>
      <c r="V94" s="1"/>
      <c r="AA94" s="2"/>
      <c r="AE94" s="42"/>
      <c r="AF94" s="42"/>
      <c r="AG94" s="42"/>
    </row>
    <row r="95" spans="3:33" ht="15.75" customHeight="1" x14ac:dyDescent="0.2"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U95" s="22"/>
      <c r="V95" s="1"/>
      <c r="AA95" s="2"/>
      <c r="AE95" s="42"/>
      <c r="AF95" s="42"/>
      <c r="AG95" s="42"/>
    </row>
    <row r="96" spans="3:33" ht="15.75" customHeight="1" x14ac:dyDescent="0.2"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U96" s="22"/>
      <c r="V96" s="1"/>
      <c r="AA96" s="2"/>
      <c r="AE96" s="42"/>
      <c r="AF96" s="42"/>
      <c r="AG96" s="42"/>
    </row>
    <row r="97" spans="3:33" ht="15.75" customHeight="1" x14ac:dyDescent="0.2"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U97" s="22"/>
      <c r="V97" s="1"/>
      <c r="AA97" s="2"/>
      <c r="AE97" s="42"/>
      <c r="AF97" s="42"/>
      <c r="AG97" s="42"/>
    </row>
    <row r="98" spans="3:33" ht="15.75" customHeight="1" x14ac:dyDescent="0.2"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U98" s="22"/>
      <c r="V98" s="1"/>
      <c r="AA98" s="2"/>
      <c r="AE98" s="42"/>
      <c r="AF98" s="42"/>
      <c r="AG98" s="42"/>
    </row>
    <row r="99" spans="3:33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AA99" s="2"/>
    </row>
    <row r="100" spans="3:33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AA100" s="2"/>
    </row>
    <row r="101" spans="3:33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AA101" s="2"/>
    </row>
    <row r="102" spans="3:33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AA102" s="2"/>
    </row>
    <row r="103" spans="3:33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AA103" s="2"/>
    </row>
    <row r="104" spans="3:33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AA104" s="2"/>
    </row>
    <row r="105" spans="3:33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AA105" s="2"/>
    </row>
    <row r="106" spans="3:33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AA106" s="2"/>
    </row>
    <row r="107" spans="3:33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AA107" s="2"/>
    </row>
    <row r="108" spans="3:33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AA108" s="2"/>
    </row>
    <row r="109" spans="3:33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AA109" s="2"/>
    </row>
    <row r="110" spans="3:33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AA110" s="2"/>
    </row>
    <row r="111" spans="3:33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AA111" s="2"/>
    </row>
    <row r="112" spans="3:33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AA112" s="2"/>
    </row>
    <row r="113" spans="3:27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AA113" s="2"/>
    </row>
    <row r="114" spans="3:27" ht="15.75" customHeight="1" x14ac:dyDescent="0.2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AA114" s="2"/>
    </row>
    <row r="115" spans="3:27" ht="15.75" customHeight="1" x14ac:dyDescent="0.2"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AA115" s="2"/>
    </row>
    <row r="116" spans="3:27" ht="15.75" customHeight="1" x14ac:dyDescent="0.2"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AA116" s="2"/>
    </row>
    <row r="117" spans="3:27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</row>
    <row r="118" spans="3:27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</row>
    <row r="119" spans="3:27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</row>
    <row r="120" spans="3:27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</row>
    <row r="121" spans="3:27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</row>
    <row r="122" spans="3:27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</row>
    <row r="123" spans="3:27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</row>
    <row r="124" spans="3:27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3:27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3:27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3:27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3:27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83203125" customWidth="1"/>
    <col min="3" max="3" width="11.1640625" customWidth="1"/>
    <col min="4" max="4" width="6.5" customWidth="1"/>
    <col min="5" max="5" width="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5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Info!B1:BJ5000""),3,FALSE),"""")"),"Outdoor Glass Beverage Dispenser with Sturdy Metal Base &amp; Stainless Steel Spigot -2 Gallon Drink Dispenser for Lemonade, Tea, Cold Water &amp; More")</f>
        <v>Outdoor Glass Beverage Dispenser with Sturdy Metal Base &amp; Stainless Steel Spigot -2 Gallon Drink Dispenser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Info!B1:BJ5000""),2,FALSE),"""")"),"B07PNCX93R")</f>
        <v>B07PNCX93R</v>
      </c>
      <c r="B2" s="3" t="s">
        <v>1389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41" customHeight="1" x14ac:dyDescent="0.2">
      <c r="A3" s="68" t="s">
        <v>31</v>
      </c>
      <c r="B3" s="69"/>
      <c r="C3" s="48">
        <f>((AE32+AF32)/0.85)*-1</f>
        <v>43.425522941176474</v>
      </c>
      <c r="D3" s="5">
        <f>SUM(D4:D99767)</f>
        <v>492</v>
      </c>
      <c r="E3" s="5"/>
      <c r="F3" s="6">
        <f t="shared" ref="F3:G3" si="0">SUM(F4:F99767)</f>
        <v>23390.239999999998</v>
      </c>
      <c r="G3" s="6">
        <f t="shared" si="0"/>
        <v>-18.619999999999994</v>
      </c>
      <c r="H3" s="7">
        <f t="shared" ref="H3:H32" si="1">G3/F3*-1</f>
        <v>7.9605852697535364E-4</v>
      </c>
      <c r="I3" s="8">
        <f t="shared" ref="I3:I32" si="2">J3/F3</f>
        <v>0.17365534819870052</v>
      </c>
      <c r="J3" s="6">
        <f>SUM(J4:J99767)</f>
        <v>4061.8402716511723</v>
      </c>
      <c r="K3" s="6">
        <f t="shared" ref="K3:K32" si="3">J3/D3</f>
        <v>8.2557729098601058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4 - May
6 - June
6 - July
6 - Aug
6 - Sept
6 - Oct
6 - Nov
8 - Dec
2 - Jan
3 - Feb")</f>
        <v>3 - March
3 - April
4 - May
6 - June
6 - July
6 - Aug
6 - Sept
6 - Oct
6 - Nov
8 - Dec
2 -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7</v>
      </c>
      <c r="X3" s="7">
        <f>W3/D3</f>
        <v>1.4227642276422764E-2</v>
      </c>
      <c r="Y3" s="6"/>
      <c r="Z3" s="5"/>
      <c r="AA3" s="5"/>
      <c r="AB3" s="5"/>
      <c r="AC3" s="5"/>
      <c r="AD3" s="6">
        <f>SUM(AD4:AD99767)</f>
        <v>-509.73903368216509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Info!B2:BZ3000""),37,FALSE)),"""")*-1"),-23.3116945)</f>
        <v>-23.311694500000002</v>
      </c>
      <c r="AG3" s="6">
        <f>SUM(AG4:AG99767)</f>
        <v>0</v>
      </c>
    </row>
    <row r="4" spans="1:33" x14ac:dyDescent="0.2">
      <c r="A4" s="1" t="s">
        <v>32</v>
      </c>
      <c r="B4" s="2" t="s">
        <v>1390</v>
      </c>
      <c r="C4" s="14">
        <f t="shared" ref="C4:C32" si="4">IFERROR(F4/D4," - ")</f>
        <v>42.657777777777781</v>
      </c>
      <c r="D4" s="15">
        <v>9</v>
      </c>
      <c r="E4" s="15">
        <v>0</v>
      </c>
      <c r="F4" s="16">
        <v>383.92</v>
      </c>
      <c r="G4" s="16">
        <v>-0.27999999999999997</v>
      </c>
      <c r="H4" s="17">
        <f t="shared" si="1"/>
        <v>7.2931860804334231E-4</v>
      </c>
      <c r="I4" s="17">
        <f t="shared" si="2"/>
        <v>0.12838339530370912</v>
      </c>
      <c r="J4" s="16">
        <f t="shared" ref="J4:J32" si="5">F4*0.85+G4+AF4*D4+D4*AE4+AG4+AD4</f>
        <v>49.288953125000006</v>
      </c>
      <c r="K4" s="16">
        <f t="shared" si="3"/>
        <v>5.476550347222223</v>
      </c>
      <c r="L4" s="15">
        <v>64</v>
      </c>
      <c r="M4" s="18">
        <f t="shared" ref="M4:M32" si="6">IFERROR(D4/L4,"-")</f>
        <v>0.140625</v>
      </c>
      <c r="N4" s="15">
        <v>36</v>
      </c>
      <c r="O4" s="19">
        <f t="shared" ref="O4:P4" si="7">D4/7</f>
        <v>1.2857142857142858</v>
      </c>
      <c r="P4" s="19">
        <f t="shared" si="7"/>
        <v>0</v>
      </c>
      <c r="Q4" s="15">
        <f t="shared" ref="Q4:Q32" si="8">ROUNDDOWN(N4/(O4+P4),0)</f>
        <v>28</v>
      </c>
      <c r="R4" s="15"/>
      <c r="S4" s="20">
        <v>1.8683544303797399</v>
      </c>
      <c r="T4" s="2">
        <v>804</v>
      </c>
      <c r="U4" s="2">
        <v>240</v>
      </c>
      <c r="V4" s="21" t="s">
        <v>1391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250</v>
      </c>
      <c r="AB4" s="24">
        <f t="shared" ref="AB4:AB32" si="11">IF(OR(AA4="UsLargeStandardSize",AA4="UsSmallStandardSize"),-0.69,-0.48)</f>
        <v>-0.48</v>
      </c>
      <c r="AC4" s="25">
        <v>1.0792010271990742</v>
      </c>
      <c r="AD4" s="24">
        <f t="shared" ref="AD4:AD32" si="12">IFERROR(AB4*AC4*D4*2,0)</f>
        <v>-9.3242968750000017</v>
      </c>
      <c r="AE4" s="24">
        <v>-13.2</v>
      </c>
      <c r="AF4" s="24">
        <v>-16.515416666666667</v>
      </c>
      <c r="AG4" s="24">
        <v>0</v>
      </c>
    </row>
    <row r="5" spans="1:33" ht="15.75" customHeight="1" x14ac:dyDescent="0.2">
      <c r="A5" s="26" t="s">
        <v>35</v>
      </c>
      <c r="B5" s="26" t="s">
        <v>53</v>
      </c>
      <c r="C5" s="14">
        <f t="shared" si="4"/>
        <v>40.691111111111113</v>
      </c>
      <c r="D5" s="27">
        <v>9</v>
      </c>
      <c r="E5" s="27">
        <v>1</v>
      </c>
      <c r="F5" s="28">
        <v>366.22</v>
      </c>
      <c r="G5" s="28">
        <v>-0.3</v>
      </c>
      <c r="H5" s="29">
        <f t="shared" si="1"/>
        <v>8.1917972803233023E-4</v>
      </c>
      <c r="I5" s="29">
        <f t="shared" si="2"/>
        <v>9.3422392576871141E-2</v>
      </c>
      <c r="J5" s="30">
        <f t="shared" si="5"/>
        <v>34.213148609501751</v>
      </c>
      <c r="K5" s="30">
        <f t="shared" si="3"/>
        <v>3.8014609566113058</v>
      </c>
      <c r="L5" s="27">
        <v>85</v>
      </c>
      <c r="M5" s="31">
        <f t="shared" si="6"/>
        <v>0.10588235294117647</v>
      </c>
      <c r="N5" s="27">
        <v>28</v>
      </c>
      <c r="O5" s="32">
        <f t="shared" ref="O5:P5" si="13">D5/7</f>
        <v>1.2857142857142858</v>
      </c>
      <c r="P5" s="32">
        <f t="shared" si="13"/>
        <v>0.14285714285714285</v>
      </c>
      <c r="Q5" s="27">
        <f t="shared" si="8"/>
        <v>19</v>
      </c>
      <c r="R5" s="27"/>
      <c r="S5" s="33">
        <v>1.84798807749627</v>
      </c>
      <c r="T5" s="26">
        <v>564</v>
      </c>
      <c r="U5" s="34">
        <v>80</v>
      </c>
      <c r="V5" s="35" t="s">
        <v>1392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1.0804515498261877</v>
      </c>
      <c r="AD5" s="37">
        <f t="shared" si="12"/>
        <v>-9.3351013904982612</v>
      </c>
      <c r="AE5" s="37">
        <v>-13.2</v>
      </c>
      <c r="AF5" s="37">
        <v>-16.515416666666667</v>
      </c>
      <c r="AG5" s="37">
        <v>0</v>
      </c>
    </row>
    <row r="6" spans="1:33" ht="15.75" customHeight="1" x14ac:dyDescent="0.2">
      <c r="A6" s="26" t="s">
        <v>38</v>
      </c>
      <c r="B6" s="26" t="s">
        <v>1393</v>
      </c>
      <c r="C6" s="14">
        <f t="shared" si="4"/>
        <v>43.99</v>
      </c>
      <c r="D6" s="27">
        <v>28</v>
      </c>
      <c r="E6" s="27">
        <v>0</v>
      </c>
      <c r="F6" s="28">
        <v>1231.72</v>
      </c>
      <c r="G6" s="28">
        <v>-0.08</v>
      </c>
      <c r="H6" s="29">
        <f t="shared" si="1"/>
        <v>6.4949826259214752E-5</v>
      </c>
      <c r="I6" s="29">
        <f t="shared" si="2"/>
        <v>0.15087959091532357</v>
      </c>
      <c r="J6" s="30">
        <f t="shared" si="5"/>
        <v>185.84140972222235</v>
      </c>
      <c r="K6" s="30">
        <f t="shared" si="3"/>
        <v>6.6371932043650839</v>
      </c>
      <c r="L6" s="27">
        <v>105</v>
      </c>
      <c r="M6" s="31">
        <f t="shared" si="6"/>
        <v>0.26666666666666666</v>
      </c>
      <c r="N6" s="27">
        <v>246</v>
      </c>
      <c r="O6" s="32">
        <f t="shared" ref="O6:P6" si="14">D6/7</f>
        <v>4</v>
      </c>
      <c r="P6" s="32">
        <f t="shared" si="14"/>
        <v>0</v>
      </c>
      <c r="Q6" s="27">
        <f t="shared" si="8"/>
        <v>61</v>
      </c>
      <c r="R6" s="27"/>
      <c r="S6" s="33">
        <v>1.49683944374209</v>
      </c>
      <c r="T6" s="26">
        <v>764</v>
      </c>
      <c r="U6" s="34">
        <v>80</v>
      </c>
      <c r="V6" s="49" t="s">
        <v>1394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250</v>
      </c>
      <c r="AB6" s="38">
        <f t="shared" si="11"/>
        <v>-0.48</v>
      </c>
      <c r="AC6" s="39">
        <v>1.0792010271990742</v>
      </c>
      <c r="AD6" s="37">
        <f t="shared" si="12"/>
        <v>-29.008923611111115</v>
      </c>
      <c r="AE6" s="37">
        <v>-13.2</v>
      </c>
      <c r="AF6" s="37">
        <v>-16.515416666666667</v>
      </c>
      <c r="AG6" s="37">
        <v>0</v>
      </c>
    </row>
    <row r="7" spans="1:33" ht="15.75" customHeight="1" x14ac:dyDescent="0.2">
      <c r="A7" s="26" t="s">
        <v>41</v>
      </c>
      <c r="B7" s="26" t="s">
        <v>53</v>
      </c>
      <c r="C7" s="14">
        <f t="shared" si="4"/>
        <v>45.367894736842111</v>
      </c>
      <c r="D7" s="27">
        <v>19</v>
      </c>
      <c r="E7" s="27">
        <v>0</v>
      </c>
      <c r="F7" s="28">
        <v>861.99000000000012</v>
      </c>
      <c r="G7" s="28">
        <v>-0.16</v>
      </c>
      <c r="H7" s="29">
        <f t="shared" si="1"/>
        <v>1.8561700251743058E-4</v>
      </c>
      <c r="I7" s="29">
        <f t="shared" si="2"/>
        <v>0.17199034396828547</v>
      </c>
      <c r="J7" s="30">
        <f t="shared" si="5"/>
        <v>148.25395659722241</v>
      </c>
      <c r="K7" s="30">
        <f t="shared" si="3"/>
        <v>7.8028398209064429</v>
      </c>
      <c r="L7" s="27">
        <v>128</v>
      </c>
      <c r="M7" s="31">
        <f t="shared" si="6"/>
        <v>0.1484375</v>
      </c>
      <c r="N7" s="27">
        <v>223</v>
      </c>
      <c r="O7" s="32">
        <f t="shared" ref="O7:P7" si="15">D7/7</f>
        <v>2.7142857142857144</v>
      </c>
      <c r="P7" s="32">
        <f t="shared" si="15"/>
        <v>0</v>
      </c>
      <c r="Q7" s="27">
        <f t="shared" si="8"/>
        <v>82</v>
      </c>
      <c r="R7" s="27"/>
      <c r="S7" s="33">
        <v>1.6131934032983499</v>
      </c>
      <c r="T7" s="26">
        <v>764</v>
      </c>
      <c r="U7" s="34">
        <v>80</v>
      </c>
      <c r="V7" s="49" t="s">
        <v>1394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250</v>
      </c>
      <c r="AB7" s="38">
        <f t="shared" si="11"/>
        <v>-0.48</v>
      </c>
      <c r="AC7" s="39">
        <v>1.0792010271990742</v>
      </c>
      <c r="AD7" s="37">
        <f t="shared" si="12"/>
        <v>-19.684626736111113</v>
      </c>
      <c r="AE7" s="37">
        <v>-13.2</v>
      </c>
      <c r="AF7" s="37">
        <v>-16.515416666666667</v>
      </c>
      <c r="AG7" s="37">
        <v>0</v>
      </c>
    </row>
    <row r="8" spans="1:33" ht="15.75" customHeight="1" x14ac:dyDescent="0.2">
      <c r="A8" s="26" t="s">
        <v>43</v>
      </c>
      <c r="B8" s="26" t="s">
        <v>1395</v>
      </c>
      <c r="C8" s="14">
        <f t="shared" si="4"/>
        <v>45.99</v>
      </c>
      <c r="D8" s="27">
        <v>14</v>
      </c>
      <c r="E8" s="27">
        <v>2</v>
      </c>
      <c r="F8" s="28">
        <v>643.86</v>
      </c>
      <c r="G8" s="28">
        <v>-0.2</v>
      </c>
      <c r="H8" s="29">
        <f t="shared" si="1"/>
        <v>3.1062653371851024E-4</v>
      </c>
      <c r="I8" s="29">
        <f t="shared" si="2"/>
        <v>0.18093457924773146</v>
      </c>
      <c r="J8" s="30">
        <f t="shared" si="5"/>
        <v>116.49653819444438</v>
      </c>
      <c r="K8" s="30">
        <f t="shared" si="3"/>
        <v>8.32118129960317</v>
      </c>
      <c r="L8" s="27">
        <v>74</v>
      </c>
      <c r="M8" s="31">
        <f t="shared" si="6"/>
        <v>0.1891891891891892</v>
      </c>
      <c r="N8" s="27">
        <v>181</v>
      </c>
      <c r="O8" s="32">
        <f t="shared" ref="O8:P8" si="16">D8/7</f>
        <v>2</v>
      </c>
      <c r="P8" s="32">
        <f t="shared" si="16"/>
        <v>0.2857142857142857</v>
      </c>
      <c r="Q8" s="27">
        <f t="shared" si="8"/>
        <v>79</v>
      </c>
      <c r="R8" s="27"/>
      <c r="S8" s="33">
        <v>1.6868327402135199</v>
      </c>
      <c r="T8" s="26">
        <v>684</v>
      </c>
      <c r="U8" s="34">
        <v>200</v>
      </c>
      <c r="V8" s="35" t="s">
        <v>1396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250</v>
      </c>
      <c r="AB8" s="38">
        <f t="shared" si="11"/>
        <v>-0.48</v>
      </c>
      <c r="AC8" s="39">
        <v>1.0792010271990742</v>
      </c>
      <c r="AD8" s="37">
        <f t="shared" si="12"/>
        <v>-14.504461805555557</v>
      </c>
      <c r="AE8" s="37">
        <v>-13.2</v>
      </c>
      <c r="AF8" s="37">
        <v>-16.52</v>
      </c>
      <c r="AG8" s="37">
        <v>0</v>
      </c>
    </row>
    <row r="9" spans="1:33" ht="15.75" customHeight="1" x14ac:dyDescent="0.2">
      <c r="A9" s="26" t="s">
        <v>45</v>
      </c>
      <c r="B9" s="26" t="s">
        <v>1397</v>
      </c>
      <c r="C9" s="14">
        <f t="shared" si="4"/>
        <v>41.499259259259262</v>
      </c>
      <c r="D9" s="27">
        <v>27</v>
      </c>
      <c r="E9" s="27">
        <v>0</v>
      </c>
      <c r="F9" s="28">
        <v>1120.48</v>
      </c>
      <c r="G9" s="28">
        <v>-0.74</v>
      </c>
      <c r="H9" s="29">
        <f t="shared" si="1"/>
        <v>6.6043124375267739E-4</v>
      </c>
      <c r="I9" s="29">
        <f t="shared" si="2"/>
        <v>8.2955616677674662E-2</v>
      </c>
      <c r="J9" s="30">
        <f t="shared" si="5"/>
        <v>92.950109375000906</v>
      </c>
      <c r="K9" s="30">
        <f t="shared" si="3"/>
        <v>3.4425966435185522</v>
      </c>
      <c r="L9" s="27">
        <v>92</v>
      </c>
      <c r="M9" s="31">
        <f t="shared" si="6"/>
        <v>0.29347826086956524</v>
      </c>
      <c r="N9" s="27">
        <v>176</v>
      </c>
      <c r="O9" s="32">
        <f t="shared" ref="O9:P9" si="17">D9/7</f>
        <v>3.8571428571428572</v>
      </c>
      <c r="P9" s="32">
        <f t="shared" si="17"/>
        <v>0</v>
      </c>
      <c r="Q9" s="27">
        <f t="shared" si="8"/>
        <v>45</v>
      </c>
      <c r="R9" s="27"/>
      <c r="S9" s="33">
        <v>1.86046511627906</v>
      </c>
      <c r="T9" s="26">
        <v>564</v>
      </c>
      <c r="U9" s="34">
        <v>80</v>
      </c>
      <c r="V9" s="35" t="s">
        <v>1398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1.0792010271990742</v>
      </c>
      <c r="AD9" s="37">
        <f t="shared" si="12"/>
        <v>-27.972890625000005</v>
      </c>
      <c r="AE9" s="37">
        <v>-13.2</v>
      </c>
      <c r="AF9" s="37">
        <v>-17.5683333333333</v>
      </c>
      <c r="AG9" s="37">
        <v>0</v>
      </c>
    </row>
    <row r="10" spans="1:33" ht="15.75" customHeight="1" x14ac:dyDescent="0.2">
      <c r="A10" s="26" t="s">
        <v>48</v>
      </c>
      <c r="B10" s="26" t="s">
        <v>53</v>
      </c>
      <c r="C10" s="14">
        <f t="shared" si="4"/>
        <v>45.444545454545455</v>
      </c>
      <c r="D10" s="27">
        <v>22</v>
      </c>
      <c r="E10" s="27">
        <v>0</v>
      </c>
      <c r="F10" s="28">
        <v>999.78000000000009</v>
      </c>
      <c r="G10" s="28">
        <v>-0.61</v>
      </c>
      <c r="H10" s="29">
        <f t="shared" si="1"/>
        <v>6.1013422953049663E-4</v>
      </c>
      <c r="I10" s="29">
        <f t="shared" si="2"/>
        <v>0.14953983973696519</v>
      </c>
      <c r="J10" s="30">
        <f t="shared" si="5"/>
        <v>149.50694097222308</v>
      </c>
      <c r="K10" s="30">
        <f t="shared" si="3"/>
        <v>6.7957700441919577</v>
      </c>
      <c r="L10" s="27">
        <v>114</v>
      </c>
      <c r="M10" s="31">
        <f t="shared" si="6"/>
        <v>0.19298245614035087</v>
      </c>
      <c r="N10" s="27">
        <v>159</v>
      </c>
      <c r="O10" s="32">
        <f t="shared" ref="O10:P10" si="18">D10/7</f>
        <v>3.1428571428571428</v>
      </c>
      <c r="P10" s="32">
        <f t="shared" si="18"/>
        <v>0</v>
      </c>
      <c r="Q10" s="27">
        <f t="shared" si="8"/>
        <v>50</v>
      </c>
      <c r="R10" s="27"/>
      <c r="S10" s="33">
        <v>1.3515981735159801</v>
      </c>
      <c r="T10" s="26">
        <v>564</v>
      </c>
      <c r="U10" s="34">
        <v>80</v>
      </c>
      <c r="V10" s="35" t="s">
        <v>1399</v>
      </c>
      <c r="W10" s="26">
        <v>0</v>
      </c>
      <c r="X10" s="36">
        <f t="shared" si="9"/>
        <v>0</v>
      </c>
      <c r="Y10" s="37">
        <f t="shared" si="10"/>
        <v>0.61</v>
      </c>
      <c r="Z10" s="26">
        <v>1</v>
      </c>
      <c r="AA10" s="26" t="s">
        <v>250</v>
      </c>
      <c r="AB10" s="38">
        <f t="shared" si="11"/>
        <v>-0.48</v>
      </c>
      <c r="AC10" s="39">
        <v>1.0792010271990742</v>
      </c>
      <c r="AD10" s="37">
        <f t="shared" si="12"/>
        <v>-22.792725694444449</v>
      </c>
      <c r="AE10" s="37">
        <v>-13.2</v>
      </c>
      <c r="AF10" s="37">
        <v>-17.5683333333333</v>
      </c>
      <c r="AG10" s="37">
        <v>0</v>
      </c>
    </row>
    <row r="11" spans="1:33" ht="15.75" customHeight="1" x14ac:dyDescent="0.2">
      <c r="A11" s="26" t="s">
        <v>50</v>
      </c>
      <c r="B11" s="26" t="s">
        <v>1400</v>
      </c>
      <c r="C11" s="14">
        <f t="shared" si="4"/>
        <v>44.073749999999997</v>
      </c>
      <c r="D11" s="27">
        <v>24</v>
      </c>
      <c r="E11" s="27">
        <v>1</v>
      </c>
      <c r="F11" s="28">
        <v>1057.77</v>
      </c>
      <c r="G11" s="28">
        <v>-0.64</v>
      </c>
      <c r="H11" s="29">
        <f t="shared" si="1"/>
        <v>6.0504646567779389E-4</v>
      </c>
      <c r="I11" s="29">
        <f t="shared" si="2"/>
        <v>0.12777797473300823</v>
      </c>
      <c r="J11" s="30">
        <f t="shared" si="5"/>
        <v>135.15970833333412</v>
      </c>
      <c r="K11" s="30">
        <f t="shared" si="3"/>
        <v>5.6316545138889218</v>
      </c>
      <c r="L11" s="27">
        <v>110</v>
      </c>
      <c r="M11" s="31">
        <f t="shared" si="6"/>
        <v>0.21818181818181817</v>
      </c>
      <c r="N11" s="27">
        <v>131</v>
      </c>
      <c r="O11" s="32">
        <f t="shared" ref="O11:P11" si="19">D11/7</f>
        <v>3.4285714285714284</v>
      </c>
      <c r="P11" s="32">
        <f t="shared" si="19"/>
        <v>0.14285714285714285</v>
      </c>
      <c r="Q11" s="27">
        <f t="shared" si="8"/>
        <v>36</v>
      </c>
      <c r="R11" s="27"/>
      <c r="S11" s="33">
        <v>1.5422535211267601</v>
      </c>
      <c r="T11" s="26">
        <v>564</v>
      </c>
      <c r="U11" s="34">
        <v>80</v>
      </c>
      <c r="V11" s="35" t="s">
        <v>1399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1.0792010271990742</v>
      </c>
      <c r="AD11" s="37">
        <f t="shared" si="12"/>
        <v>-24.864791666666669</v>
      </c>
      <c r="AE11" s="37">
        <v>-13.2</v>
      </c>
      <c r="AF11" s="37">
        <v>-17.5683333333333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46.942380952380958</v>
      </c>
      <c r="D12" s="27">
        <v>21</v>
      </c>
      <c r="E12" s="27">
        <v>0</v>
      </c>
      <c r="F12" s="28">
        <v>985.79000000000008</v>
      </c>
      <c r="G12" s="28">
        <v>-0.44</v>
      </c>
      <c r="H12" s="29">
        <f t="shared" si="1"/>
        <v>4.463425273131194E-4</v>
      </c>
      <c r="I12" s="29">
        <f t="shared" si="2"/>
        <v>0.17203441634797206</v>
      </c>
      <c r="J12" s="30">
        <f t="shared" si="5"/>
        <v>169.5898072916674</v>
      </c>
      <c r="K12" s="30">
        <f t="shared" si="3"/>
        <v>8.0757051091270196</v>
      </c>
      <c r="L12" s="27">
        <v>179</v>
      </c>
      <c r="M12" s="31">
        <f t="shared" si="6"/>
        <v>0.11731843575418995</v>
      </c>
      <c r="N12" s="27">
        <v>107</v>
      </c>
      <c r="O12" s="32">
        <f t="shared" ref="O12:P12" si="20">D12/7</f>
        <v>3</v>
      </c>
      <c r="P12" s="32">
        <f t="shared" si="20"/>
        <v>0</v>
      </c>
      <c r="Q12" s="27">
        <f t="shared" si="8"/>
        <v>35</v>
      </c>
      <c r="R12" s="27"/>
      <c r="S12" s="33">
        <v>2.0042105263157799</v>
      </c>
      <c r="T12" s="26">
        <v>484</v>
      </c>
      <c r="U12" s="34">
        <v>200</v>
      </c>
      <c r="V12" s="35" t="s">
        <v>1401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1.0792010271990742</v>
      </c>
      <c r="AD12" s="37">
        <f t="shared" si="12"/>
        <v>-21.756692708333336</v>
      </c>
      <c r="AE12" s="37">
        <v>-13.2</v>
      </c>
      <c r="AF12" s="37">
        <v>-17.5683333333333</v>
      </c>
      <c r="AG12" s="37">
        <v>0</v>
      </c>
    </row>
    <row r="13" spans="1:33" ht="15.75" customHeight="1" x14ac:dyDescent="0.2">
      <c r="A13" s="26" t="s">
        <v>54</v>
      </c>
      <c r="B13" s="26" t="s">
        <v>53</v>
      </c>
      <c r="C13" s="14">
        <f t="shared" si="4"/>
        <v>46.99</v>
      </c>
      <c r="D13" s="27">
        <v>23</v>
      </c>
      <c r="E13" s="27">
        <v>0</v>
      </c>
      <c r="F13" s="30">
        <v>1080.77</v>
      </c>
      <c r="G13" s="28">
        <v>-0.44</v>
      </c>
      <c r="H13" s="29">
        <f t="shared" si="1"/>
        <v>4.0711714795932532E-4</v>
      </c>
      <c r="I13" s="29">
        <f t="shared" si="2"/>
        <v>0.16096694145789059</v>
      </c>
      <c r="J13" s="30">
        <f t="shared" si="5"/>
        <v>173.96824131944442</v>
      </c>
      <c r="K13" s="30">
        <f t="shared" si="3"/>
        <v>7.5638365791062787</v>
      </c>
      <c r="L13" s="27">
        <v>73</v>
      </c>
      <c r="M13" s="31">
        <f t="shared" si="6"/>
        <v>0.31506849315068491</v>
      </c>
      <c r="N13" s="27">
        <v>85</v>
      </c>
      <c r="O13" s="32">
        <f t="shared" ref="O13:P13" si="21">D13/7</f>
        <v>3.2857142857142856</v>
      </c>
      <c r="P13" s="32">
        <f t="shared" si="21"/>
        <v>0</v>
      </c>
      <c r="Q13" s="27">
        <f t="shared" si="8"/>
        <v>25</v>
      </c>
      <c r="R13" s="27"/>
      <c r="S13" s="33">
        <v>2.16814159292035</v>
      </c>
      <c r="T13" s="26">
        <v>484</v>
      </c>
      <c r="U13" s="34">
        <v>200</v>
      </c>
      <c r="V13" s="35" t="s">
        <v>1401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1.0792010271990742</v>
      </c>
      <c r="AD13" s="37">
        <f t="shared" si="12"/>
        <v>-23.828758680555559</v>
      </c>
      <c r="AE13" s="37">
        <v>-13.2</v>
      </c>
      <c r="AF13" s="37">
        <v>-18.122499999999999</v>
      </c>
      <c r="AG13" s="37">
        <v>0</v>
      </c>
    </row>
    <row r="14" spans="1:33" ht="15.75" customHeight="1" x14ac:dyDescent="0.2">
      <c r="A14" s="26" t="s">
        <v>56</v>
      </c>
      <c r="B14" s="26" t="s">
        <v>1402</v>
      </c>
      <c r="C14" s="14">
        <f t="shared" si="4"/>
        <v>46.99</v>
      </c>
      <c r="D14" s="27">
        <v>35</v>
      </c>
      <c r="E14" s="27">
        <v>1</v>
      </c>
      <c r="F14" s="30">
        <v>1644.65</v>
      </c>
      <c r="G14" s="28">
        <v>-1.32</v>
      </c>
      <c r="H14" s="29">
        <f t="shared" si="1"/>
        <v>8.0260237740552699E-4</v>
      </c>
      <c r="I14" s="29">
        <f t="shared" si="2"/>
        <v>0.16057145622844457</v>
      </c>
      <c r="J14" s="30">
        <f t="shared" si="5"/>
        <v>264.08384548611139</v>
      </c>
      <c r="K14" s="30">
        <f t="shared" si="3"/>
        <v>7.5452527281746109</v>
      </c>
      <c r="L14" s="27">
        <v>131</v>
      </c>
      <c r="M14" s="31">
        <f t="shared" si="6"/>
        <v>0.26717557251908397</v>
      </c>
      <c r="N14" s="27">
        <v>55</v>
      </c>
      <c r="O14" s="32">
        <f t="shared" ref="O14:P14" si="22">D14/7</f>
        <v>5</v>
      </c>
      <c r="P14" s="32">
        <f t="shared" si="22"/>
        <v>0.14285714285714285</v>
      </c>
      <c r="Q14" s="27">
        <f t="shared" si="8"/>
        <v>10</v>
      </c>
      <c r="R14" s="27"/>
      <c r="S14" s="33">
        <v>1.74744027303754</v>
      </c>
      <c r="T14" s="26">
        <v>284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1.32</v>
      </c>
      <c r="Z14" s="26">
        <v>1</v>
      </c>
      <c r="AA14" s="26" t="s">
        <v>250</v>
      </c>
      <c r="AB14" s="38">
        <f t="shared" si="11"/>
        <v>-0.48</v>
      </c>
      <c r="AC14" s="39">
        <v>1.0792010271990742</v>
      </c>
      <c r="AD14" s="37">
        <f t="shared" si="12"/>
        <v>-36.261154513888897</v>
      </c>
      <c r="AE14" s="37">
        <v>-13.2</v>
      </c>
      <c r="AF14" s="37">
        <v>-18.122499999999999</v>
      </c>
      <c r="AG14" s="37">
        <v>0</v>
      </c>
    </row>
    <row r="15" spans="1:33" ht="15.75" customHeight="1" x14ac:dyDescent="0.2">
      <c r="A15" s="26" t="s">
        <v>58</v>
      </c>
      <c r="B15" s="26" t="s">
        <v>76</v>
      </c>
      <c r="C15" s="14">
        <f t="shared" si="4"/>
        <v>47.961739130434779</v>
      </c>
      <c r="D15" s="27">
        <v>46</v>
      </c>
      <c r="E15" s="27">
        <v>0</v>
      </c>
      <c r="F15" s="30">
        <v>2206.2399999999998</v>
      </c>
      <c r="G15" s="28">
        <v>-0.74999999999999989</v>
      </c>
      <c r="H15" s="29">
        <f t="shared" si="1"/>
        <v>3.3994488360287182E-4</v>
      </c>
      <c r="I15" s="29">
        <f t="shared" si="2"/>
        <v>0.17498616770563893</v>
      </c>
      <c r="J15" s="30">
        <f t="shared" si="5"/>
        <v>386.06148263888883</v>
      </c>
      <c r="K15" s="30">
        <f t="shared" si="3"/>
        <v>8.3926409269323656</v>
      </c>
      <c r="L15" s="27">
        <v>137</v>
      </c>
      <c r="M15" s="31">
        <f t="shared" si="6"/>
        <v>0.33576642335766421</v>
      </c>
      <c r="N15" s="27">
        <v>6</v>
      </c>
      <c r="O15" s="32">
        <f t="shared" ref="O15:P15" si="23">D15/7</f>
        <v>6.5714285714285712</v>
      </c>
      <c r="P15" s="32">
        <f t="shared" si="23"/>
        <v>0</v>
      </c>
      <c r="Q15" s="27">
        <f t="shared" si="8"/>
        <v>0</v>
      </c>
      <c r="R15" s="27"/>
      <c r="S15" s="33" t="e">
        <v>#N/A</v>
      </c>
      <c r="T15" s="26">
        <v>568</v>
      </c>
      <c r="U15" s="34" t="s">
        <v>34</v>
      </c>
      <c r="V15" s="35" t="s">
        <v>1403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1.0792010271990742</v>
      </c>
      <c r="AD15" s="37">
        <f t="shared" si="12"/>
        <v>-47.657517361111118</v>
      </c>
      <c r="AE15" s="37">
        <v>-13.2</v>
      </c>
      <c r="AF15" s="37">
        <v>-18.122499999999999</v>
      </c>
      <c r="AG15" s="37">
        <v>0</v>
      </c>
    </row>
    <row r="16" spans="1:33" ht="15.75" customHeight="1" x14ac:dyDescent="0.2">
      <c r="A16" s="26" t="s">
        <v>60</v>
      </c>
      <c r="B16" s="26" t="s">
        <v>1404</v>
      </c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3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968</v>
      </c>
      <c r="U16" s="34" t="s">
        <v>34</v>
      </c>
      <c r="V16" s="35" t="s">
        <v>1403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1.0792010271990742</v>
      </c>
      <c r="AD16" s="37">
        <f t="shared" si="12"/>
        <v>0</v>
      </c>
      <c r="AE16" s="37">
        <v>-13.2</v>
      </c>
      <c r="AF16" s="37">
        <v>-18.122499999999999</v>
      </c>
      <c r="AG16" s="37">
        <v>0</v>
      </c>
    </row>
    <row r="17" spans="1:33" ht="15.75" customHeight="1" x14ac:dyDescent="0.2">
      <c r="A17" s="26" t="s">
        <v>61</v>
      </c>
      <c r="B17" s="26" t="s">
        <v>76</v>
      </c>
      <c r="C17" s="14">
        <f t="shared" si="4"/>
        <v>47.99</v>
      </c>
      <c r="D17" s="27">
        <v>1</v>
      </c>
      <c r="E17" s="27">
        <v>0</v>
      </c>
      <c r="F17" s="30">
        <v>47.99</v>
      </c>
      <c r="G17" s="28">
        <v>-0.12</v>
      </c>
      <c r="H17" s="29">
        <f t="shared" si="1"/>
        <v>2.500520941862888E-3</v>
      </c>
      <c r="I17" s="29">
        <f t="shared" si="2"/>
        <v>0.17322290089370476</v>
      </c>
      <c r="J17" s="30">
        <f t="shared" si="5"/>
        <v>8.3129670138888923</v>
      </c>
      <c r="K17" s="30">
        <f t="shared" si="3"/>
        <v>8.3129670138888923</v>
      </c>
      <c r="L17" s="27">
        <v>15</v>
      </c>
      <c r="M17" s="31">
        <f t="shared" si="6"/>
        <v>6.6666666666666666E-2</v>
      </c>
      <c r="N17" s="27">
        <v>3</v>
      </c>
      <c r="O17" s="32">
        <f t="shared" ref="O17:P17" si="25">D17/7</f>
        <v>0.14285714285714285</v>
      </c>
      <c r="P17" s="32">
        <f t="shared" si="25"/>
        <v>0</v>
      </c>
      <c r="Q17" s="27">
        <f t="shared" si="8"/>
        <v>21</v>
      </c>
      <c r="R17" s="27"/>
      <c r="S17" s="33">
        <v>3.25</v>
      </c>
      <c r="T17" s="26">
        <v>968</v>
      </c>
      <c r="U17" s="34" t="s">
        <v>34</v>
      </c>
      <c r="V17" s="35" t="s">
        <v>1403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1.0792010271990742</v>
      </c>
      <c r="AD17" s="37">
        <f t="shared" si="12"/>
        <v>-1.0360329861111113</v>
      </c>
      <c r="AE17" s="37">
        <v>-13.2</v>
      </c>
      <c r="AF17" s="37">
        <v>-18.122499999999999</v>
      </c>
      <c r="AG17" s="37">
        <v>0</v>
      </c>
    </row>
    <row r="18" spans="1:33" ht="15.75" customHeight="1" x14ac:dyDescent="0.2">
      <c r="A18" s="26" t="s">
        <v>62</v>
      </c>
      <c r="B18" s="26" t="s">
        <v>76</v>
      </c>
      <c r="C18" s="14">
        <f t="shared" si="4"/>
        <v>47.99</v>
      </c>
      <c r="D18" s="27">
        <v>1</v>
      </c>
      <c r="E18" s="27">
        <v>0</v>
      </c>
      <c r="F18" s="30">
        <v>47.99</v>
      </c>
      <c r="G18" s="28">
        <v>-0.59</v>
      </c>
      <c r="H18" s="29">
        <f t="shared" si="1"/>
        <v>1.2294227964159198E-2</v>
      </c>
      <c r="I18" s="29">
        <f t="shared" si="2"/>
        <v>0.16342919387140833</v>
      </c>
      <c r="J18" s="30">
        <f t="shared" si="5"/>
        <v>7.8429670138888863</v>
      </c>
      <c r="K18" s="30">
        <f t="shared" si="3"/>
        <v>7.8429670138888863</v>
      </c>
      <c r="L18" s="27">
        <v>0</v>
      </c>
      <c r="M18" s="31" t="str">
        <f t="shared" si="6"/>
        <v>-</v>
      </c>
      <c r="N18" s="27">
        <v>3</v>
      </c>
      <c r="O18" s="32">
        <f t="shared" ref="O18:P18" si="26">D18/7</f>
        <v>0.14285714285714285</v>
      </c>
      <c r="P18" s="32">
        <f t="shared" si="26"/>
        <v>0</v>
      </c>
      <c r="Q18" s="27">
        <f t="shared" si="8"/>
        <v>21</v>
      </c>
      <c r="R18" s="27"/>
      <c r="S18" s="33">
        <v>3.7342657342657302</v>
      </c>
      <c r="T18" s="26">
        <v>684</v>
      </c>
      <c r="U18" s="34" t="s">
        <v>34</v>
      </c>
      <c r="V18" s="35" t="s">
        <v>34</v>
      </c>
      <c r="W18" s="26">
        <v>1</v>
      </c>
      <c r="X18" s="36">
        <f t="shared" si="9"/>
        <v>1</v>
      </c>
      <c r="Y18" s="37">
        <f t="shared" si="10"/>
        <v>0.59</v>
      </c>
      <c r="Z18" s="26">
        <v>0</v>
      </c>
      <c r="AA18" s="26" t="s">
        <v>250</v>
      </c>
      <c r="AB18" s="38">
        <f t="shared" si="11"/>
        <v>-0.48</v>
      </c>
      <c r="AC18" s="39">
        <v>1.0792010271990742</v>
      </c>
      <c r="AD18" s="37">
        <f t="shared" si="12"/>
        <v>-1.0360329861111113</v>
      </c>
      <c r="AE18" s="37">
        <v>-13.2</v>
      </c>
      <c r="AF18" s="37">
        <v>-18.122499999999999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4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>
        <v>2.0634249471458701</v>
      </c>
      <c r="T19" s="26">
        <v>794</v>
      </c>
      <c r="U19" s="34" t="s">
        <v>34</v>
      </c>
      <c r="V19" s="35" t="s">
        <v>1405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e">
        <v>#N/A</v>
      </c>
      <c r="AB19" s="38" t="e">
        <f t="shared" si="11"/>
        <v>#N/A</v>
      </c>
      <c r="AC19" s="39" t="e">
        <v>#N/A</v>
      </c>
      <c r="AD19" s="37">
        <f t="shared" si="12"/>
        <v>0</v>
      </c>
      <c r="AE19" s="37">
        <v>0</v>
      </c>
      <c r="AF19" s="37">
        <v>-18.122500000000002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3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794</v>
      </c>
      <c r="U20" s="34" t="s">
        <v>34</v>
      </c>
      <c r="V20" s="35" t="s">
        <v>1405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e">
        <v>#N/A</v>
      </c>
      <c r="AB20" s="38" t="e">
        <f t="shared" si="11"/>
        <v>#N/A</v>
      </c>
      <c r="AC20" s="39" t="e">
        <v>#N/A</v>
      </c>
      <c r="AD20" s="37">
        <f t="shared" si="12"/>
        <v>0</v>
      </c>
      <c r="AE20" s="37">
        <v>0</v>
      </c>
      <c r="AF20" s="37">
        <v>-18.122500000000002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3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e">
        <v>#N/A</v>
      </c>
      <c r="AB21" s="38" t="e">
        <f t="shared" si="11"/>
        <v>#N/A</v>
      </c>
      <c r="AC21" s="39" t="e">
        <v>#N/A</v>
      </c>
      <c r="AD21" s="37">
        <f t="shared" si="12"/>
        <v>0</v>
      </c>
      <c r="AE21" s="37">
        <v>0</v>
      </c>
      <c r="AF21" s="37">
        <v>-18.122500000000002</v>
      </c>
      <c r="AG21" s="37">
        <v>0</v>
      </c>
    </row>
    <row r="22" spans="1:33" ht="15.75" customHeight="1" x14ac:dyDescent="0.2">
      <c r="A22" s="26" t="s">
        <v>67</v>
      </c>
      <c r="B22" s="26" t="s">
        <v>1406</v>
      </c>
      <c r="C22" s="14">
        <f t="shared" si="4"/>
        <v>47.99</v>
      </c>
      <c r="D22" s="27">
        <v>6</v>
      </c>
      <c r="E22" s="27">
        <v>0</v>
      </c>
      <c r="F22" s="28">
        <v>287.94</v>
      </c>
      <c r="G22" s="28">
        <v>-0.93</v>
      </c>
      <c r="H22" s="29">
        <f t="shared" si="1"/>
        <v>3.2298395499062308E-3</v>
      </c>
      <c r="I22" s="29">
        <f t="shared" si="2"/>
        <v>0.17249358228566133</v>
      </c>
      <c r="J22" s="30">
        <f t="shared" si="5"/>
        <v>49.667802083333321</v>
      </c>
      <c r="K22" s="30">
        <f t="shared" si="3"/>
        <v>8.2779670138888868</v>
      </c>
      <c r="L22" s="27">
        <v>32</v>
      </c>
      <c r="M22" s="31">
        <f t="shared" si="6"/>
        <v>0.1875</v>
      </c>
      <c r="N22" s="27">
        <v>150</v>
      </c>
      <c r="O22" s="32">
        <f t="shared" ref="O22:P22" si="30">D22/7</f>
        <v>0.8571428571428571</v>
      </c>
      <c r="P22" s="32">
        <f t="shared" si="30"/>
        <v>0</v>
      </c>
      <c r="Q22" s="27">
        <f t="shared" si="8"/>
        <v>175</v>
      </c>
      <c r="R22" s="27"/>
      <c r="S22" s="33">
        <v>1.6519721577726201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1.0792010271990742</v>
      </c>
      <c r="AD22" s="37">
        <f t="shared" si="12"/>
        <v>-6.2161979166666672</v>
      </c>
      <c r="AE22" s="37">
        <v>-13.2</v>
      </c>
      <c r="AF22" s="37">
        <v>-18.122500000000002</v>
      </c>
      <c r="AG22" s="37">
        <v>0</v>
      </c>
    </row>
    <row r="23" spans="1:33" ht="15.75" customHeight="1" x14ac:dyDescent="0.2">
      <c r="A23" s="26" t="s">
        <v>68</v>
      </c>
      <c r="B23" s="26" t="s">
        <v>1407</v>
      </c>
      <c r="C23" s="14">
        <f t="shared" si="4"/>
        <v>47.99</v>
      </c>
      <c r="D23" s="27">
        <v>20</v>
      </c>
      <c r="E23" s="27">
        <v>0</v>
      </c>
      <c r="F23" s="30">
        <v>959.80000000000007</v>
      </c>
      <c r="G23" s="28">
        <v>-1.9600000000000002</v>
      </c>
      <c r="H23" s="29">
        <f t="shared" si="1"/>
        <v>2.0420921025213587E-3</v>
      </c>
      <c r="I23" s="29">
        <f t="shared" si="2"/>
        <v>0.17368132973304617</v>
      </c>
      <c r="J23" s="30">
        <f t="shared" si="5"/>
        <v>166.69934027777774</v>
      </c>
      <c r="K23" s="30">
        <f t="shared" si="3"/>
        <v>8.3349670138888872</v>
      </c>
      <c r="L23" s="27">
        <v>105</v>
      </c>
      <c r="M23" s="31">
        <f t="shared" si="6"/>
        <v>0.19047619047619047</v>
      </c>
      <c r="N23" s="27">
        <v>132</v>
      </c>
      <c r="O23" s="32">
        <f t="shared" ref="O23:P23" si="31">D23/7</f>
        <v>2.8571428571428572</v>
      </c>
      <c r="P23" s="32">
        <f t="shared" si="31"/>
        <v>0</v>
      </c>
      <c r="Q23" s="27">
        <f t="shared" si="8"/>
        <v>46</v>
      </c>
      <c r="R23" s="27"/>
      <c r="S23" s="33">
        <v>1.87798408488063</v>
      </c>
      <c r="T23" s="26">
        <v>1084</v>
      </c>
      <c r="U23" s="34">
        <v>284</v>
      </c>
      <c r="V23" s="35" t="s">
        <v>1408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1.0792010271990742</v>
      </c>
      <c r="AD23" s="37">
        <f t="shared" si="12"/>
        <v>-20.720659722222226</v>
      </c>
      <c r="AE23" s="37">
        <v>-13.2</v>
      </c>
      <c r="AF23" s="37">
        <v>-18.122500000000002</v>
      </c>
      <c r="AG23" s="37">
        <v>0</v>
      </c>
    </row>
    <row r="24" spans="1:33" ht="15.75" customHeight="1" x14ac:dyDescent="0.2">
      <c r="A24" s="26" t="s">
        <v>71</v>
      </c>
      <c r="B24" s="26" t="s">
        <v>1409</v>
      </c>
      <c r="C24" s="14">
        <f t="shared" si="4"/>
        <v>47.99</v>
      </c>
      <c r="D24" s="27">
        <v>35</v>
      </c>
      <c r="E24" s="27">
        <v>0</v>
      </c>
      <c r="F24" s="30">
        <v>1679.65</v>
      </c>
      <c r="G24" s="30">
        <v>-1.6099999999999999</v>
      </c>
      <c r="H24" s="29">
        <f t="shared" si="1"/>
        <v>9.5853302771410696E-4</v>
      </c>
      <c r="I24" s="29">
        <f t="shared" si="2"/>
        <v>0.17476488880785354</v>
      </c>
      <c r="J24" s="30">
        <f t="shared" si="5"/>
        <v>293.54384548611119</v>
      </c>
      <c r="K24" s="30">
        <f t="shared" si="3"/>
        <v>8.3869670138888921</v>
      </c>
      <c r="L24" s="27">
        <v>131</v>
      </c>
      <c r="M24" s="31">
        <f t="shared" si="6"/>
        <v>0.26717557251908397</v>
      </c>
      <c r="N24" s="27">
        <v>108</v>
      </c>
      <c r="O24" s="32">
        <f t="shared" ref="O24:P24" si="32">D24/7</f>
        <v>5</v>
      </c>
      <c r="P24" s="32">
        <f t="shared" si="32"/>
        <v>0</v>
      </c>
      <c r="Q24" s="27">
        <f t="shared" si="8"/>
        <v>21</v>
      </c>
      <c r="R24" s="27"/>
      <c r="S24" s="33">
        <v>2.3972125435540002</v>
      </c>
      <c r="T24" s="26">
        <v>1084</v>
      </c>
      <c r="U24" s="34">
        <v>284</v>
      </c>
      <c r="V24" s="35" t="s">
        <v>1408</v>
      </c>
      <c r="W24" s="26">
        <v>2</v>
      </c>
      <c r="X24" s="36">
        <f t="shared" si="9"/>
        <v>5.7142857142857141E-2</v>
      </c>
      <c r="Y24" s="37">
        <f t="shared" si="10"/>
        <v>0.53666666666666663</v>
      </c>
      <c r="Z24" s="26">
        <v>1</v>
      </c>
      <c r="AA24" s="26" t="s">
        <v>250</v>
      </c>
      <c r="AB24" s="38">
        <f t="shared" si="11"/>
        <v>-0.48</v>
      </c>
      <c r="AC24" s="39">
        <v>1.0792010271990742</v>
      </c>
      <c r="AD24" s="37">
        <f t="shared" si="12"/>
        <v>-36.261154513888897</v>
      </c>
      <c r="AE24" s="37">
        <v>-13.2</v>
      </c>
      <c r="AF24" s="37">
        <v>-18.122500000000002</v>
      </c>
      <c r="AG24" s="37">
        <v>0</v>
      </c>
    </row>
    <row r="25" spans="1:33" ht="15.75" customHeight="1" x14ac:dyDescent="0.2">
      <c r="A25" s="40" t="s">
        <v>73</v>
      </c>
      <c r="B25" s="40" t="s">
        <v>1377</v>
      </c>
      <c r="C25" s="14">
        <f t="shared" si="4"/>
        <v>50.096666666666664</v>
      </c>
      <c r="D25" s="15">
        <v>54</v>
      </c>
      <c r="E25" s="15">
        <v>0</v>
      </c>
      <c r="F25" s="16">
        <v>2705.22</v>
      </c>
      <c r="G25" s="16">
        <v>-1.69</v>
      </c>
      <c r="H25" s="29">
        <f t="shared" si="1"/>
        <v>6.247181375267077E-4</v>
      </c>
      <c r="I25" s="29">
        <f t="shared" si="2"/>
        <v>0.20350330795646931</v>
      </c>
      <c r="J25" s="30">
        <f t="shared" si="5"/>
        <v>550.52121874999989</v>
      </c>
      <c r="K25" s="30">
        <f t="shared" si="3"/>
        <v>10.194837384259257</v>
      </c>
      <c r="L25" s="15">
        <v>190</v>
      </c>
      <c r="M25" s="31">
        <f t="shared" si="6"/>
        <v>0.28421052631578947</v>
      </c>
      <c r="N25" s="15">
        <v>53</v>
      </c>
      <c r="O25" s="32">
        <f t="shared" ref="O25:P25" si="33">D25/7</f>
        <v>7.7142857142857144</v>
      </c>
      <c r="P25" s="32">
        <f t="shared" si="33"/>
        <v>0</v>
      </c>
      <c r="Q25" s="27">
        <f t="shared" si="8"/>
        <v>6</v>
      </c>
      <c r="R25" s="27"/>
      <c r="S25" s="41">
        <v>4.208333333333333</v>
      </c>
      <c r="T25" s="26">
        <v>1368</v>
      </c>
      <c r="U25" s="34">
        <v>284</v>
      </c>
      <c r="V25" s="35" t="s">
        <v>1410</v>
      </c>
      <c r="W25" s="40">
        <v>2</v>
      </c>
      <c r="X25" s="36">
        <f t="shared" si="9"/>
        <v>3.7037037037037035E-2</v>
      </c>
      <c r="Y25" s="37">
        <f t="shared" si="10"/>
        <v>0.84499999999999997</v>
      </c>
      <c r="Z25" s="40">
        <v>0</v>
      </c>
      <c r="AA25" s="26" t="s">
        <v>250</v>
      </c>
      <c r="AB25" s="38">
        <f t="shared" si="11"/>
        <v>-0.48</v>
      </c>
      <c r="AC25" s="39">
        <v>1.0792010271990742</v>
      </c>
      <c r="AD25" s="37">
        <f t="shared" si="12"/>
        <v>-55.94578125000001</v>
      </c>
      <c r="AE25" s="42">
        <v>-13.2</v>
      </c>
      <c r="AF25" s="42">
        <v>-18.12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51.559333333333335</v>
      </c>
      <c r="D26" s="15">
        <v>30</v>
      </c>
      <c r="E26" s="15">
        <v>0</v>
      </c>
      <c r="F26" s="16">
        <v>1546.78</v>
      </c>
      <c r="G26" s="16">
        <v>-1.29</v>
      </c>
      <c r="H26" s="29">
        <f t="shared" si="1"/>
        <v>8.3399061275682385E-4</v>
      </c>
      <c r="I26" s="29">
        <f t="shared" si="2"/>
        <v>0.21380998617558195</v>
      </c>
      <c r="J26" s="30">
        <f t="shared" si="5"/>
        <v>330.71701041666665</v>
      </c>
      <c r="K26" s="30">
        <f t="shared" si="3"/>
        <v>11.023900347222222</v>
      </c>
      <c r="L26" s="15">
        <v>160</v>
      </c>
      <c r="M26" s="31">
        <f t="shared" si="6"/>
        <v>0.1875</v>
      </c>
      <c r="N26" s="15">
        <v>19</v>
      </c>
      <c r="O26" s="32">
        <f t="shared" ref="O26:P26" si="34">D26/7</f>
        <v>4.2857142857142856</v>
      </c>
      <c r="P26" s="32">
        <f t="shared" si="34"/>
        <v>0</v>
      </c>
      <c r="Q26" s="27">
        <f t="shared" si="8"/>
        <v>4</v>
      </c>
      <c r="R26" s="27"/>
      <c r="S26" s="41">
        <v>5.971830985915493</v>
      </c>
      <c r="T26" s="26">
        <v>1084</v>
      </c>
      <c r="U26" s="34">
        <v>284</v>
      </c>
      <c r="V26" s="35" t="s">
        <v>1411</v>
      </c>
      <c r="W26" s="40">
        <v>0</v>
      </c>
      <c r="X26" s="36">
        <f t="shared" si="9"/>
        <v>0</v>
      </c>
      <c r="Y26" s="37">
        <f t="shared" si="10"/>
        <v>1.29</v>
      </c>
      <c r="Z26" s="40">
        <v>1</v>
      </c>
      <c r="AA26" s="26" t="s">
        <v>250</v>
      </c>
      <c r="AB26" s="38">
        <f t="shared" si="11"/>
        <v>-0.48</v>
      </c>
      <c r="AC26" s="40">
        <v>1.0792010271990742</v>
      </c>
      <c r="AD26" s="37">
        <f t="shared" si="12"/>
        <v>-31.080989583333338</v>
      </c>
      <c r="AE26" s="42">
        <v>-13.6</v>
      </c>
      <c r="AF26" s="42">
        <v>-18.122499999999999</v>
      </c>
      <c r="AG26" s="42">
        <v>0</v>
      </c>
    </row>
    <row r="27" spans="1:33" ht="15.75" customHeight="1" x14ac:dyDescent="0.2">
      <c r="A27" s="40" t="s">
        <v>77</v>
      </c>
      <c r="B27" s="40" t="s">
        <v>76</v>
      </c>
      <c r="C27" s="14">
        <f t="shared" si="4"/>
        <v>50.434333333333335</v>
      </c>
      <c r="D27" s="15">
        <v>30</v>
      </c>
      <c r="E27" s="15">
        <v>0</v>
      </c>
      <c r="F27" s="16">
        <v>1513.03</v>
      </c>
      <c r="G27" s="16">
        <v>-1.57</v>
      </c>
      <c r="H27" s="29">
        <f t="shared" si="1"/>
        <v>1.0376529216208537E-3</v>
      </c>
      <c r="I27" s="29">
        <f t="shared" si="2"/>
        <v>0.19943392425574291</v>
      </c>
      <c r="J27" s="30">
        <f t="shared" si="5"/>
        <v>301.74951041666668</v>
      </c>
      <c r="K27" s="30">
        <f t="shared" si="3"/>
        <v>10.058317013888889</v>
      </c>
      <c r="L27" s="15">
        <v>130</v>
      </c>
      <c r="M27" s="31">
        <f t="shared" si="6"/>
        <v>0.23076923076923078</v>
      </c>
      <c r="N27" s="15">
        <v>28</v>
      </c>
      <c r="O27" s="32">
        <f t="shared" ref="O27:P27" si="35">D27/7</f>
        <v>4.2857142857142856</v>
      </c>
      <c r="P27" s="32">
        <f t="shared" si="35"/>
        <v>0</v>
      </c>
      <c r="Q27" s="27">
        <f t="shared" si="8"/>
        <v>6</v>
      </c>
      <c r="R27" s="27"/>
      <c r="S27" s="41">
        <v>3.4897119341563791</v>
      </c>
      <c r="T27" s="26">
        <v>1084</v>
      </c>
      <c r="U27" s="34">
        <v>284</v>
      </c>
      <c r="V27" s="35" t="s">
        <v>1412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1.0792010271990742</v>
      </c>
      <c r="AD27" s="37">
        <f t="shared" si="12"/>
        <v>-31.080989583333338</v>
      </c>
      <c r="AE27" s="42">
        <v>-13.6</v>
      </c>
      <c r="AF27" s="42">
        <v>-18.122499999999999</v>
      </c>
      <c r="AG27" s="42">
        <v>0</v>
      </c>
    </row>
    <row r="28" spans="1:33" ht="15.75" customHeight="1" x14ac:dyDescent="0.2">
      <c r="A28" s="40" t="s">
        <v>79</v>
      </c>
      <c r="B28" s="40" t="s">
        <v>76</v>
      </c>
      <c r="C28" s="14">
        <f t="shared" si="4"/>
        <v>53.378064516129037</v>
      </c>
      <c r="D28" s="15">
        <v>31</v>
      </c>
      <c r="E28" s="15">
        <v>0</v>
      </c>
      <c r="F28" s="16">
        <v>1654.72</v>
      </c>
      <c r="G28" s="16">
        <v>-0.57999999999999996</v>
      </c>
      <c r="H28" s="29">
        <f t="shared" si="1"/>
        <v>3.5051247340939852E-4</v>
      </c>
      <c r="I28" s="29">
        <f t="shared" si="2"/>
        <v>0.23594171668352085</v>
      </c>
      <c r="J28" s="30">
        <f t="shared" si="5"/>
        <v>390.41747743055561</v>
      </c>
      <c r="K28" s="30">
        <f t="shared" si="3"/>
        <v>12.594112175179212</v>
      </c>
      <c r="L28" s="15">
        <v>184</v>
      </c>
      <c r="M28" s="31">
        <f t="shared" si="6"/>
        <v>0.16847826086956522</v>
      </c>
      <c r="N28" s="15">
        <v>5</v>
      </c>
      <c r="O28" s="32">
        <f t="shared" ref="O28:P28" si="36">D28/7</f>
        <v>4.4285714285714288</v>
      </c>
      <c r="P28" s="32">
        <f t="shared" si="36"/>
        <v>0</v>
      </c>
      <c r="Q28" s="27">
        <f t="shared" si="8"/>
        <v>1</v>
      </c>
      <c r="R28" s="27"/>
      <c r="S28" s="41">
        <v>5.2075471698113196</v>
      </c>
      <c r="T28" s="40" t="s">
        <v>34</v>
      </c>
      <c r="U28" s="22">
        <v>684</v>
      </c>
      <c r="V28" s="1" t="s">
        <v>1413</v>
      </c>
      <c r="W28" s="40">
        <v>1</v>
      </c>
      <c r="X28" s="36">
        <f t="shared" si="9"/>
        <v>3.2258064516129031E-2</v>
      </c>
      <c r="Y28" s="37">
        <f t="shared" si="10"/>
        <v>0.57999999999999996</v>
      </c>
      <c r="Z28" s="40">
        <v>0</v>
      </c>
      <c r="AA28" s="26" t="s">
        <v>250</v>
      </c>
      <c r="AB28" s="38">
        <f t="shared" si="11"/>
        <v>-0.48</v>
      </c>
      <c r="AC28" s="39">
        <v>1.0792010271990742</v>
      </c>
      <c r="AD28" s="37">
        <f t="shared" si="12"/>
        <v>-32.117022569444451</v>
      </c>
      <c r="AE28" s="42">
        <v>-13.6</v>
      </c>
      <c r="AF28" s="42">
        <v>-18.122499999999999</v>
      </c>
      <c r="AG28" s="42">
        <v>0</v>
      </c>
    </row>
    <row r="29" spans="1:33" ht="15.75" customHeight="1" x14ac:dyDescent="0.2">
      <c r="A29" s="26" t="s">
        <v>82</v>
      </c>
      <c r="B29" s="40" t="s">
        <v>76</v>
      </c>
      <c r="C29" s="14">
        <f t="shared" si="4"/>
        <v>51.99</v>
      </c>
      <c r="D29" s="27">
        <v>3</v>
      </c>
      <c r="E29" s="27">
        <v>0</v>
      </c>
      <c r="F29" s="30">
        <v>155.97</v>
      </c>
      <c r="G29" s="30">
        <v>-0.87999999999999989</v>
      </c>
      <c r="H29" s="29">
        <f t="shared" si="1"/>
        <v>5.6421106623068531E-3</v>
      </c>
      <c r="I29" s="29">
        <f t="shared" si="2"/>
        <v>0.21426492942018771</v>
      </c>
      <c r="J29" s="30">
        <f t="shared" si="5"/>
        <v>33.418901041666679</v>
      </c>
      <c r="K29" s="30">
        <f t="shared" si="3"/>
        <v>11.13963368055556</v>
      </c>
      <c r="L29" s="27">
        <v>52</v>
      </c>
      <c r="M29" s="31">
        <f t="shared" si="6"/>
        <v>5.7692307692307696E-2</v>
      </c>
      <c r="N29" s="15">
        <v>4</v>
      </c>
      <c r="O29" s="32">
        <f t="shared" ref="O29:P29" si="37">D29/7</f>
        <v>0.42857142857142855</v>
      </c>
      <c r="P29" s="32">
        <f t="shared" si="37"/>
        <v>0</v>
      </c>
      <c r="Q29" s="27">
        <f t="shared" si="8"/>
        <v>9</v>
      </c>
      <c r="R29" s="27"/>
      <c r="S29" s="41">
        <v>7.7714285714285714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0.87999999999999989</v>
      </c>
      <c r="Z29" s="40">
        <v>1</v>
      </c>
      <c r="AA29" s="26" t="s">
        <v>250</v>
      </c>
      <c r="AB29" s="38">
        <f t="shared" si="11"/>
        <v>-0.48</v>
      </c>
      <c r="AC29" s="39">
        <v>1.0792010271990742</v>
      </c>
      <c r="AD29" s="37">
        <f t="shared" si="12"/>
        <v>-3.1080989583333336</v>
      </c>
      <c r="AE29" s="37">
        <v>-13.6</v>
      </c>
      <c r="AF29" s="42">
        <v>-18.122499999999999</v>
      </c>
      <c r="AG29" s="37">
        <v>0</v>
      </c>
    </row>
    <row r="30" spans="1:33" ht="15.75" customHeight="1" x14ac:dyDescent="0.2">
      <c r="A30" s="40" t="s">
        <v>84</v>
      </c>
      <c r="B30" s="40" t="s">
        <v>76</v>
      </c>
      <c r="C30" s="14">
        <f t="shared" si="4"/>
        <v>51.99</v>
      </c>
      <c r="D30" s="15">
        <v>2</v>
      </c>
      <c r="E30" s="15">
        <v>0</v>
      </c>
      <c r="F30" s="16">
        <v>103.98</v>
      </c>
      <c r="G30" s="16">
        <v>-0.9</v>
      </c>
      <c r="H30" s="29">
        <f t="shared" si="1"/>
        <v>8.6555106751298322E-3</v>
      </c>
      <c r="I30" s="29">
        <f t="shared" si="2"/>
        <v>0.11144013298497561</v>
      </c>
      <c r="J30" s="30">
        <f t="shared" si="5"/>
        <v>11.587545027777765</v>
      </c>
      <c r="K30" s="30">
        <f t="shared" si="3"/>
        <v>5.7937725138888823</v>
      </c>
      <c r="L30" s="15">
        <v>19</v>
      </c>
      <c r="M30" s="31">
        <f t="shared" si="6"/>
        <v>0.10526315789473684</v>
      </c>
      <c r="N30" s="15">
        <v>3</v>
      </c>
      <c r="O30" s="32">
        <f t="shared" ref="O30:P30" si="38">D30/7</f>
        <v>0.2857142857142857</v>
      </c>
      <c r="P30" s="32">
        <f t="shared" si="38"/>
        <v>0</v>
      </c>
      <c r="Q30" s="27">
        <f t="shared" si="8"/>
        <v>10</v>
      </c>
      <c r="R30" s="27"/>
      <c r="S30" s="41">
        <v>11.232876712328769</v>
      </c>
      <c r="T30" s="26">
        <v>684</v>
      </c>
      <c r="U30" s="34">
        <v>284</v>
      </c>
      <c r="V30" s="35" t="s">
        <v>1414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1.0792010271990742</v>
      </c>
      <c r="AD30" s="37">
        <f t="shared" si="12"/>
        <v>-2.0720659722222226</v>
      </c>
      <c r="AE30" s="42">
        <v>-13.6</v>
      </c>
      <c r="AF30" s="42">
        <v>-23.311694500000002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5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4.4516129032257998</v>
      </c>
      <c r="T31" s="40">
        <v>-400</v>
      </c>
      <c r="U31" s="22">
        <v>400</v>
      </c>
      <c r="V31" s="1" t="s">
        <v>1415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1.0792010271990742</v>
      </c>
      <c r="AD31" s="37">
        <f t="shared" si="12"/>
        <v>0</v>
      </c>
      <c r="AE31" s="45">
        <v>-13.6</v>
      </c>
      <c r="AF31" s="45">
        <v>-23.311694500000002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>
        <f t="shared" si="4"/>
        <v>51.99</v>
      </c>
      <c r="D32" s="15">
        <v>2</v>
      </c>
      <c r="E32" s="15">
        <v>0</v>
      </c>
      <c r="F32" s="16">
        <v>103.98</v>
      </c>
      <c r="G32" s="16">
        <v>-0.54</v>
      </c>
      <c r="H32" s="29">
        <f t="shared" si="1"/>
        <v>5.1933064050779E-3</v>
      </c>
      <c r="I32" s="29">
        <f t="shared" si="2"/>
        <v>0.11490233725502753</v>
      </c>
      <c r="J32" s="30">
        <f t="shared" si="5"/>
        <v>11.947545027777764</v>
      </c>
      <c r="K32" s="30">
        <f t="shared" si="3"/>
        <v>5.973772513888882</v>
      </c>
      <c r="L32" s="15">
        <v>21</v>
      </c>
      <c r="M32" s="31">
        <f t="shared" si="6"/>
        <v>9.5238095238095233E-2</v>
      </c>
      <c r="N32" s="15">
        <v>3</v>
      </c>
      <c r="O32" s="32">
        <f t="shared" ref="O32:P32" si="40">D32/7</f>
        <v>0.2857142857142857</v>
      </c>
      <c r="P32" s="32">
        <f t="shared" si="40"/>
        <v>0</v>
      </c>
      <c r="Q32" s="27">
        <f t="shared" si="8"/>
        <v>10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IFERROR(__xludf.DUMMYFUNCTION("IFERROR(VLOOKUP($B$2,IMPORTRANGE(""https://docs.google.com/spreadsheets/d/1KiWZV1ko8G7lnRucBRBd29jj3Be6ltMfljMDqzOkQmI/edit#gid=1381463014"",""Lookup!A:D""),4,FALSE),"""")"),-400)</f>
        <v>-400</v>
      </c>
      <c r="U32" s="22">
        <f ca="1">IFERROR(__xludf.DUMMYFUNCTION("IFERROR(VLOOKUP($B$2,IMPORTRANGE(""https://docs.google.com/spreadsheets/d/1KiWZV1ko8G7lnRucBRBd29jj3Be6ltMfljMDqzOkQmI/edit#gid=1381463014"",""Lookup!A:D""),3,FALSE),"""")"),400)</f>
        <v>400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AGL220  - 400 units 08/13")</f>
        <v>| AGL220  - 400 units 08/13</v>
      </c>
      <c r="W32" s="40">
        <v>1</v>
      </c>
      <c r="X32" s="36">
        <f t="shared" si="9"/>
        <v>0.5</v>
      </c>
      <c r="Y32" s="37">
        <f t="shared" si="10"/>
        <v>0.54</v>
      </c>
      <c r="Z32" s="40">
        <v>0</v>
      </c>
      <c r="AA32" s="40" t="s">
        <v>250</v>
      </c>
      <c r="AB32" s="38">
        <f t="shared" si="11"/>
        <v>-0.48</v>
      </c>
      <c r="AC32" s="44">
        <v>1.0792010271990742</v>
      </c>
      <c r="AD32" s="37">
        <f t="shared" si="12"/>
        <v>-2.0720659722222226</v>
      </c>
      <c r="AE32" s="42">
        <v>-13.6</v>
      </c>
      <c r="AF32" s="42">
        <v>-23.311694500000002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3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Info!B1:BJ5000""),3,FALSE),"""")"),"Outdoor Glass Beverage Dispenser with Stainless Steel Spigot, Ice Cylinder &amp; Hanging Chalkboard - 1 Gallon Drink Dispenser for Lemonade, Tea, Cold Water &amp; More")</f>
        <v>Outdoor Glass Beverage Dispenser with Stainless Steel Spigot, Ice Cylinder &amp; Hanging Chalkboard - 1 Gallon Drink Dispenser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Info!B1:BJ5000""),2,FALSE),"""")"),"B08Q8PN64P")</f>
        <v>B08Q8PN64P</v>
      </c>
      <c r="B2" s="3" t="s">
        <v>1416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4.5" customHeight="1" x14ac:dyDescent="0.2">
      <c r="A3" s="68" t="s">
        <v>31</v>
      </c>
      <c r="B3" s="69"/>
      <c r="C3" s="48">
        <f>((AE32+AF32)/0.85)*-1</f>
        <v>17.020600000000002</v>
      </c>
      <c r="D3" s="5">
        <f>SUM(D4:D99767)</f>
        <v>427</v>
      </c>
      <c r="E3" s="5"/>
      <c r="F3" s="6">
        <f t="shared" ref="F3:G3" si="0">SUM(F4:F99767)</f>
        <v>11741.809999999996</v>
      </c>
      <c r="G3" s="6">
        <f t="shared" si="0"/>
        <v>-107.98000000000002</v>
      </c>
      <c r="H3" s="7">
        <f>G3/F3*-1</f>
        <v>9.1961971791401885E-3</v>
      </c>
      <c r="I3" s="8">
        <f>J3/F3</f>
        <v>0.29431039014960197</v>
      </c>
      <c r="J3" s="6">
        <f>SUM(J4:J99767)</f>
        <v>3455.7366821624969</v>
      </c>
      <c r="K3" s="6">
        <f>J3/D3</f>
        <v>8.0930601455796172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4 - May
6 - June
6 - July
6 - Aug
6 - Sept
6 - Oct
6 - Nov
8 - Dec
2 - Jan
3 - Feb")</f>
        <v>3 - March
3 - April
4 - May
6 - June
6 - July
6 - Aug
6 - Sept
6 - Oct
6 - Nov
8 - Dec
2 -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10</v>
      </c>
      <c r="X3" s="7">
        <f>W3/D3</f>
        <v>2.3419203747072601E-2</v>
      </c>
      <c r="Y3" s="6"/>
      <c r="Z3" s="5"/>
      <c r="AA3" s="5"/>
      <c r="AB3" s="5"/>
      <c r="AC3" s="5"/>
      <c r="AD3" s="6">
        <f>SUM(AD4:AD99767)</f>
        <v>-243.26540783749999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Info!B2:BZ7000""),37,FALSE)),"""")*-1"),-7.88751)</f>
        <v>-7.8875099999999998</v>
      </c>
      <c r="AG3" s="6">
        <f>SUM(AG4:AG99767)</f>
        <v>0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49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49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hidden="1" customHeight="1" x14ac:dyDescent="0.2">
      <c r="A10" s="26"/>
      <c r="B10" s="26"/>
      <c r="C10" s="14"/>
      <c r="D10" s="27"/>
      <c r="E10" s="27"/>
      <c r="F10" s="28"/>
      <c r="G10" s="28"/>
      <c r="H10" s="29"/>
      <c r="I10" s="29"/>
      <c r="J10" s="30"/>
      <c r="K10" s="30"/>
      <c r="L10" s="27"/>
      <c r="M10" s="31"/>
      <c r="N10" s="27"/>
      <c r="O10" s="32"/>
      <c r="P10" s="32"/>
      <c r="Q10" s="27"/>
      <c r="R10" s="27"/>
      <c r="S10" s="33"/>
      <c r="T10" s="26"/>
      <c r="U10" s="34"/>
      <c r="V10" s="35"/>
      <c r="W10" s="26"/>
      <c r="X10" s="36"/>
      <c r="Y10" s="37"/>
      <c r="Z10" s="26"/>
      <c r="AA10" s="26"/>
      <c r="AB10" s="38"/>
      <c r="AC10" s="39"/>
      <c r="AD10" s="37"/>
      <c r="AE10" s="37"/>
      <c r="AF10" s="37"/>
      <c r="AG10" s="37"/>
    </row>
    <row r="11" spans="1:33" ht="15.75" hidden="1" customHeight="1" x14ac:dyDescent="0.2">
      <c r="A11" s="26"/>
      <c r="B11" s="26"/>
      <c r="C11" s="14"/>
      <c r="D11" s="27"/>
      <c r="E11" s="27"/>
      <c r="F11" s="28"/>
      <c r="G11" s="28"/>
      <c r="H11" s="29"/>
      <c r="I11" s="29"/>
      <c r="J11" s="30"/>
      <c r="K11" s="30"/>
      <c r="L11" s="27"/>
      <c r="M11" s="31"/>
      <c r="N11" s="27"/>
      <c r="O11" s="32"/>
      <c r="P11" s="32"/>
      <c r="Q11" s="27"/>
      <c r="R11" s="27"/>
      <c r="S11" s="33"/>
      <c r="T11" s="26"/>
      <c r="U11" s="34"/>
      <c r="V11" s="35"/>
      <c r="W11" s="26"/>
      <c r="X11" s="36"/>
      <c r="Y11" s="37"/>
      <c r="Z11" s="26"/>
      <c r="AA11" s="26"/>
      <c r="AB11" s="38"/>
      <c r="AC11" s="39"/>
      <c r="AD11" s="37"/>
      <c r="AE11" s="37"/>
      <c r="AF11" s="37"/>
      <c r="AG11" s="37"/>
    </row>
    <row r="12" spans="1:33" ht="15.75" hidden="1" customHeight="1" x14ac:dyDescent="0.2">
      <c r="A12" s="26"/>
      <c r="B12" s="26"/>
      <c r="C12" s="14"/>
      <c r="D12" s="27"/>
      <c r="E12" s="27"/>
      <c r="F12" s="28"/>
      <c r="G12" s="28"/>
      <c r="H12" s="29"/>
      <c r="I12" s="29"/>
      <c r="J12" s="30"/>
      <c r="K12" s="30"/>
      <c r="L12" s="27"/>
      <c r="M12" s="31"/>
      <c r="N12" s="27"/>
      <c r="O12" s="32"/>
      <c r="P12" s="32"/>
      <c r="Q12" s="27"/>
      <c r="R12" s="27"/>
      <c r="S12" s="33"/>
      <c r="T12" s="26"/>
      <c r="U12" s="34"/>
      <c r="V12" s="35"/>
      <c r="W12" s="26"/>
      <c r="X12" s="36"/>
      <c r="Y12" s="37"/>
      <c r="Z12" s="26"/>
      <c r="AA12" s="26"/>
      <c r="AB12" s="38"/>
      <c r="AC12" s="39"/>
      <c r="AD12" s="37"/>
      <c r="AE12" s="37"/>
      <c r="AF12" s="37"/>
      <c r="AG12" s="37"/>
    </row>
    <row r="13" spans="1:33" ht="15.75" hidden="1" customHeight="1" x14ac:dyDescent="0.2">
      <c r="A13" s="26"/>
      <c r="B13" s="26"/>
      <c r="C13" s="14"/>
      <c r="D13" s="27"/>
      <c r="E13" s="27"/>
      <c r="F13" s="30"/>
      <c r="G13" s="28"/>
      <c r="H13" s="29"/>
      <c r="I13" s="29"/>
      <c r="J13" s="30"/>
      <c r="K13" s="30"/>
      <c r="L13" s="27"/>
      <c r="M13" s="31"/>
      <c r="N13" s="27"/>
      <c r="O13" s="32"/>
      <c r="P13" s="32"/>
      <c r="Q13" s="27"/>
      <c r="R13" s="27"/>
      <c r="S13" s="33"/>
      <c r="T13" s="26"/>
      <c r="U13" s="34"/>
      <c r="V13" s="35"/>
      <c r="W13" s="26"/>
      <c r="X13" s="36"/>
      <c r="Y13" s="37"/>
      <c r="Z13" s="26"/>
      <c r="AA13" s="26"/>
      <c r="AB13" s="38"/>
      <c r="AC13" s="39"/>
      <c r="AD13" s="37"/>
      <c r="AE13" s="37"/>
      <c r="AF13" s="37"/>
      <c r="AG13" s="37"/>
    </row>
    <row r="14" spans="1:33" ht="15.75" hidden="1" customHeight="1" x14ac:dyDescent="0.2">
      <c r="A14" s="26"/>
      <c r="B14" s="26"/>
      <c r="C14" s="14"/>
      <c r="D14" s="27"/>
      <c r="E14" s="27"/>
      <c r="F14" s="30"/>
      <c r="G14" s="28"/>
      <c r="H14" s="29"/>
      <c r="I14" s="29"/>
      <c r="J14" s="30"/>
      <c r="K14" s="30"/>
      <c r="L14" s="27"/>
      <c r="M14" s="31"/>
      <c r="N14" s="27"/>
      <c r="O14" s="32"/>
      <c r="P14" s="32"/>
      <c r="Q14" s="27"/>
      <c r="R14" s="27"/>
      <c r="S14" s="33"/>
      <c r="T14" s="26"/>
      <c r="U14" s="34"/>
      <c r="V14" s="35"/>
      <c r="W14" s="26"/>
      <c r="X14" s="36"/>
      <c r="Y14" s="37"/>
      <c r="Z14" s="26"/>
      <c r="AA14" s="26"/>
      <c r="AB14" s="38"/>
      <c r="AC14" s="39"/>
      <c r="AD14" s="37"/>
      <c r="AE14" s="37"/>
      <c r="AF14" s="37"/>
      <c r="AG14" s="37"/>
    </row>
    <row r="15" spans="1:33" ht="15.75" hidden="1" customHeight="1" x14ac:dyDescent="0.2">
      <c r="A15" s="26"/>
      <c r="B15" s="26"/>
      <c r="C15" s="14"/>
      <c r="D15" s="27"/>
      <c r="E15" s="27"/>
      <c r="F15" s="30"/>
      <c r="G15" s="28"/>
      <c r="H15" s="29"/>
      <c r="I15" s="29"/>
      <c r="J15" s="30"/>
      <c r="K15" s="30"/>
      <c r="L15" s="27"/>
      <c r="M15" s="31"/>
      <c r="N15" s="27"/>
      <c r="O15" s="32"/>
      <c r="P15" s="32"/>
      <c r="Q15" s="27"/>
      <c r="R15" s="27"/>
      <c r="S15" s="33"/>
      <c r="T15" s="26"/>
      <c r="U15" s="34"/>
      <c r="V15" s="35"/>
      <c r="W15" s="26"/>
      <c r="X15" s="36"/>
      <c r="Y15" s="37"/>
      <c r="Z15" s="26"/>
      <c r="AA15" s="26"/>
      <c r="AB15" s="38"/>
      <c r="AC15" s="39"/>
      <c r="AD15" s="37"/>
      <c r="AE15" s="37"/>
      <c r="AF15" s="37"/>
      <c r="AG15" s="37"/>
    </row>
    <row r="16" spans="1:33" ht="15.75" hidden="1" customHeight="1" x14ac:dyDescent="0.2">
      <c r="A16" s="26"/>
      <c r="B16" s="26"/>
      <c r="C16" s="14"/>
      <c r="D16" s="27"/>
      <c r="E16" s="27"/>
      <c r="F16" s="30"/>
      <c r="G16" s="28"/>
      <c r="H16" s="29"/>
      <c r="I16" s="29"/>
      <c r="J16" s="30"/>
      <c r="K16" s="30"/>
      <c r="L16" s="27"/>
      <c r="M16" s="31"/>
      <c r="N16" s="27"/>
      <c r="O16" s="32"/>
      <c r="P16" s="32"/>
      <c r="Q16" s="27"/>
      <c r="R16" s="27"/>
      <c r="S16" s="33"/>
      <c r="T16" s="26"/>
      <c r="U16" s="34"/>
      <c r="V16" s="35"/>
      <c r="W16" s="26"/>
      <c r="X16" s="36"/>
      <c r="Y16" s="37"/>
      <c r="Z16" s="26"/>
      <c r="AA16" s="26"/>
      <c r="AB16" s="38"/>
      <c r="AC16" s="39"/>
      <c r="AD16" s="37"/>
      <c r="AE16" s="37"/>
      <c r="AF16" s="37"/>
      <c r="AG16" s="37"/>
    </row>
    <row r="17" spans="1:33" ht="15.75" hidden="1" customHeight="1" x14ac:dyDescent="0.2">
      <c r="A17" s="26"/>
      <c r="B17" s="26"/>
      <c r="C17" s="14"/>
      <c r="D17" s="27"/>
      <c r="E17" s="27"/>
      <c r="F17" s="30"/>
      <c r="G17" s="28"/>
      <c r="H17" s="29"/>
      <c r="I17" s="29"/>
      <c r="J17" s="30"/>
      <c r="K17" s="30"/>
      <c r="L17" s="27"/>
      <c r="M17" s="31"/>
      <c r="N17" s="27"/>
      <c r="O17" s="32"/>
      <c r="P17" s="32"/>
      <c r="Q17" s="27"/>
      <c r="R17" s="27"/>
      <c r="S17" s="33"/>
      <c r="T17" s="26"/>
      <c r="U17" s="34"/>
      <c r="V17" s="35"/>
      <c r="W17" s="26"/>
      <c r="X17" s="36"/>
      <c r="Y17" s="37"/>
      <c r="Z17" s="26"/>
      <c r="AA17" s="26"/>
      <c r="AB17" s="38"/>
      <c r="AC17" s="39"/>
      <c r="AD17" s="37"/>
      <c r="AE17" s="37"/>
      <c r="AF17" s="37"/>
      <c r="AG17" s="37"/>
    </row>
    <row r="18" spans="1:33" ht="15.75" hidden="1" customHeight="1" x14ac:dyDescent="0.2">
      <c r="A18" s="26"/>
      <c r="B18" s="26"/>
      <c r="C18" s="14"/>
      <c r="D18" s="27"/>
      <c r="E18" s="27"/>
      <c r="F18" s="30"/>
      <c r="G18" s="28"/>
      <c r="H18" s="29"/>
      <c r="I18" s="29"/>
      <c r="J18" s="30"/>
      <c r="K18" s="30"/>
      <c r="L18" s="27"/>
      <c r="M18" s="31"/>
      <c r="N18" s="27"/>
      <c r="O18" s="32"/>
      <c r="P18" s="32"/>
      <c r="Q18" s="27"/>
      <c r="R18" s="27"/>
      <c r="S18" s="33"/>
      <c r="T18" s="26"/>
      <c r="U18" s="34"/>
      <c r="V18" s="35"/>
      <c r="W18" s="26"/>
      <c r="X18" s="36"/>
      <c r="Y18" s="37"/>
      <c r="Z18" s="26"/>
      <c r="AA18" s="26"/>
      <c r="AB18" s="38"/>
      <c r="AC18" s="39"/>
      <c r="AD18" s="37"/>
      <c r="AE18" s="37"/>
      <c r="AF18" s="37"/>
      <c r="AG18" s="37"/>
    </row>
    <row r="19" spans="1:33" ht="15.75" customHeight="1" x14ac:dyDescent="0.2">
      <c r="A19" s="26" t="s">
        <v>64</v>
      </c>
      <c r="B19" s="26" t="s">
        <v>1417</v>
      </c>
      <c r="C19" s="14">
        <f t="shared" ref="C19:C32" si="1">IFERROR(F19/D19," - ")</f>
        <v>23.99</v>
      </c>
      <c r="D19" s="27">
        <v>3</v>
      </c>
      <c r="E19" s="27">
        <v>0</v>
      </c>
      <c r="F19" s="30">
        <v>71.97</v>
      </c>
      <c r="G19" s="28">
        <v>-31.480000000000004</v>
      </c>
      <c r="H19" s="29">
        <f t="shared" ref="H19:H32" si="2">G19/F19*-1</f>
        <v>0.43740447408642497</v>
      </c>
      <c r="I19" s="29">
        <f t="shared" ref="I19:I32" si="3">J19/F19</f>
        <v>-0.21387354894400462</v>
      </c>
      <c r="J19" s="30">
        <f t="shared" ref="J19:J32" si="4">F19*0.85+G19+AF19*D19+D19*AE19+AG19+AD19</f>
        <v>-15.392479317500012</v>
      </c>
      <c r="K19" s="30">
        <f t="shared" ref="K19:K32" si="5">J19/D19</f>
        <v>-5.1308264391666709</v>
      </c>
      <c r="L19" s="27">
        <v>30</v>
      </c>
      <c r="M19" s="31">
        <f t="shared" ref="M19:M32" si="6">IFERROR(D19/L19,"-")</f>
        <v>0.1</v>
      </c>
      <c r="N19" s="27">
        <v>203</v>
      </c>
      <c r="O19" s="32">
        <f t="shared" ref="O19:P19" si="7">D19/7</f>
        <v>0.42857142857142855</v>
      </c>
      <c r="P19" s="32">
        <f t="shared" si="7"/>
        <v>0</v>
      </c>
      <c r="Q19" s="27">
        <f t="shared" ref="Q19:Q32" si="8">ROUNDDOWN(N19/(O19+P19),0)</f>
        <v>473</v>
      </c>
      <c r="R19" s="27"/>
      <c r="S19" s="33">
        <v>0</v>
      </c>
      <c r="T19" s="26">
        <v>868</v>
      </c>
      <c r="U19" s="34">
        <v>210</v>
      </c>
      <c r="V19" s="35" t="s">
        <v>1418</v>
      </c>
      <c r="W19" s="26">
        <v>1</v>
      </c>
      <c r="X19" s="36">
        <f t="shared" ref="X19:X32" si="9">IFERROR(W19/D19,0)</f>
        <v>0.33333333333333331</v>
      </c>
      <c r="Y19" s="37">
        <f t="shared" ref="Y19:Y32" si="10">IFERROR(G19/(W19+Z19)*-1,0)</f>
        <v>15.740000000000002</v>
      </c>
      <c r="Z19" s="26">
        <v>1</v>
      </c>
      <c r="AA19" s="26" t="s">
        <v>37</v>
      </c>
      <c r="AB19" s="38">
        <f t="shared" ref="AB19:AB32" si="11">IF(OR(AA19="UsLargeStandardSize",AA19="UsSmallStandardSize"),-0.69,-0.48)</f>
        <v>-0.69</v>
      </c>
      <c r="AC19" s="39">
        <v>0.42136456944444445</v>
      </c>
      <c r="AD19" s="37">
        <f t="shared" ref="AD19:AD32" si="12">IFERROR(AB19*AC19*D19*2,0)</f>
        <v>-1.7444493175</v>
      </c>
      <c r="AE19" s="37">
        <v>-6.56</v>
      </c>
      <c r="AF19" s="37">
        <v>-7.8875100000000007</v>
      </c>
      <c r="AG19" s="37">
        <v>0</v>
      </c>
    </row>
    <row r="20" spans="1:33" ht="15.75" customHeight="1" x14ac:dyDescent="0.2">
      <c r="A20" s="26" t="s">
        <v>65</v>
      </c>
      <c r="B20" s="26" t="s">
        <v>1419</v>
      </c>
      <c r="C20" s="14">
        <f t="shared" si="1"/>
        <v>23.955600000000004</v>
      </c>
      <c r="D20" s="27">
        <v>25</v>
      </c>
      <c r="E20" s="27">
        <v>0</v>
      </c>
      <c r="F20" s="30">
        <v>598.8900000000001</v>
      </c>
      <c r="G20" s="28">
        <v>-66.610000000000014</v>
      </c>
      <c r="H20" s="29">
        <f t="shared" si="2"/>
        <v>0.11122242815876038</v>
      </c>
      <c r="I20" s="29">
        <f t="shared" si="3"/>
        <v>0.11140889371030857</v>
      </c>
      <c r="J20" s="30">
        <f t="shared" si="4"/>
        <v>66.721672354166714</v>
      </c>
      <c r="K20" s="30">
        <f t="shared" si="5"/>
        <v>2.6688668941666687</v>
      </c>
      <c r="L20" s="27">
        <v>164</v>
      </c>
      <c r="M20" s="31">
        <f t="shared" si="6"/>
        <v>0.1524390243902439</v>
      </c>
      <c r="N20" s="27">
        <v>176</v>
      </c>
      <c r="O20" s="32">
        <f t="shared" ref="O20:P20" si="13">D20/7</f>
        <v>3.5714285714285716</v>
      </c>
      <c r="P20" s="32">
        <f t="shared" si="13"/>
        <v>0</v>
      </c>
      <c r="Q20" s="27">
        <f t="shared" si="8"/>
        <v>49</v>
      </c>
      <c r="R20" s="27"/>
      <c r="S20" s="33">
        <v>0.238095238095238</v>
      </c>
      <c r="T20" s="26">
        <v>868</v>
      </c>
      <c r="U20" s="34">
        <v>210</v>
      </c>
      <c r="V20" s="35" t="s">
        <v>1418</v>
      </c>
      <c r="W20" s="26">
        <v>3</v>
      </c>
      <c r="X20" s="36">
        <f t="shared" si="9"/>
        <v>0.12</v>
      </c>
      <c r="Y20" s="37">
        <f t="shared" si="10"/>
        <v>16.652500000000003</v>
      </c>
      <c r="Z20" s="26">
        <v>1</v>
      </c>
      <c r="AA20" s="26" t="s">
        <v>37</v>
      </c>
      <c r="AB20" s="38">
        <f t="shared" si="11"/>
        <v>-0.69</v>
      </c>
      <c r="AC20" s="39">
        <v>0.42136456944444445</v>
      </c>
      <c r="AD20" s="37">
        <f t="shared" si="12"/>
        <v>-14.537077645833332</v>
      </c>
      <c r="AE20" s="37">
        <v>-6.56</v>
      </c>
      <c r="AF20" s="37">
        <v>-7.8875100000000007</v>
      </c>
      <c r="AG20" s="37">
        <v>0</v>
      </c>
    </row>
    <row r="21" spans="1:33" ht="15.75" customHeight="1" x14ac:dyDescent="0.2">
      <c r="A21" s="26" t="s">
        <v>66</v>
      </c>
      <c r="B21" s="26" t="s">
        <v>1149</v>
      </c>
      <c r="C21" s="14">
        <f t="shared" si="1"/>
        <v>23.326470588235299</v>
      </c>
      <c r="D21" s="27">
        <v>34</v>
      </c>
      <c r="E21" s="27">
        <v>0</v>
      </c>
      <c r="F21" s="30">
        <v>793.10000000000014</v>
      </c>
      <c r="G21" s="28">
        <v>-9.89</v>
      </c>
      <c r="H21" s="29">
        <f t="shared" si="2"/>
        <v>1.2470054217627032E-2</v>
      </c>
      <c r="I21" s="29">
        <f t="shared" si="3"/>
        <v>0.19324074442272948</v>
      </c>
      <c r="J21" s="30">
        <f t="shared" si="4"/>
        <v>153.25923440166679</v>
      </c>
      <c r="K21" s="30">
        <f t="shared" si="5"/>
        <v>4.5076245412254936</v>
      </c>
      <c r="L21" s="27">
        <v>94</v>
      </c>
      <c r="M21" s="31">
        <f t="shared" si="6"/>
        <v>0.36170212765957449</v>
      </c>
      <c r="N21" s="27">
        <v>135</v>
      </c>
      <c r="O21" s="32">
        <f t="shared" ref="O21:P21" si="14">D21/7</f>
        <v>4.8571428571428568</v>
      </c>
      <c r="P21" s="32">
        <f t="shared" si="14"/>
        <v>0</v>
      </c>
      <c r="Q21" s="27">
        <f t="shared" si="8"/>
        <v>27</v>
      </c>
      <c r="R21" s="27"/>
      <c r="S21" s="33">
        <v>1.5766423357664201</v>
      </c>
      <c r="T21" s="26" t="s">
        <v>34</v>
      </c>
      <c r="U21" s="34" t="s">
        <v>34</v>
      </c>
      <c r="V21" s="35" t="s">
        <v>34</v>
      </c>
      <c r="W21" s="26">
        <v>6</v>
      </c>
      <c r="X21" s="36">
        <f t="shared" si="9"/>
        <v>0.17647058823529413</v>
      </c>
      <c r="Y21" s="37">
        <f t="shared" si="10"/>
        <v>1.6483333333333334</v>
      </c>
      <c r="Z21" s="26">
        <v>0</v>
      </c>
      <c r="AA21" s="26" t="s">
        <v>37</v>
      </c>
      <c r="AB21" s="38">
        <f t="shared" si="11"/>
        <v>-0.69</v>
      </c>
      <c r="AC21" s="39">
        <v>0.42136456944444445</v>
      </c>
      <c r="AD21" s="37">
        <f t="shared" si="12"/>
        <v>-19.770425598333333</v>
      </c>
      <c r="AE21" s="37">
        <v>-6.56</v>
      </c>
      <c r="AF21" s="37">
        <v>-7.8875100000000007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1"/>
        <v>26.792727272727276</v>
      </c>
      <c r="D22" s="27">
        <v>22</v>
      </c>
      <c r="E22" s="27">
        <v>0</v>
      </c>
      <c r="F22" s="28">
        <v>589.44000000000005</v>
      </c>
      <c r="G22" s="28">
        <v>0</v>
      </c>
      <c r="H22" s="29">
        <f t="shared" si="2"/>
        <v>0</v>
      </c>
      <c r="I22" s="29">
        <f t="shared" si="3"/>
        <v>0.28906445384036827</v>
      </c>
      <c r="J22" s="30">
        <f t="shared" si="4"/>
        <v>170.38615167166668</v>
      </c>
      <c r="K22" s="30">
        <f t="shared" si="5"/>
        <v>7.7448250759848491</v>
      </c>
      <c r="L22" s="27">
        <v>122</v>
      </c>
      <c r="M22" s="31">
        <f t="shared" si="6"/>
        <v>0.18032786885245902</v>
      </c>
      <c r="N22" s="27">
        <v>117</v>
      </c>
      <c r="O22" s="32">
        <f t="shared" ref="O22:P22" si="15">D22/7</f>
        <v>3.1428571428571428</v>
      </c>
      <c r="P22" s="32">
        <f t="shared" si="15"/>
        <v>0</v>
      </c>
      <c r="Q22" s="27">
        <f t="shared" si="8"/>
        <v>37</v>
      </c>
      <c r="R22" s="27"/>
      <c r="S22" s="33">
        <v>2.7333333333333298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0.42136456944444445</v>
      </c>
      <c r="AD22" s="37">
        <f t="shared" si="12"/>
        <v>-12.792628328333333</v>
      </c>
      <c r="AE22" s="37">
        <v>-6.56</v>
      </c>
      <c r="AF22" s="37">
        <v>-7.8875100000000007</v>
      </c>
      <c r="AG22" s="37">
        <v>0</v>
      </c>
    </row>
    <row r="23" spans="1:33" ht="15.75" customHeight="1" x14ac:dyDescent="0.2">
      <c r="A23" s="26" t="s">
        <v>68</v>
      </c>
      <c r="B23" s="26" t="s">
        <v>53</v>
      </c>
      <c r="C23" s="14">
        <f t="shared" si="1"/>
        <v>27.869354838709679</v>
      </c>
      <c r="D23" s="27">
        <v>31</v>
      </c>
      <c r="E23" s="27">
        <v>0</v>
      </c>
      <c r="F23" s="30">
        <v>863.95</v>
      </c>
      <c r="G23" s="28">
        <v>0</v>
      </c>
      <c r="H23" s="29">
        <f t="shared" si="2"/>
        <v>0</v>
      </c>
      <c r="I23" s="29">
        <f t="shared" si="3"/>
        <v>0.31073408613827957</v>
      </c>
      <c r="J23" s="30">
        <f t="shared" si="4"/>
        <v>268.45871371916667</v>
      </c>
      <c r="K23" s="30">
        <f t="shared" si="5"/>
        <v>8.6599585070698932</v>
      </c>
      <c r="L23" s="27">
        <v>121</v>
      </c>
      <c r="M23" s="31">
        <f t="shared" si="6"/>
        <v>0.256198347107438</v>
      </c>
      <c r="N23" s="27">
        <v>93</v>
      </c>
      <c r="O23" s="32">
        <f t="shared" ref="O23:P23" si="16">D23/7</f>
        <v>4.4285714285714288</v>
      </c>
      <c r="P23" s="32">
        <f t="shared" si="16"/>
        <v>0</v>
      </c>
      <c r="Q23" s="27">
        <f t="shared" si="8"/>
        <v>21</v>
      </c>
      <c r="R23" s="27"/>
      <c r="S23" s="33">
        <v>3.7692307692307598</v>
      </c>
      <c r="T23" s="26">
        <v>330</v>
      </c>
      <c r="U23" s="34">
        <v>210</v>
      </c>
      <c r="V23" s="35" t="s">
        <v>1420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0.42136456944444445</v>
      </c>
      <c r="AD23" s="37">
        <f t="shared" si="12"/>
        <v>-18.025976280833333</v>
      </c>
      <c r="AE23" s="37">
        <v>-6.56</v>
      </c>
      <c r="AF23" s="37">
        <v>-7.8875100000000007</v>
      </c>
      <c r="AG23" s="37">
        <v>0</v>
      </c>
    </row>
    <row r="24" spans="1:33" ht="15.75" customHeight="1" x14ac:dyDescent="0.2">
      <c r="A24" s="26" t="s">
        <v>71</v>
      </c>
      <c r="B24" s="26" t="s">
        <v>1421</v>
      </c>
      <c r="C24" s="14">
        <f t="shared" si="1"/>
        <v>27.635999999999996</v>
      </c>
      <c r="D24" s="27">
        <v>40</v>
      </c>
      <c r="E24" s="27">
        <v>0</v>
      </c>
      <c r="F24" s="30">
        <v>1105.4399999999998</v>
      </c>
      <c r="G24" s="30">
        <v>0</v>
      </c>
      <c r="H24" s="29">
        <f t="shared" si="2"/>
        <v>0</v>
      </c>
      <c r="I24" s="29">
        <f t="shared" si="3"/>
        <v>0.30676370997571595</v>
      </c>
      <c r="J24" s="30">
        <f t="shared" si="4"/>
        <v>339.10887555555536</v>
      </c>
      <c r="K24" s="30">
        <f t="shared" si="5"/>
        <v>8.4777218888888832</v>
      </c>
      <c r="L24" s="27">
        <v>219</v>
      </c>
      <c r="M24" s="31">
        <f t="shared" si="6"/>
        <v>0.18264840182648401</v>
      </c>
      <c r="N24" s="27">
        <v>52</v>
      </c>
      <c r="O24" s="32">
        <f t="shared" ref="O24:P24" si="17">D24/7</f>
        <v>5.7142857142857144</v>
      </c>
      <c r="P24" s="32">
        <f t="shared" si="17"/>
        <v>0</v>
      </c>
      <c r="Q24" s="27">
        <f t="shared" si="8"/>
        <v>9</v>
      </c>
      <c r="R24" s="27"/>
      <c r="S24" s="33">
        <v>2.2068965517241299</v>
      </c>
      <c r="T24" s="26">
        <v>1014</v>
      </c>
      <c r="U24" s="34">
        <v>210</v>
      </c>
      <c r="V24" s="35" t="s">
        <v>1420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0.40968703703703707</v>
      </c>
      <c r="AD24" s="37">
        <f t="shared" si="12"/>
        <v>-22.614724444444441</v>
      </c>
      <c r="AE24" s="37">
        <v>-6.56</v>
      </c>
      <c r="AF24" s="37">
        <v>-7.8875100000000007</v>
      </c>
      <c r="AG24" s="37">
        <v>0</v>
      </c>
    </row>
    <row r="25" spans="1:33" ht="15.75" customHeight="1" x14ac:dyDescent="0.2">
      <c r="A25" s="40" t="s">
        <v>73</v>
      </c>
      <c r="B25" s="40" t="s">
        <v>1170</v>
      </c>
      <c r="C25" s="14">
        <f t="shared" si="1"/>
        <v>30.950000000000003</v>
      </c>
      <c r="D25" s="15">
        <v>36</v>
      </c>
      <c r="E25" s="15">
        <v>0</v>
      </c>
      <c r="F25" s="16">
        <v>1114.2</v>
      </c>
      <c r="G25" s="16">
        <v>0</v>
      </c>
      <c r="H25" s="29">
        <f t="shared" si="2"/>
        <v>0</v>
      </c>
      <c r="I25" s="29">
        <f t="shared" si="3"/>
        <v>0.36485078800933413</v>
      </c>
      <c r="J25" s="30">
        <f t="shared" si="4"/>
        <v>406.51674800000012</v>
      </c>
      <c r="K25" s="30">
        <f t="shared" si="5"/>
        <v>11.292131888888893</v>
      </c>
      <c r="L25" s="15">
        <v>199</v>
      </c>
      <c r="M25" s="31">
        <f t="shared" si="6"/>
        <v>0.18090452261306533</v>
      </c>
      <c r="N25" s="15">
        <v>9</v>
      </c>
      <c r="O25" s="32">
        <f t="shared" ref="O25:P25" si="18">D25/7</f>
        <v>5.1428571428571432</v>
      </c>
      <c r="P25" s="32">
        <f t="shared" si="18"/>
        <v>0</v>
      </c>
      <c r="Q25" s="27">
        <f t="shared" si="8"/>
        <v>1</v>
      </c>
      <c r="R25" s="27"/>
      <c r="S25" s="41">
        <v>4.7225806451612904</v>
      </c>
      <c r="T25" s="26">
        <v>804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0.40968703703703707</v>
      </c>
      <c r="AD25" s="37">
        <f t="shared" si="12"/>
        <v>-20.353251999999998</v>
      </c>
      <c r="AE25" s="42">
        <v>-6.56</v>
      </c>
      <c r="AF25" s="42">
        <v>-7.89</v>
      </c>
      <c r="AG25" s="42">
        <v>0</v>
      </c>
    </row>
    <row r="26" spans="1:33" ht="15.75" customHeight="1" x14ac:dyDescent="0.2">
      <c r="A26" s="40" t="s">
        <v>75</v>
      </c>
      <c r="B26" s="40" t="s">
        <v>1355</v>
      </c>
      <c r="C26" s="14">
        <f t="shared" si="1"/>
        <v>31.541764705882354</v>
      </c>
      <c r="D26" s="15">
        <v>17</v>
      </c>
      <c r="E26" s="15">
        <v>0</v>
      </c>
      <c r="F26" s="16">
        <v>536.21</v>
      </c>
      <c r="G26" s="16">
        <v>0</v>
      </c>
      <c r="H26" s="29">
        <f t="shared" si="2"/>
        <v>0</v>
      </c>
      <c r="I26" s="29">
        <f t="shared" si="3"/>
        <v>0.37403176388189535</v>
      </c>
      <c r="J26" s="30">
        <f t="shared" si="4"/>
        <v>200.55957211111112</v>
      </c>
      <c r="K26" s="30">
        <f t="shared" si="5"/>
        <v>11.797621888888889</v>
      </c>
      <c r="L26" s="15">
        <v>147</v>
      </c>
      <c r="M26" s="31">
        <f t="shared" si="6"/>
        <v>0.11564625850340136</v>
      </c>
      <c r="N26" s="15">
        <v>1</v>
      </c>
      <c r="O26" s="32">
        <f t="shared" ref="O26:P26" si="19">D26/7</f>
        <v>2.4285714285714284</v>
      </c>
      <c r="P26" s="32">
        <f t="shared" si="19"/>
        <v>0</v>
      </c>
      <c r="Q26" s="27">
        <f t="shared" si="8"/>
        <v>0</v>
      </c>
      <c r="R26" s="27"/>
      <c r="S26" s="41">
        <v>6.5365853658536581</v>
      </c>
      <c r="T26" s="26">
        <v>804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0.40968703703703707</v>
      </c>
      <c r="AD26" s="37">
        <f t="shared" si="12"/>
        <v>-9.611257888888888</v>
      </c>
      <c r="AE26" s="42">
        <v>-6.56</v>
      </c>
      <c r="AF26" s="42">
        <v>-7.8875099999999998</v>
      </c>
      <c r="AG26" s="42">
        <v>0</v>
      </c>
    </row>
    <row r="27" spans="1:33" ht="15.75" customHeight="1" x14ac:dyDescent="0.2">
      <c r="A27" s="40" t="s">
        <v>77</v>
      </c>
      <c r="B27" s="40" t="s">
        <v>1422</v>
      </c>
      <c r="C27" s="14">
        <f t="shared" si="1"/>
        <v>29.466363636363635</v>
      </c>
      <c r="D27" s="15">
        <v>11</v>
      </c>
      <c r="E27" s="15">
        <v>0</v>
      </c>
      <c r="F27" s="16">
        <v>324.13</v>
      </c>
      <c r="G27" s="16">
        <v>0</v>
      </c>
      <c r="H27" s="29">
        <f t="shared" si="2"/>
        <v>0</v>
      </c>
      <c r="I27" s="29">
        <f t="shared" si="3"/>
        <v>0.33982920673118122</v>
      </c>
      <c r="J27" s="30">
        <f t="shared" si="4"/>
        <v>110.14884077777776</v>
      </c>
      <c r="K27" s="30">
        <f t="shared" si="5"/>
        <v>10.013530979797979</v>
      </c>
      <c r="L27" s="15">
        <v>108</v>
      </c>
      <c r="M27" s="31">
        <f t="shared" si="6"/>
        <v>0.10185185185185185</v>
      </c>
      <c r="N27" s="15">
        <v>205</v>
      </c>
      <c r="O27" s="32">
        <f t="shared" ref="O27:P27" si="20">D27/7</f>
        <v>1.5714285714285714</v>
      </c>
      <c r="P27" s="32">
        <f t="shared" si="20"/>
        <v>0</v>
      </c>
      <c r="Q27" s="27">
        <f t="shared" si="8"/>
        <v>130</v>
      </c>
      <c r="R27" s="27"/>
      <c r="S27" s="41">
        <v>2.666666666666667</v>
      </c>
      <c r="T27" s="26">
        <v>804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0.40968703703703707</v>
      </c>
      <c r="AD27" s="37">
        <f t="shared" si="12"/>
        <v>-6.219049222222222</v>
      </c>
      <c r="AE27" s="42">
        <v>-6.58</v>
      </c>
      <c r="AF27" s="42">
        <v>-7.8875099999999998</v>
      </c>
      <c r="AG27" s="42">
        <v>0</v>
      </c>
    </row>
    <row r="28" spans="1:33" ht="15.75" customHeight="1" x14ac:dyDescent="0.2">
      <c r="A28" s="40" t="s">
        <v>79</v>
      </c>
      <c r="B28" s="40" t="s">
        <v>1423</v>
      </c>
      <c r="C28" s="14">
        <f t="shared" si="1"/>
        <v>27.75</v>
      </c>
      <c r="D28" s="15">
        <v>15</v>
      </c>
      <c r="E28" s="15">
        <v>0</v>
      </c>
      <c r="F28" s="16">
        <v>416.25</v>
      </c>
      <c r="G28" s="16">
        <v>0</v>
      </c>
      <c r="H28" s="29">
        <f t="shared" si="2"/>
        <v>0</v>
      </c>
      <c r="I28" s="29">
        <f t="shared" si="3"/>
        <v>0.30827466266266262</v>
      </c>
      <c r="J28" s="30">
        <f t="shared" si="4"/>
        <v>128.31932833333332</v>
      </c>
      <c r="K28" s="30">
        <f t="shared" si="5"/>
        <v>8.554621888888887</v>
      </c>
      <c r="L28" s="15">
        <v>152</v>
      </c>
      <c r="M28" s="31">
        <f t="shared" si="6"/>
        <v>9.8684210526315791E-2</v>
      </c>
      <c r="N28" s="15">
        <v>190</v>
      </c>
      <c r="O28" s="32">
        <f t="shared" ref="O28:P28" si="21">D28/7</f>
        <v>2.1428571428571428</v>
      </c>
      <c r="P28" s="32">
        <f t="shared" si="21"/>
        <v>0</v>
      </c>
      <c r="Q28" s="27">
        <f t="shared" si="8"/>
        <v>88</v>
      </c>
      <c r="R28" s="27"/>
      <c r="S28" s="41">
        <v>1.910828025477707</v>
      </c>
      <c r="T28" s="40">
        <v>504</v>
      </c>
      <c r="U28" s="22">
        <v>180</v>
      </c>
      <c r="V28" s="1" t="s">
        <v>1424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0.40968703703703707</v>
      </c>
      <c r="AD28" s="37">
        <f t="shared" si="12"/>
        <v>-8.4805216666666663</v>
      </c>
      <c r="AE28" s="42">
        <v>-6.58</v>
      </c>
      <c r="AF28" s="42">
        <v>-7.8875099999999998</v>
      </c>
      <c r="AG28" s="42">
        <v>0</v>
      </c>
    </row>
    <row r="29" spans="1:33" ht="15.75" customHeight="1" x14ac:dyDescent="0.2">
      <c r="A29" s="26" t="s">
        <v>82</v>
      </c>
      <c r="B29" s="26" t="s">
        <v>199</v>
      </c>
      <c r="C29" s="14">
        <f t="shared" si="1"/>
        <v>26.49529411764706</v>
      </c>
      <c r="D29" s="27">
        <v>17</v>
      </c>
      <c r="E29" s="27">
        <v>0</v>
      </c>
      <c r="F29" s="30">
        <v>450.42</v>
      </c>
      <c r="G29" s="30">
        <v>0</v>
      </c>
      <c r="H29" s="29">
        <f t="shared" si="2"/>
        <v>0</v>
      </c>
      <c r="I29" s="29">
        <f t="shared" si="3"/>
        <v>0.28262082525445387</v>
      </c>
      <c r="J29" s="30">
        <f t="shared" si="4"/>
        <v>127.29807211111113</v>
      </c>
      <c r="K29" s="30">
        <f t="shared" si="5"/>
        <v>7.4881218888888901</v>
      </c>
      <c r="L29" s="27">
        <v>162</v>
      </c>
      <c r="M29" s="31">
        <f t="shared" si="6"/>
        <v>0.10493827160493827</v>
      </c>
      <c r="N29" s="15">
        <v>157</v>
      </c>
      <c r="O29" s="32">
        <f t="shared" ref="O29:P29" si="22">D29/7</f>
        <v>2.4285714285714284</v>
      </c>
      <c r="P29" s="32">
        <f t="shared" si="22"/>
        <v>0</v>
      </c>
      <c r="Q29" s="27">
        <f t="shared" si="8"/>
        <v>64</v>
      </c>
      <c r="R29" s="27"/>
      <c r="S29" s="41">
        <v>2.710743801652892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0.40968703703703707</v>
      </c>
      <c r="AD29" s="37">
        <f t="shared" si="12"/>
        <v>-9.611257888888888</v>
      </c>
      <c r="AE29" s="37">
        <v>-6.58</v>
      </c>
      <c r="AF29" s="42">
        <v>-7.8875099999999998</v>
      </c>
      <c r="AG29" s="37">
        <v>0</v>
      </c>
    </row>
    <row r="30" spans="1:33" ht="15.75" customHeight="1" x14ac:dyDescent="0.2">
      <c r="A30" s="40" t="s">
        <v>84</v>
      </c>
      <c r="B30" s="26" t="s">
        <v>211</v>
      </c>
      <c r="C30" s="14">
        <f t="shared" si="1"/>
        <v>26.103130434782578</v>
      </c>
      <c r="D30" s="15">
        <v>115</v>
      </c>
      <c r="E30" s="15">
        <v>0</v>
      </c>
      <c r="F30" s="16">
        <v>3001.8599999999965</v>
      </c>
      <c r="G30" s="16">
        <v>0</v>
      </c>
      <c r="H30" s="29">
        <f t="shared" si="2"/>
        <v>0</v>
      </c>
      <c r="I30" s="29">
        <f t="shared" si="3"/>
        <v>0.27409673243329807</v>
      </c>
      <c r="J30" s="30">
        <f t="shared" si="4"/>
        <v>822.80001722221914</v>
      </c>
      <c r="K30" s="30">
        <f t="shared" si="5"/>
        <v>7.1547827584540791</v>
      </c>
      <c r="L30" s="15">
        <v>299</v>
      </c>
      <c r="M30" s="31">
        <f t="shared" si="6"/>
        <v>0.38461538461538464</v>
      </c>
      <c r="N30" s="15">
        <v>63</v>
      </c>
      <c r="O30" s="32">
        <f t="shared" ref="O30:P30" si="23">D30/7</f>
        <v>16.428571428571427</v>
      </c>
      <c r="P30" s="32">
        <f t="shared" si="23"/>
        <v>0</v>
      </c>
      <c r="Q30" s="27">
        <f t="shared" si="8"/>
        <v>3</v>
      </c>
      <c r="R30" s="27"/>
      <c r="S30" s="41">
        <v>4.3516483516483513</v>
      </c>
      <c r="T30" s="26">
        <v>984</v>
      </c>
      <c r="U30" s="34" t="s">
        <v>34</v>
      </c>
      <c r="V30" s="35" t="s">
        <v>1425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0.40968703703703707</v>
      </c>
      <c r="AD30" s="37">
        <f t="shared" si="12"/>
        <v>-65.017332777777767</v>
      </c>
      <c r="AE30" s="42">
        <v>-6.58</v>
      </c>
      <c r="AF30" s="42">
        <v>-7.8875099999999998</v>
      </c>
      <c r="AG30" s="42">
        <v>0</v>
      </c>
    </row>
    <row r="31" spans="1:33" ht="15.75" customHeight="1" x14ac:dyDescent="0.2">
      <c r="A31" s="40" t="s">
        <v>87</v>
      </c>
      <c r="B31" s="40" t="s">
        <v>1426</v>
      </c>
      <c r="C31" s="14">
        <f t="shared" si="1"/>
        <v>30.210731707317077</v>
      </c>
      <c r="D31" s="15">
        <v>41</v>
      </c>
      <c r="E31" s="15">
        <v>0</v>
      </c>
      <c r="F31" s="16">
        <v>1238.6400000000001</v>
      </c>
      <c r="G31" s="43">
        <v>0</v>
      </c>
      <c r="H31" s="29">
        <f t="shared" si="2"/>
        <v>0</v>
      </c>
      <c r="I31" s="29">
        <f t="shared" si="3"/>
        <v>0.35239940373671474</v>
      </c>
      <c r="J31" s="30">
        <f t="shared" si="4"/>
        <v>436.49599744444441</v>
      </c>
      <c r="K31" s="30">
        <f t="shared" si="5"/>
        <v>10.646243840108401</v>
      </c>
      <c r="L31" s="15">
        <v>213</v>
      </c>
      <c r="M31" s="31">
        <f t="shared" si="6"/>
        <v>0.19248826291079812</v>
      </c>
      <c r="N31" s="15">
        <v>14</v>
      </c>
      <c r="O31" s="32">
        <f t="shared" ref="O31:P31" si="24">D31/7</f>
        <v>5.8571428571428568</v>
      </c>
      <c r="P31" s="32">
        <f t="shared" si="24"/>
        <v>0</v>
      </c>
      <c r="Q31" s="27">
        <f t="shared" si="8"/>
        <v>2</v>
      </c>
      <c r="R31" s="27"/>
      <c r="S31" s="41">
        <v>4.0106100795755903</v>
      </c>
      <c r="T31" s="40">
        <v>564</v>
      </c>
      <c r="U31" s="22">
        <v>420</v>
      </c>
      <c r="V31" s="1" t="s">
        <v>1427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0.40968703703703707</v>
      </c>
      <c r="AD31" s="37">
        <f t="shared" si="12"/>
        <v>-23.180092555555554</v>
      </c>
      <c r="AE31" s="45">
        <v>-6.58</v>
      </c>
      <c r="AF31" s="45">
        <v>-7.8875100000000007</v>
      </c>
      <c r="AG31" s="42">
        <v>0</v>
      </c>
    </row>
    <row r="32" spans="1:33" ht="15.75" customHeight="1" x14ac:dyDescent="0.2">
      <c r="A32" s="40" t="s">
        <v>90</v>
      </c>
      <c r="B32" s="50" t="s">
        <v>1164</v>
      </c>
      <c r="C32" s="14">
        <f t="shared" si="1"/>
        <v>31.865499999999997</v>
      </c>
      <c r="D32" s="15">
        <v>20</v>
      </c>
      <c r="E32" s="15">
        <v>0</v>
      </c>
      <c r="F32" s="16">
        <v>637.30999999999995</v>
      </c>
      <c r="G32" s="16">
        <v>0</v>
      </c>
      <c r="H32" s="29">
        <f t="shared" si="2"/>
        <v>0</v>
      </c>
      <c r="I32" s="29">
        <f t="shared" si="3"/>
        <v>0.37823969148103398</v>
      </c>
      <c r="J32" s="30">
        <f t="shared" si="4"/>
        <v>241.05593777777773</v>
      </c>
      <c r="K32" s="30">
        <f t="shared" si="5"/>
        <v>12.052796888888887</v>
      </c>
      <c r="L32" s="15">
        <v>156</v>
      </c>
      <c r="M32" s="31">
        <f t="shared" si="6"/>
        <v>0.12820512820512819</v>
      </c>
      <c r="N32" s="15">
        <v>4</v>
      </c>
      <c r="O32" s="32">
        <f t="shared" ref="O32:P32" si="25">D32/7</f>
        <v>2.8571428571428572</v>
      </c>
      <c r="P32" s="32">
        <f t="shared" si="25"/>
        <v>0</v>
      </c>
      <c r="Q32" s="27">
        <f t="shared" si="8"/>
        <v>1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3.330677290836654</v>
      </c>
      <c r="T32" s="40">
        <f ca="1">IFERROR(__xludf.DUMMYFUNCTION("IFERROR(VLOOKUP($B$2,IMPORTRANGE(""https://docs.google.com/spreadsheets/d/1KiWZV1ko8G7lnRucBRBd29jj3Be6ltMfljMDqzOkQmI/edit#gid=1381463014"",""Lookup!A:D""),4,FALSE),"""")"),564)</f>
        <v>564</v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S210703  - 240 units 09/17| AGL253  - 180 units 11/01")</f>
        <v>| S210703  - 240 units 09/17| AGL253  - 180 units 11/01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0.40968703703703707</v>
      </c>
      <c r="AD32" s="37">
        <f t="shared" si="12"/>
        <v>-11.307362222222221</v>
      </c>
      <c r="AE32" s="42">
        <v>-6.58</v>
      </c>
      <c r="AF32" s="42">
        <v>-7.8875099999999998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A200" s="40"/>
      <c r="B200" s="40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</row>
    <row r="201" spans="1:33" ht="15.75" customHeight="1" x14ac:dyDescent="0.2">
      <c r="A201" s="40"/>
      <c r="B201" s="40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</row>
    <row r="202" spans="1:33" ht="15.75" customHeight="1" x14ac:dyDescent="0.2">
      <c r="A202" s="40"/>
      <c r="B202" s="40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</row>
    <row r="203" spans="1:33" ht="15.75" customHeight="1" x14ac:dyDescent="0.2">
      <c r="A203" s="40"/>
      <c r="B203" s="40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</row>
    <row r="204" spans="1:33" ht="15.75" customHeight="1" x14ac:dyDescent="0.2">
      <c r="A204" s="40"/>
      <c r="B204" s="40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</row>
    <row r="205" spans="1:33" ht="15.75" customHeight="1" x14ac:dyDescent="0.2">
      <c r="A205" s="40"/>
      <c r="B205" s="40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</row>
    <row r="206" spans="1:33" ht="15.75" customHeight="1" x14ac:dyDescent="0.2">
      <c r="A206" s="40"/>
      <c r="B206" s="40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</row>
    <row r="207" spans="1:33" ht="15.75" customHeight="1" x14ac:dyDescent="0.2">
      <c r="A207" s="40"/>
      <c r="B207" s="40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</row>
    <row r="208" spans="1:33" ht="15.75" customHeight="1" x14ac:dyDescent="0.2">
      <c r="A208" s="40"/>
      <c r="B208" s="40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</row>
    <row r="209" spans="1:33" ht="15.75" customHeight="1" x14ac:dyDescent="0.2">
      <c r="A209" s="40"/>
      <c r="B209" s="40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</row>
    <row r="210" spans="1:33" ht="15.75" customHeight="1" x14ac:dyDescent="0.2">
      <c r="A210" s="40"/>
      <c r="B210" s="40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</row>
    <row r="211" spans="1:33" ht="15.75" customHeight="1" x14ac:dyDescent="0.2">
      <c r="A211" s="40"/>
      <c r="B211" s="40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</row>
    <row r="212" spans="1:33" ht="15.75" customHeight="1" x14ac:dyDescent="0.2">
      <c r="A212" s="40"/>
      <c r="B212" s="40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</row>
    <row r="213" spans="1:33" ht="15.75" customHeight="1" x14ac:dyDescent="0.2">
      <c r="A213" s="40"/>
      <c r="B213" s="40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</row>
    <row r="214" spans="1:33" ht="15.75" customHeight="1" x14ac:dyDescent="0.2">
      <c r="A214" s="40"/>
      <c r="B214" s="40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</row>
    <row r="215" spans="1:33" ht="15.75" customHeight="1" x14ac:dyDescent="0.2">
      <c r="A215" s="40"/>
      <c r="B215" s="40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</row>
    <row r="216" spans="1:33" ht="15.75" customHeight="1" x14ac:dyDescent="0.2">
      <c r="A216" s="40"/>
      <c r="B216" s="40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</row>
    <row r="217" spans="1:33" ht="15.75" customHeight="1" x14ac:dyDescent="0.2">
      <c r="A217" s="40"/>
      <c r="B217" s="40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</row>
    <row r="218" spans="1:33" ht="15.75" customHeight="1" x14ac:dyDescent="0.2">
      <c r="A218" s="40"/>
      <c r="B218" s="40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</row>
    <row r="219" spans="1:33" ht="15.75" customHeight="1" x14ac:dyDescent="0.2">
      <c r="A219" s="40"/>
      <c r="B219" s="40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</row>
    <row r="220" spans="1:33" ht="15.75" customHeight="1" x14ac:dyDescent="0.2">
      <c r="A220" s="40"/>
      <c r="B220" s="40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</row>
    <row r="221" spans="1:33" ht="15.75" customHeight="1" x14ac:dyDescent="0.2">
      <c r="R221" s="40"/>
      <c r="S221" s="41"/>
    </row>
    <row r="222" spans="1:33" ht="15.75" customHeight="1" x14ac:dyDescent="0.2">
      <c r="R222" s="40"/>
      <c r="S222" s="41"/>
    </row>
    <row r="223" spans="1:33" ht="15.75" customHeight="1" x14ac:dyDescent="0.2">
      <c r="R223" s="40"/>
      <c r="S223" s="41"/>
    </row>
    <row r="224" spans="1:33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3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68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Info!B1:BJ5000""),3,FALSE),"""")"),"Outdoor Glass Beverage Dispenser with Stainless Steel Spigot - 2 Gallon Drink Dispenser for Lemonade, Tea, Cold Water &amp; More")</f>
        <v>Outdoor Glass Beverage Dispenser with Stainless Steel Spigot - 2 Gallon Drink Dispenser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Info!B1:BJ5000""),2,FALSE),"""")"),"B07PMFGNC2")</f>
        <v>B07PMFGNC2</v>
      </c>
      <c r="B2" s="3" t="s">
        <v>1428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4.5" customHeight="1" x14ac:dyDescent="0.2">
      <c r="A3" s="68" t="s">
        <v>31</v>
      </c>
      <c r="B3" s="69"/>
      <c r="C3" s="48">
        <f>((AE32+AF32)/0.85)*-1</f>
        <v>24.605785720588116</v>
      </c>
      <c r="D3" s="5">
        <f>SUM(D4:D99767)</f>
        <v>745</v>
      </c>
      <c r="E3" s="5"/>
      <c r="F3" s="6">
        <f t="shared" ref="F3:G3" si="0">SUM(F4:F99767)</f>
        <v>30697.79</v>
      </c>
      <c r="G3" s="6">
        <f t="shared" si="0"/>
        <v>-22.570000000000007</v>
      </c>
      <c r="H3" s="7">
        <f t="shared" ref="H3:H32" si="1">G3/F3*-1</f>
        <v>7.3523208022466789E-4</v>
      </c>
      <c r="I3" s="8">
        <f t="shared" ref="I3:I32" si="2">J3/F3</f>
        <v>0.32555367861201306</v>
      </c>
      <c r="J3" s="6">
        <f>SUM(J4:J99767)</f>
        <v>9993.7784597590689</v>
      </c>
      <c r="K3" s="6">
        <f t="shared" ref="K3:K32" si="3">J3/D3</f>
        <v>13.414467731220228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Sheet!a1:g5000""),2,FALSE),"""")"),"7 - March
7 - April
7 - May
8 - June
9 - July
10 - Aug
10 - Sept
10 - Oct
10 - Nov
10 - Dec
7 - Jan
7 - Feb")</f>
        <v>7 - March
7 - April
7 - May
8 - June
9 - July
10 - Aug
10 - Sept
10 - Oct
10 - Nov
10 - Dec
7 - Jan
7 -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QTY-36")</f>
        <v>Del QTY-36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</v>
      </c>
      <c r="X3" s="7">
        <f>W3/D3</f>
        <v>1.0738255033557046E-2</v>
      </c>
      <c r="Y3" s="6"/>
      <c r="Z3" s="5"/>
      <c r="AA3" s="5"/>
      <c r="AB3" s="5"/>
      <c r="AC3" s="5"/>
      <c r="AD3" s="6">
        <f>SUM(AD4:AD99767)</f>
        <v>-648.85643445345659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Info!B2:BZ3000""),37,FALSE)),"""")*-1"),-13.7349178624999)</f>
        <v>-13.7349178624999</v>
      </c>
      <c r="AG3" s="6">
        <f>SUM(AG4:AG99767)</f>
        <v>0</v>
      </c>
    </row>
    <row r="4" spans="1:33" x14ac:dyDescent="0.2">
      <c r="A4" s="1" t="s">
        <v>32</v>
      </c>
      <c r="B4" s="2" t="s">
        <v>1429</v>
      </c>
      <c r="C4" s="14">
        <f t="shared" ref="C4:C32" si="4">IFERROR(F4/D4," - ")</f>
        <v>42.99</v>
      </c>
      <c r="D4" s="15">
        <v>3</v>
      </c>
      <c r="E4" s="15">
        <v>0</v>
      </c>
      <c r="F4" s="16">
        <v>128.97</v>
      </c>
      <c r="G4" s="16">
        <v>-0.11</v>
      </c>
      <c r="H4" s="17">
        <f t="shared" si="1"/>
        <v>8.529115298131348E-4</v>
      </c>
      <c r="I4" s="17">
        <f t="shared" si="2"/>
        <v>0.36473744026094873</v>
      </c>
      <c r="J4" s="16">
        <f t="shared" ref="J4:J32" si="5">F4*0.85+G4+AF4*D4+D4*AE4+AG4+AD4</f>
        <v>47.040187670454557</v>
      </c>
      <c r="K4" s="16">
        <f t="shared" si="3"/>
        <v>15.680062556818186</v>
      </c>
      <c r="L4" s="15">
        <v>41</v>
      </c>
      <c r="M4" s="18">
        <f t="shared" ref="M4:M32" si="6">IFERROR(D4/L4,"-")</f>
        <v>7.3170731707317069E-2</v>
      </c>
      <c r="N4" s="15">
        <v>3</v>
      </c>
      <c r="O4" s="19">
        <f t="shared" ref="O4:P4" si="7">D4/7</f>
        <v>0.42857142857142855</v>
      </c>
      <c r="P4" s="19">
        <f t="shared" si="7"/>
        <v>0</v>
      </c>
      <c r="Q4" s="15">
        <f t="shared" ref="Q4:Q32" si="8">ROUNDDOWN(N4/(O4+P4),0)</f>
        <v>7</v>
      </c>
      <c r="R4" s="15"/>
      <c r="S4" s="20">
        <v>2.0269403463758802</v>
      </c>
      <c r="T4" s="2">
        <v>960</v>
      </c>
      <c r="U4" s="2">
        <v>80</v>
      </c>
      <c r="V4" s="21" t="s">
        <v>1430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0.63111111111111107</v>
      </c>
      <c r="AD4" s="24">
        <f t="shared" ref="AD4:AD32" si="12">IFERROR(AB4*AC4*D4*2,0)</f>
        <v>-2.6127999999999996</v>
      </c>
      <c r="AE4" s="24">
        <v>-7.7</v>
      </c>
      <c r="AF4" s="24">
        <v>-12.253837443181816</v>
      </c>
      <c r="AG4" s="24">
        <v>0</v>
      </c>
    </row>
    <row r="5" spans="1:33" ht="15.75" customHeight="1" x14ac:dyDescent="0.2">
      <c r="A5" s="26" t="s">
        <v>35</v>
      </c>
      <c r="B5" s="26" t="s">
        <v>1362</v>
      </c>
      <c r="C5" s="14">
        <f t="shared" si="4"/>
        <v>42.99</v>
      </c>
      <c r="D5" s="27">
        <v>11</v>
      </c>
      <c r="E5" s="27">
        <v>0</v>
      </c>
      <c r="F5" s="28">
        <v>472.89000000000004</v>
      </c>
      <c r="G5" s="28">
        <v>-0.27</v>
      </c>
      <c r="H5" s="29">
        <f t="shared" si="1"/>
        <v>5.7095730508152003E-4</v>
      </c>
      <c r="I5" s="29">
        <f t="shared" si="2"/>
        <v>0.36499591942779458</v>
      </c>
      <c r="J5" s="30">
        <f t="shared" si="5"/>
        <v>172.6029203382098</v>
      </c>
      <c r="K5" s="30">
        <f t="shared" si="3"/>
        <v>15.691174576200892</v>
      </c>
      <c r="L5" s="27">
        <v>77</v>
      </c>
      <c r="M5" s="31">
        <f t="shared" si="6"/>
        <v>0.14285714285714285</v>
      </c>
      <c r="N5" s="27">
        <v>169</v>
      </c>
      <c r="O5" s="32">
        <f t="shared" ref="O5:P5" si="13">D5/7</f>
        <v>1.5714285714285714</v>
      </c>
      <c r="P5" s="32">
        <f t="shared" si="13"/>
        <v>0</v>
      </c>
      <c r="Q5" s="27">
        <f t="shared" si="8"/>
        <v>107</v>
      </c>
      <c r="R5" s="27"/>
      <c r="S5" s="33">
        <v>1.86175115207373</v>
      </c>
      <c r="T5" s="26">
        <v>960</v>
      </c>
      <c r="U5" s="34">
        <v>80</v>
      </c>
      <c r="V5" s="35" t="s">
        <v>1392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0.63184241019698717</v>
      </c>
      <c r="AD5" s="37">
        <f t="shared" si="12"/>
        <v>-9.5913677867902649</v>
      </c>
      <c r="AE5" s="37">
        <v>-7.7</v>
      </c>
      <c r="AF5" s="37">
        <v>-12.253837443181816</v>
      </c>
      <c r="AG5" s="37">
        <v>0</v>
      </c>
    </row>
    <row r="6" spans="1:33" ht="15.75" customHeight="1" x14ac:dyDescent="0.2">
      <c r="A6" s="26" t="s">
        <v>38</v>
      </c>
      <c r="B6" s="26" t="s">
        <v>1431</v>
      </c>
      <c r="C6" s="14">
        <f t="shared" si="4"/>
        <v>39.420869565217394</v>
      </c>
      <c r="D6" s="27">
        <v>23</v>
      </c>
      <c r="E6" s="27">
        <v>0</v>
      </c>
      <c r="F6" s="28">
        <v>906.68000000000006</v>
      </c>
      <c r="G6" s="28">
        <v>-0.44</v>
      </c>
      <c r="H6" s="29">
        <f t="shared" si="1"/>
        <v>4.8528698107380773E-4</v>
      </c>
      <c r="I6" s="29">
        <f t="shared" si="2"/>
        <v>0.32124704652154168</v>
      </c>
      <c r="J6" s="30">
        <f t="shared" si="5"/>
        <v>291.26827214015145</v>
      </c>
      <c r="K6" s="30">
        <f t="shared" si="3"/>
        <v>12.66383791913702</v>
      </c>
      <c r="L6" s="27">
        <v>140</v>
      </c>
      <c r="M6" s="31">
        <f t="shared" si="6"/>
        <v>0.16428571428571428</v>
      </c>
      <c r="N6" s="27">
        <v>148</v>
      </c>
      <c r="O6" s="32">
        <f t="shared" ref="O6:P6" si="14">D6/7</f>
        <v>3.2857142857142856</v>
      </c>
      <c r="P6" s="32">
        <f t="shared" si="14"/>
        <v>0</v>
      </c>
      <c r="Q6" s="27">
        <f t="shared" si="8"/>
        <v>45</v>
      </c>
      <c r="R6" s="27"/>
      <c r="S6" s="33">
        <v>2.05217391304347</v>
      </c>
      <c r="T6" s="26">
        <v>1180</v>
      </c>
      <c r="U6" s="34">
        <v>80</v>
      </c>
      <c r="V6" s="49" t="s">
        <v>1432</v>
      </c>
      <c r="W6" s="26">
        <v>1</v>
      </c>
      <c r="X6" s="36">
        <f t="shared" si="9"/>
        <v>4.3478260869565216E-2</v>
      </c>
      <c r="Y6" s="37">
        <f t="shared" si="10"/>
        <v>0.44</v>
      </c>
      <c r="Z6" s="26">
        <v>0</v>
      </c>
      <c r="AA6" s="26" t="s">
        <v>37</v>
      </c>
      <c r="AB6" s="38">
        <f t="shared" si="11"/>
        <v>-0.69</v>
      </c>
      <c r="AC6" s="39">
        <v>0.63111111111111107</v>
      </c>
      <c r="AD6" s="37">
        <f t="shared" si="12"/>
        <v>-20.031466666666663</v>
      </c>
      <c r="AE6" s="37">
        <v>-7.7</v>
      </c>
      <c r="AF6" s="37">
        <v>-12.253837443181816</v>
      </c>
      <c r="AG6" s="37">
        <v>0</v>
      </c>
    </row>
    <row r="7" spans="1:33" ht="15.75" customHeight="1" x14ac:dyDescent="0.2">
      <c r="A7" s="26" t="s">
        <v>41</v>
      </c>
      <c r="B7" s="26" t="s">
        <v>1433</v>
      </c>
      <c r="C7" s="14">
        <f t="shared" si="4"/>
        <v>38.266551724137933</v>
      </c>
      <c r="D7" s="27">
        <v>29</v>
      </c>
      <c r="E7" s="27">
        <v>0</v>
      </c>
      <c r="F7" s="28">
        <v>1109.73</v>
      </c>
      <c r="G7" s="28">
        <v>-0.63000000000000012</v>
      </c>
      <c r="H7" s="29">
        <f t="shared" si="1"/>
        <v>5.677056581330595E-4</v>
      </c>
      <c r="I7" s="29">
        <f t="shared" si="2"/>
        <v>0.30522933279361703</v>
      </c>
      <c r="J7" s="30">
        <f t="shared" si="5"/>
        <v>338.72214748106063</v>
      </c>
      <c r="K7" s="30">
        <f t="shared" si="3"/>
        <v>11.680074051071056</v>
      </c>
      <c r="L7" s="27">
        <v>171</v>
      </c>
      <c r="M7" s="31">
        <f t="shared" si="6"/>
        <v>0.16959064327485379</v>
      </c>
      <c r="N7" s="27">
        <v>125</v>
      </c>
      <c r="O7" s="32">
        <f t="shared" ref="O7:P7" si="15">D7/7</f>
        <v>4.1428571428571432</v>
      </c>
      <c r="P7" s="32">
        <f t="shared" si="15"/>
        <v>0</v>
      </c>
      <c r="Q7" s="27">
        <f t="shared" si="8"/>
        <v>30</v>
      </c>
      <c r="R7" s="27"/>
      <c r="S7" s="33">
        <v>2.2675397567820301</v>
      </c>
      <c r="T7" s="26">
        <v>1180</v>
      </c>
      <c r="U7" s="34">
        <v>80</v>
      </c>
      <c r="V7" s="49" t="s">
        <v>1432</v>
      </c>
      <c r="W7" s="26">
        <v>1</v>
      </c>
      <c r="X7" s="36">
        <f t="shared" si="9"/>
        <v>3.4482758620689655E-2</v>
      </c>
      <c r="Y7" s="37">
        <f t="shared" si="10"/>
        <v>0.63000000000000012</v>
      </c>
      <c r="Z7" s="26">
        <v>0</v>
      </c>
      <c r="AA7" s="26" t="s">
        <v>37</v>
      </c>
      <c r="AB7" s="38">
        <f t="shared" si="11"/>
        <v>-0.69</v>
      </c>
      <c r="AC7" s="39">
        <v>0.63111111111111107</v>
      </c>
      <c r="AD7" s="37">
        <f t="shared" si="12"/>
        <v>-25.257066666666663</v>
      </c>
      <c r="AE7" s="37">
        <v>-7.7</v>
      </c>
      <c r="AF7" s="37">
        <v>-12.253837443181816</v>
      </c>
      <c r="AG7" s="37">
        <v>0</v>
      </c>
    </row>
    <row r="8" spans="1:33" ht="15.75" customHeight="1" x14ac:dyDescent="0.2">
      <c r="A8" s="26" t="s">
        <v>43</v>
      </c>
      <c r="B8" s="26" t="s">
        <v>1434</v>
      </c>
      <c r="C8" s="14">
        <f t="shared" si="4"/>
        <v>37.99111111111111</v>
      </c>
      <c r="D8" s="27">
        <v>9</v>
      </c>
      <c r="E8" s="27">
        <v>0</v>
      </c>
      <c r="F8" s="28">
        <v>341.92</v>
      </c>
      <c r="G8" s="28">
        <v>-0.05</v>
      </c>
      <c r="H8" s="29">
        <f t="shared" si="1"/>
        <v>1.4623303696771175E-4</v>
      </c>
      <c r="I8" s="29">
        <f t="shared" si="2"/>
        <v>0.30180627047262515</v>
      </c>
      <c r="J8" s="30">
        <f t="shared" si="5"/>
        <v>103.1936</v>
      </c>
      <c r="K8" s="30">
        <f t="shared" si="3"/>
        <v>11.465955555555556</v>
      </c>
      <c r="L8" s="27">
        <v>117</v>
      </c>
      <c r="M8" s="31">
        <f t="shared" si="6"/>
        <v>7.6923076923076927E-2</v>
      </c>
      <c r="N8" s="27">
        <v>115</v>
      </c>
      <c r="O8" s="32">
        <f t="shared" ref="O8:P8" si="16">D8/7</f>
        <v>1.2857142857142858</v>
      </c>
      <c r="P8" s="32">
        <f t="shared" si="16"/>
        <v>0</v>
      </c>
      <c r="Q8" s="27">
        <f t="shared" si="8"/>
        <v>89</v>
      </c>
      <c r="R8" s="27"/>
      <c r="S8" s="33">
        <v>2.44988864142538</v>
      </c>
      <c r="T8" s="26">
        <v>1100</v>
      </c>
      <c r="U8" s="34">
        <v>220</v>
      </c>
      <c r="V8" s="35" t="s">
        <v>1435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0.63111111111111107</v>
      </c>
      <c r="AD8" s="37">
        <f t="shared" si="12"/>
        <v>-7.8383999999999991</v>
      </c>
      <c r="AE8" s="37">
        <v>-7.7</v>
      </c>
      <c r="AF8" s="37">
        <v>-12.25</v>
      </c>
      <c r="AG8" s="37">
        <v>0</v>
      </c>
    </row>
    <row r="9" spans="1:33" ht="15.75" customHeight="1" x14ac:dyDescent="0.2">
      <c r="A9" s="26" t="s">
        <v>45</v>
      </c>
      <c r="B9" s="26" t="s">
        <v>1434</v>
      </c>
      <c r="C9" s="14" t="str">
        <f t="shared" si="4"/>
        <v xml:space="preserve"> - </v>
      </c>
      <c r="D9" s="27">
        <v>0</v>
      </c>
      <c r="E9" s="27">
        <v>9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117</v>
      </c>
      <c r="O9" s="32">
        <f t="shared" ref="O9:P9" si="17">D9/7</f>
        <v>0</v>
      </c>
      <c r="P9" s="32">
        <f t="shared" si="17"/>
        <v>1.2857142857142858</v>
      </c>
      <c r="Q9" s="27">
        <f t="shared" si="8"/>
        <v>91</v>
      </c>
      <c r="R9" s="27"/>
      <c r="S9" s="33">
        <v>2.1403141361256499</v>
      </c>
      <c r="T9" s="26">
        <v>960</v>
      </c>
      <c r="U9" s="34">
        <v>80</v>
      </c>
      <c r="V9" s="35" t="s">
        <v>1436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0.63111111111111107</v>
      </c>
      <c r="AD9" s="37">
        <f t="shared" si="12"/>
        <v>0</v>
      </c>
      <c r="AE9" s="37">
        <v>-7.7</v>
      </c>
      <c r="AF9" s="37">
        <v>-12.8956002272727</v>
      </c>
      <c r="AG9" s="37">
        <v>0</v>
      </c>
    </row>
    <row r="10" spans="1:33" ht="15.75" customHeight="1" x14ac:dyDescent="0.2">
      <c r="A10" s="26" t="s">
        <v>48</v>
      </c>
      <c r="B10" s="26" t="s">
        <v>1437</v>
      </c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204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>
        <v>1.9054054054053999</v>
      </c>
      <c r="T10" s="26">
        <v>960</v>
      </c>
      <c r="U10" s="34">
        <v>80</v>
      </c>
      <c r="V10" s="35" t="s">
        <v>1438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0.63111111111111107</v>
      </c>
      <c r="AD10" s="37">
        <f t="shared" si="12"/>
        <v>0</v>
      </c>
      <c r="AE10" s="37">
        <v>-7.7</v>
      </c>
      <c r="AF10" s="37">
        <v>-12.8956002272727</v>
      </c>
      <c r="AG10" s="37">
        <v>0</v>
      </c>
    </row>
    <row r="11" spans="1:33" ht="15.75" customHeight="1" x14ac:dyDescent="0.2">
      <c r="A11" s="26" t="s">
        <v>50</v>
      </c>
      <c r="B11" s="26" t="s">
        <v>1439</v>
      </c>
      <c r="C11" s="14">
        <f t="shared" si="4"/>
        <v>37.99</v>
      </c>
      <c r="D11" s="27">
        <v>25</v>
      </c>
      <c r="E11" s="27">
        <v>0</v>
      </c>
      <c r="F11" s="28">
        <v>949.75000000000011</v>
      </c>
      <c r="G11" s="28">
        <v>-0.91</v>
      </c>
      <c r="H11" s="29">
        <f t="shared" si="1"/>
        <v>9.5814688075809417E-4</v>
      </c>
      <c r="I11" s="29">
        <f t="shared" si="2"/>
        <v>0.28398437587243924</v>
      </c>
      <c r="J11" s="30">
        <f t="shared" si="5"/>
        <v>269.71416098484923</v>
      </c>
      <c r="K11" s="30">
        <f t="shared" si="3"/>
        <v>10.78856643939397</v>
      </c>
      <c r="L11" s="27">
        <v>145</v>
      </c>
      <c r="M11" s="31">
        <f t="shared" si="6"/>
        <v>0.17241379310344829</v>
      </c>
      <c r="N11" s="27">
        <v>188</v>
      </c>
      <c r="O11" s="32">
        <f t="shared" ref="O11:P11" si="19">D11/7</f>
        <v>3.5714285714285716</v>
      </c>
      <c r="P11" s="32">
        <f t="shared" si="19"/>
        <v>0</v>
      </c>
      <c r="Q11" s="27">
        <f t="shared" si="8"/>
        <v>52</v>
      </c>
      <c r="R11" s="27"/>
      <c r="S11" s="33">
        <v>1.9890710382513599</v>
      </c>
      <c r="T11" s="26">
        <v>960</v>
      </c>
      <c r="U11" s="34">
        <v>80</v>
      </c>
      <c r="V11" s="35" t="s">
        <v>1438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0.63111111111111107</v>
      </c>
      <c r="AD11" s="37">
        <f t="shared" si="12"/>
        <v>-21.77333333333333</v>
      </c>
      <c r="AE11" s="37">
        <v>-7.7</v>
      </c>
      <c r="AF11" s="37">
        <v>-12.8956002272727</v>
      </c>
      <c r="AG11" s="37">
        <v>0</v>
      </c>
    </row>
    <row r="12" spans="1:33" ht="15.75" customHeight="1" x14ac:dyDescent="0.2">
      <c r="A12" s="26" t="s">
        <v>52</v>
      </c>
      <c r="B12" s="26" t="s">
        <v>1439</v>
      </c>
      <c r="C12" s="14">
        <f t="shared" si="4"/>
        <v>37.99</v>
      </c>
      <c r="D12" s="27">
        <v>47</v>
      </c>
      <c r="E12" s="27">
        <v>0</v>
      </c>
      <c r="F12" s="28">
        <v>1785.5300000000002</v>
      </c>
      <c r="G12" s="28">
        <v>-1.05</v>
      </c>
      <c r="H12" s="29">
        <f t="shared" si="1"/>
        <v>5.8806068786298744E-4</v>
      </c>
      <c r="I12" s="29">
        <f t="shared" si="2"/>
        <v>0.28435446206533443</v>
      </c>
      <c r="J12" s="30">
        <f t="shared" si="5"/>
        <v>507.72342265151667</v>
      </c>
      <c r="K12" s="30">
        <f t="shared" si="3"/>
        <v>10.802626013862056</v>
      </c>
      <c r="L12" s="27">
        <v>223</v>
      </c>
      <c r="M12" s="31">
        <f t="shared" si="6"/>
        <v>0.21076233183856502</v>
      </c>
      <c r="N12" s="27">
        <v>138</v>
      </c>
      <c r="O12" s="32">
        <f t="shared" ref="O12:P12" si="20">D12/7</f>
        <v>6.7142857142857144</v>
      </c>
      <c r="P12" s="32">
        <f t="shared" si="20"/>
        <v>0</v>
      </c>
      <c r="Q12" s="27">
        <f t="shared" si="8"/>
        <v>20</v>
      </c>
      <c r="R12" s="27"/>
      <c r="S12" s="33">
        <v>2.3787375415282299</v>
      </c>
      <c r="T12" s="26">
        <v>880</v>
      </c>
      <c r="U12" s="34">
        <v>220</v>
      </c>
      <c r="V12" s="35" t="s">
        <v>1440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0.63111111111111107</v>
      </c>
      <c r="AD12" s="37">
        <f t="shared" si="12"/>
        <v>-40.93386666666666</v>
      </c>
      <c r="AE12" s="37">
        <v>-7.7</v>
      </c>
      <c r="AF12" s="37">
        <v>-12.8956002272727</v>
      </c>
      <c r="AG12" s="37">
        <v>0</v>
      </c>
    </row>
    <row r="13" spans="1:33" ht="15.75" customHeight="1" x14ac:dyDescent="0.2">
      <c r="A13" s="26" t="s">
        <v>54</v>
      </c>
      <c r="B13" s="26" t="s">
        <v>1441</v>
      </c>
      <c r="C13" s="14">
        <f t="shared" si="4"/>
        <v>37.43942028985505</v>
      </c>
      <c r="D13" s="27">
        <v>69</v>
      </c>
      <c r="E13" s="27">
        <v>0</v>
      </c>
      <c r="F13" s="30">
        <v>2583.3199999999983</v>
      </c>
      <c r="G13" s="28">
        <v>-0.9900000000000001</v>
      </c>
      <c r="H13" s="29">
        <f t="shared" si="1"/>
        <v>3.8322778440146819E-4</v>
      </c>
      <c r="I13" s="29">
        <f t="shared" si="2"/>
        <v>0.26722785491502976</v>
      </c>
      <c r="J13" s="30">
        <f t="shared" si="5"/>
        <v>690.33506215909426</v>
      </c>
      <c r="K13" s="30">
        <f t="shared" si="3"/>
        <v>10.004855973320208</v>
      </c>
      <c r="L13" s="27">
        <v>167</v>
      </c>
      <c r="M13" s="31">
        <f t="shared" si="6"/>
        <v>0.41317365269461076</v>
      </c>
      <c r="N13" s="27">
        <v>67</v>
      </c>
      <c r="O13" s="32">
        <f t="shared" ref="O13:P13" si="21">D13/7</f>
        <v>9.8571428571428577</v>
      </c>
      <c r="P13" s="32">
        <f t="shared" si="21"/>
        <v>0</v>
      </c>
      <c r="Q13" s="27">
        <f t="shared" si="8"/>
        <v>6</v>
      </c>
      <c r="R13" s="27"/>
      <c r="S13" s="33">
        <v>2.58911819887429</v>
      </c>
      <c r="T13" s="26">
        <v>880</v>
      </c>
      <c r="U13" s="34">
        <v>220</v>
      </c>
      <c r="V13" s="35" t="s">
        <v>1440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0.63111111111111107</v>
      </c>
      <c r="AD13" s="37">
        <f t="shared" si="12"/>
        <v>-60.094399999999993</v>
      </c>
      <c r="AE13" s="37">
        <v>-7.7</v>
      </c>
      <c r="AF13" s="37">
        <v>-13.233370113636299</v>
      </c>
      <c r="AG13" s="37">
        <v>0</v>
      </c>
    </row>
    <row r="14" spans="1:33" ht="15.75" customHeight="1" x14ac:dyDescent="0.2">
      <c r="A14" s="26" t="s">
        <v>56</v>
      </c>
      <c r="B14" s="26" t="s">
        <v>1442</v>
      </c>
      <c r="C14" s="14">
        <f t="shared" si="4"/>
        <v>38.704285714285717</v>
      </c>
      <c r="D14" s="27">
        <v>7</v>
      </c>
      <c r="E14" s="27">
        <v>0</v>
      </c>
      <c r="F14" s="30">
        <v>270.93</v>
      </c>
      <c r="G14" s="28">
        <v>0</v>
      </c>
      <c r="H14" s="29">
        <f t="shared" si="1"/>
        <v>0</v>
      </c>
      <c r="I14" s="29">
        <f t="shared" si="2"/>
        <v>0.28664369346773183</v>
      </c>
      <c r="J14" s="30">
        <f t="shared" si="5"/>
        <v>77.66037587121258</v>
      </c>
      <c r="K14" s="30">
        <f t="shared" si="3"/>
        <v>11.094339410173225</v>
      </c>
      <c r="L14" s="27">
        <v>235</v>
      </c>
      <c r="M14" s="31">
        <f t="shared" si="6"/>
        <v>2.9787234042553193E-2</v>
      </c>
      <c r="N14" s="27">
        <v>63</v>
      </c>
      <c r="O14" s="32">
        <f t="shared" ref="O14:P14" si="22">D14/7</f>
        <v>1</v>
      </c>
      <c r="P14" s="32">
        <f t="shared" si="22"/>
        <v>0</v>
      </c>
      <c r="Q14" s="27">
        <f t="shared" si="8"/>
        <v>63</v>
      </c>
      <c r="R14" s="27"/>
      <c r="S14" s="33">
        <v>1.93670886075949</v>
      </c>
      <c r="T14" s="26">
        <v>660</v>
      </c>
      <c r="U14" s="34">
        <v>660</v>
      </c>
      <c r="V14" s="35" t="s">
        <v>1443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0.63111111111111107</v>
      </c>
      <c r="AD14" s="37">
        <f t="shared" si="12"/>
        <v>-6.0965333333333325</v>
      </c>
      <c r="AE14" s="37">
        <v>-7.7</v>
      </c>
      <c r="AF14" s="37">
        <v>-13.233370113636299</v>
      </c>
      <c r="AG14" s="37">
        <v>0</v>
      </c>
    </row>
    <row r="15" spans="1:33" ht="15.75" customHeight="1" x14ac:dyDescent="0.2">
      <c r="A15" s="26" t="s">
        <v>58</v>
      </c>
      <c r="B15" s="26" t="s">
        <v>1444</v>
      </c>
      <c r="C15" s="14">
        <f t="shared" si="4"/>
        <v>37.294782608695655</v>
      </c>
      <c r="D15" s="27">
        <v>23</v>
      </c>
      <c r="E15" s="27">
        <v>0</v>
      </c>
      <c r="F15" s="30">
        <v>857.78000000000009</v>
      </c>
      <c r="G15" s="28">
        <v>-0.38000000000000006</v>
      </c>
      <c r="H15" s="29">
        <f t="shared" si="1"/>
        <v>4.4300403366830658E-4</v>
      </c>
      <c r="I15" s="29">
        <f t="shared" si="2"/>
        <v>0.26490944148814211</v>
      </c>
      <c r="J15" s="30">
        <f t="shared" si="5"/>
        <v>227.23402071969855</v>
      </c>
      <c r="K15" s="30">
        <f t="shared" si="3"/>
        <v>9.8797400312912416</v>
      </c>
      <c r="L15" s="27">
        <v>207</v>
      </c>
      <c r="M15" s="31">
        <f t="shared" si="6"/>
        <v>0.1111111111111111</v>
      </c>
      <c r="N15" s="27">
        <v>37</v>
      </c>
      <c r="O15" s="32">
        <f t="shared" ref="O15:P15" si="23">D15/7</f>
        <v>3.2857142857142856</v>
      </c>
      <c r="P15" s="32">
        <f t="shared" si="23"/>
        <v>0</v>
      </c>
      <c r="Q15" s="27">
        <f t="shared" si="8"/>
        <v>11</v>
      </c>
      <c r="R15" s="27"/>
      <c r="S15" s="33">
        <v>1.9133709981167599</v>
      </c>
      <c r="T15" s="26">
        <v>300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0.63111111111111107</v>
      </c>
      <c r="AD15" s="37">
        <f t="shared" si="12"/>
        <v>-20.031466666666663</v>
      </c>
      <c r="AE15" s="37">
        <v>-7.7</v>
      </c>
      <c r="AF15" s="37">
        <v>-13.233370113636299</v>
      </c>
      <c r="AG15" s="37">
        <v>0</v>
      </c>
    </row>
    <row r="16" spans="1:33" ht="15.75" customHeight="1" x14ac:dyDescent="0.2">
      <c r="A16" s="26" t="s">
        <v>60</v>
      </c>
      <c r="B16" s="26" t="s">
        <v>1445</v>
      </c>
      <c r="C16" s="14">
        <f t="shared" si="4"/>
        <v>37.157777777777781</v>
      </c>
      <c r="D16" s="27">
        <v>36</v>
      </c>
      <c r="E16" s="27">
        <v>4</v>
      </c>
      <c r="F16" s="30">
        <v>1337.68</v>
      </c>
      <c r="G16" s="28">
        <v>-1.07</v>
      </c>
      <c r="H16" s="29">
        <f t="shared" si="1"/>
        <v>7.9989235093594878E-4</v>
      </c>
      <c r="I16" s="29">
        <f t="shared" si="2"/>
        <v>0.26239689306044295</v>
      </c>
      <c r="J16" s="30">
        <f t="shared" si="5"/>
        <v>351.00307590909335</v>
      </c>
      <c r="K16" s="30">
        <f t="shared" si="3"/>
        <v>9.7500854419192606</v>
      </c>
      <c r="L16" s="27">
        <v>196</v>
      </c>
      <c r="M16" s="31">
        <f t="shared" si="6"/>
        <v>0.18367346938775511</v>
      </c>
      <c r="N16" s="27">
        <v>5</v>
      </c>
      <c r="O16" s="32">
        <f t="shared" ref="O16:P16" si="24">D16/7</f>
        <v>5.1428571428571432</v>
      </c>
      <c r="P16" s="32">
        <f t="shared" si="24"/>
        <v>0.5714285714285714</v>
      </c>
      <c r="Q16" s="27">
        <f t="shared" si="8"/>
        <v>0</v>
      </c>
      <c r="R16" s="27"/>
      <c r="S16" s="33">
        <v>2.6216867469879501</v>
      </c>
      <c r="T16" s="26">
        <v>800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0.63111111111111107</v>
      </c>
      <c r="AD16" s="37">
        <f t="shared" si="12"/>
        <v>-31.353599999999997</v>
      </c>
      <c r="AE16" s="37">
        <v>-7.7</v>
      </c>
      <c r="AF16" s="37">
        <v>-13.233370113636299</v>
      </c>
      <c r="AG16" s="37">
        <v>0</v>
      </c>
    </row>
    <row r="17" spans="1:33" ht="15.75" customHeight="1" x14ac:dyDescent="0.2">
      <c r="A17" s="26" t="s">
        <v>61</v>
      </c>
      <c r="B17" s="26" t="s">
        <v>1446</v>
      </c>
      <c r="C17" s="14">
        <f t="shared" si="4"/>
        <v>41.99</v>
      </c>
      <c r="D17" s="27">
        <v>6</v>
      </c>
      <c r="E17" s="27">
        <v>0</v>
      </c>
      <c r="F17" s="30">
        <v>251.94000000000003</v>
      </c>
      <c r="G17" s="28">
        <v>-0.44999999999999996</v>
      </c>
      <c r="H17" s="29">
        <f t="shared" si="1"/>
        <v>1.7861395570373895E-3</v>
      </c>
      <c r="I17" s="29">
        <f t="shared" si="2"/>
        <v>0.3289401417725738</v>
      </c>
      <c r="J17" s="30">
        <f t="shared" si="5"/>
        <v>82.873179318182252</v>
      </c>
      <c r="K17" s="30">
        <f t="shared" si="3"/>
        <v>13.812196553030375</v>
      </c>
      <c r="L17" s="27">
        <v>74</v>
      </c>
      <c r="M17" s="31">
        <f t="shared" si="6"/>
        <v>8.1081081081081086E-2</v>
      </c>
      <c r="N17" s="27">
        <v>69</v>
      </c>
      <c r="O17" s="32">
        <f t="shared" ref="O17:P17" si="25">D17/7</f>
        <v>0.8571428571428571</v>
      </c>
      <c r="P17" s="32">
        <f t="shared" si="25"/>
        <v>0</v>
      </c>
      <c r="Q17" s="27">
        <f t="shared" si="8"/>
        <v>80</v>
      </c>
      <c r="R17" s="27"/>
      <c r="S17" s="33">
        <v>3.2544378698224801</v>
      </c>
      <c r="T17" s="26">
        <v>800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0.63111111111111107</v>
      </c>
      <c r="AD17" s="37">
        <f t="shared" si="12"/>
        <v>-5.2255999999999991</v>
      </c>
      <c r="AE17" s="37">
        <v>-7.7</v>
      </c>
      <c r="AF17" s="37">
        <v>-13.233370113636299</v>
      </c>
      <c r="AG17" s="37">
        <v>0</v>
      </c>
    </row>
    <row r="18" spans="1:33" ht="15.75" customHeight="1" x14ac:dyDescent="0.2">
      <c r="A18" s="26" t="s">
        <v>62</v>
      </c>
      <c r="B18" s="26" t="s">
        <v>1447</v>
      </c>
      <c r="C18" s="14">
        <f t="shared" si="4"/>
        <v>37.232068965517243</v>
      </c>
      <c r="D18" s="27">
        <v>29</v>
      </c>
      <c r="E18" s="27">
        <v>0</v>
      </c>
      <c r="F18" s="30">
        <v>1079.73</v>
      </c>
      <c r="G18" s="28">
        <v>-2.1800000000000002</v>
      </c>
      <c r="H18" s="29">
        <f t="shared" si="1"/>
        <v>2.0190232743371029E-3</v>
      </c>
      <c r="I18" s="29">
        <f t="shared" si="2"/>
        <v>0.26234864275131808</v>
      </c>
      <c r="J18" s="30">
        <f t="shared" si="5"/>
        <v>283.26570003788066</v>
      </c>
      <c r="K18" s="30">
        <f t="shared" si="3"/>
        <v>9.76778275992692</v>
      </c>
      <c r="L18" s="27">
        <v>139</v>
      </c>
      <c r="M18" s="31">
        <f t="shared" si="6"/>
        <v>0.20863309352517986</v>
      </c>
      <c r="N18" s="27">
        <v>142</v>
      </c>
      <c r="O18" s="32">
        <f t="shared" ref="O18:P18" si="26">D18/7</f>
        <v>4.1428571428571432</v>
      </c>
      <c r="P18" s="32">
        <f t="shared" si="26"/>
        <v>0</v>
      </c>
      <c r="Q18" s="27">
        <f t="shared" si="8"/>
        <v>34</v>
      </c>
      <c r="R18" s="27"/>
      <c r="S18" s="33">
        <v>2.2058252427184399</v>
      </c>
      <c r="T18" s="26">
        <v>800</v>
      </c>
      <c r="U18" s="34" t="s">
        <v>34</v>
      </c>
      <c r="V18" s="35" t="s">
        <v>34</v>
      </c>
      <c r="W18" s="26">
        <v>1</v>
      </c>
      <c r="X18" s="36">
        <f t="shared" si="9"/>
        <v>3.4482758620689655E-2</v>
      </c>
      <c r="Y18" s="37">
        <f t="shared" si="10"/>
        <v>2.1800000000000002</v>
      </c>
      <c r="Z18" s="26">
        <v>0</v>
      </c>
      <c r="AA18" s="26" t="s">
        <v>37</v>
      </c>
      <c r="AB18" s="38">
        <f t="shared" si="11"/>
        <v>-0.69</v>
      </c>
      <c r="AC18" s="39">
        <v>0.63111111111111107</v>
      </c>
      <c r="AD18" s="37">
        <f t="shared" si="12"/>
        <v>-25.257066666666663</v>
      </c>
      <c r="AE18" s="37">
        <v>-7.7</v>
      </c>
      <c r="AF18" s="37">
        <v>-13.233370113636299</v>
      </c>
      <c r="AG18" s="37">
        <v>0</v>
      </c>
    </row>
    <row r="19" spans="1:33" ht="15.75" customHeight="1" x14ac:dyDescent="0.2">
      <c r="A19" s="26" t="s">
        <v>64</v>
      </c>
      <c r="B19" s="26" t="s">
        <v>1448</v>
      </c>
      <c r="C19" s="14">
        <f t="shared" si="4"/>
        <v>43.052812500000002</v>
      </c>
      <c r="D19" s="27">
        <v>32</v>
      </c>
      <c r="E19" s="27">
        <v>0</v>
      </c>
      <c r="F19" s="30">
        <v>1377.69</v>
      </c>
      <c r="G19" s="28">
        <v>-1.6200000000000006</v>
      </c>
      <c r="H19" s="29">
        <f t="shared" si="1"/>
        <v>1.1758813666354554E-3</v>
      </c>
      <c r="I19" s="29">
        <f t="shared" si="2"/>
        <v>0.34236932089001865</v>
      </c>
      <c r="J19" s="30">
        <f t="shared" si="5"/>
        <v>471.67878969696983</v>
      </c>
      <c r="K19" s="30">
        <f t="shared" si="3"/>
        <v>14.739962178030307</v>
      </c>
      <c r="L19" s="27">
        <v>173</v>
      </c>
      <c r="M19" s="31">
        <f t="shared" si="6"/>
        <v>0.18497109826589594</v>
      </c>
      <c r="N19" s="27">
        <v>354</v>
      </c>
      <c r="O19" s="32">
        <f t="shared" ref="O19:P19" si="27">D19/7</f>
        <v>4.5714285714285712</v>
      </c>
      <c r="P19" s="32">
        <f t="shared" si="27"/>
        <v>0</v>
      </c>
      <c r="Q19" s="27">
        <f t="shared" si="8"/>
        <v>77</v>
      </c>
      <c r="R19" s="27"/>
      <c r="S19" s="33">
        <v>1.38095238095238</v>
      </c>
      <c r="T19" s="26">
        <v>658</v>
      </c>
      <c r="U19" s="34" t="s">
        <v>34</v>
      </c>
      <c r="V19" s="35" t="s">
        <v>34</v>
      </c>
      <c r="W19" s="26">
        <v>3</v>
      </c>
      <c r="X19" s="36">
        <f t="shared" si="9"/>
        <v>9.375E-2</v>
      </c>
      <c r="Y19" s="37">
        <f t="shared" si="10"/>
        <v>0.40500000000000014</v>
      </c>
      <c r="Z19" s="26">
        <v>1</v>
      </c>
      <c r="AA19" s="26" t="s">
        <v>37</v>
      </c>
      <c r="AB19" s="38">
        <f t="shared" si="11"/>
        <v>-0.69</v>
      </c>
      <c r="AC19" s="39">
        <v>0.63111111111111107</v>
      </c>
      <c r="AD19" s="37">
        <f t="shared" si="12"/>
        <v>-27.869866666666663</v>
      </c>
      <c r="AE19" s="37">
        <v>-7.7</v>
      </c>
      <c r="AF19" s="37">
        <v>-13.233370113636362</v>
      </c>
      <c r="AG19" s="37">
        <v>0</v>
      </c>
    </row>
    <row r="20" spans="1:33" ht="15.75" customHeight="1" x14ac:dyDescent="0.2">
      <c r="A20" s="26" t="s">
        <v>65</v>
      </c>
      <c r="B20" s="26" t="s">
        <v>53</v>
      </c>
      <c r="C20" s="14">
        <f t="shared" si="4"/>
        <v>44.286666666666669</v>
      </c>
      <c r="D20" s="27">
        <v>27</v>
      </c>
      <c r="E20" s="27">
        <v>0</v>
      </c>
      <c r="F20" s="30">
        <v>1195.74</v>
      </c>
      <c r="G20" s="28">
        <v>-1.34</v>
      </c>
      <c r="H20" s="29">
        <f t="shared" si="1"/>
        <v>1.1206449562613946E-3</v>
      </c>
      <c r="I20" s="29">
        <f t="shared" si="2"/>
        <v>0.35653470397562875</v>
      </c>
      <c r="J20" s="30">
        <f t="shared" si="5"/>
        <v>426.32280693181832</v>
      </c>
      <c r="K20" s="30">
        <f t="shared" si="3"/>
        <v>15.789733590067344</v>
      </c>
      <c r="L20" s="27">
        <v>203</v>
      </c>
      <c r="M20" s="31">
        <f t="shared" si="6"/>
        <v>0.13300492610837439</v>
      </c>
      <c r="N20" s="27">
        <v>323</v>
      </c>
      <c r="O20" s="32">
        <f t="shared" ref="O20:P20" si="28">D20/7</f>
        <v>3.8571428571428572</v>
      </c>
      <c r="P20" s="32">
        <f t="shared" si="28"/>
        <v>0</v>
      </c>
      <c r="Q20" s="27">
        <f t="shared" si="8"/>
        <v>83</v>
      </c>
      <c r="R20" s="27"/>
      <c r="S20" s="33">
        <v>1.5139240506329099</v>
      </c>
      <c r="T20" s="26">
        <v>658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0.63111111111111107</v>
      </c>
      <c r="AD20" s="37">
        <f t="shared" si="12"/>
        <v>-23.515199999999997</v>
      </c>
      <c r="AE20" s="37">
        <v>-7.7</v>
      </c>
      <c r="AF20" s="37">
        <v>-13.233370113636362</v>
      </c>
      <c r="AG20" s="37">
        <v>0</v>
      </c>
    </row>
    <row r="21" spans="1:33" ht="15.75" customHeight="1" x14ac:dyDescent="0.2">
      <c r="A21" s="26" t="s">
        <v>66</v>
      </c>
      <c r="B21" s="26" t="s">
        <v>53</v>
      </c>
      <c r="C21" s="14">
        <f t="shared" si="4"/>
        <v>43.746585365853662</v>
      </c>
      <c r="D21" s="27">
        <v>41</v>
      </c>
      <c r="E21" s="27">
        <v>0</v>
      </c>
      <c r="F21" s="30">
        <v>1793.6100000000001</v>
      </c>
      <c r="G21" s="28">
        <v>-1.8</v>
      </c>
      <c r="H21" s="29">
        <f t="shared" si="1"/>
        <v>1.0035626473982638E-3</v>
      </c>
      <c r="I21" s="29">
        <f t="shared" si="2"/>
        <v>0.35057345725895966</v>
      </c>
      <c r="J21" s="30">
        <f t="shared" si="5"/>
        <v>628.79205867424264</v>
      </c>
      <c r="K21" s="30">
        <f t="shared" si="3"/>
        <v>15.336391674981527</v>
      </c>
      <c r="L21" s="27">
        <v>93</v>
      </c>
      <c r="M21" s="31">
        <f t="shared" si="6"/>
        <v>0.44086021505376344</v>
      </c>
      <c r="N21" s="27">
        <v>281</v>
      </c>
      <c r="O21" s="32">
        <f t="shared" ref="O21:P21" si="29">D21/7</f>
        <v>5.8571428571428568</v>
      </c>
      <c r="P21" s="32">
        <f t="shared" si="29"/>
        <v>0</v>
      </c>
      <c r="Q21" s="27">
        <f t="shared" si="8"/>
        <v>47</v>
      </c>
      <c r="R21" s="27"/>
      <c r="S21" s="33">
        <v>1.9845916795069301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0.63111111111111107</v>
      </c>
      <c r="AD21" s="37">
        <f t="shared" si="12"/>
        <v>-35.70826666666666</v>
      </c>
      <c r="AE21" s="37">
        <v>-7.7</v>
      </c>
      <c r="AF21" s="37">
        <v>-13.233370113636362</v>
      </c>
      <c r="AG21" s="37">
        <v>0</v>
      </c>
    </row>
    <row r="22" spans="1:33" ht="15.75" customHeight="1" x14ac:dyDescent="0.2">
      <c r="A22" s="26" t="s">
        <v>67</v>
      </c>
      <c r="B22" s="26" t="s">
        <v>53</v>
      </c>
      <c r="C22" s="14">
        <f t="shared" si="4"/>
        <v>44.221153846153847</v>
      </c>
      <c r="D22" s="27">
        <v>26</v>
      </c>
      <c r="E22" s="27">
        <v>0</v>
      </c>
      <c r="F22" s="28">
        <v>1149.75</v>
      </c>
      <c r="G22" s="28">
        <v>-1.22</v>
      </c>
      <c r="H22" s="29">
        <f t="shared" si="1"/>
        <v>1.061100239182431E-3</v>
      </c>
      <c r="I22" s="29">
        <f t="shared" si="2"/>
        <v>0.35586484920964373</v>
      </c>
      <c r="J22" s="30">
        <f t="shared" si="5"/>
        <v>409.15561037878786</v>
      </c>
      <c r="K22" s="30">
        <f t="shared" si="3"/>
        <v>15.736754245337995</v>
      </c>
      <c r="L22" s="27">
        <v>150</v>
      </c>
      <c r="M22" s="31">
        <f t="shared" si="6"/>
        <v>0.17333333333333334</v>
      </c>
      <c r="N22" s="27">
        <v>254</v>
      </c>
      <c r="O22" s="32">
        <f t="shared" ref="O22:P22" si="30">D22/7</f>
        <v>3.7142857142857144</v>
      </c>
      <c r="P22" s="32">
        <f t="shared" si="30"/>
        <v>0</v>
      </c>
      <c r="Q22" s="27">
        <f t="shared" si="8"/>
        <v>68</v>
      </c>
      <c r="R22" s="27"/>
      <c r="S22" s="33">
        <v>2.2653721682847898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3.8461538461538464E-2</v>
      </c>
      <c r="Y22" s="37">
        <f t="shared" si="10"/>
        <v>1.22</v>
      </c>
      <c r="Z22" s="26">
        <v>0</v>
      </c>
      <c r="AA22" s="26" t="s">
        <v>37</v>
      </c>
      <c r="AB22" s="38">
        <f t="shared" si="11"/>
        <v>-0.69</v>
      </c>
      <c r="AC22" s="39">
        <v>0.63111111111111107</v>
      </c>
      <c r="AD22" s="37">
        <f t="shared" si="12"/>
        <v>-22.644266666666663</v>
      </c>
      <c r="AE22" s="37">
        <v>-7.7</v>
      </c>
      <c r="AF22" s="37">
        <v>-13.233370113636362</v>
      </c>
      <c r="AG22" s="37">
        <v>0</v>
      </c>
    </row>
    <row r="23" spans="1:33" ht="15.75" customHeight="1" x14ac:dyDescent="0.2">
      <c r="A23" s="26" t="s">
        <v>68</v>
      </c>
      <c r="B23" s="26" t="s">
        <v>1449</v>
      </c>
      <c r="C23" s="14">
        <f t="shared" si="4"/>
        <v>45.99</v>
      </c>
      <c r="D23" s="27">
        <v>38</v>
      </c>
      <c r="E23" s="27">
        <v>0</v>
      </c>
      <c r="F23" s="30">
        <v>1747.6200000000001</v>
      </c>
      <c r="G23" s="28">
        <v>-0.16</v>
      </c>
      <c r="H23" s="29">
        <f t="shared" si="1"/>
        <v>9.1553083622297748E-5</v>
      </c>
      <c r="I23" s="29">
        <f t="shared" si="2"/>
        <v>0.37579878292486441</v>
      </c>
      <c r="J23" s="30">
        <f t="shared" si="5"/>
        <v>656.75346901515161</v>
      </c>
      <c r="K23" s="30">
        <f t="shared" si="3"/>
        <v>17.282986026714514</v>
      </c>
      <c r="L23" s="27">
        <v>147</v>
      </c>
      <c r="M23" s="31">
        <f t="shared" si="6"/>
        <v>0.25850340136054423</v>
      </c>
      <c r="N23" s="27">
        <v>219</v>
      </c>
      <c r="O23" s="32">
        <f t="shared" ref="O23:P23" si="31">D23/7</f>
        <v>5.4285714285714288</v>
      </c>
      <c r="P23" s="32">
        <f t="shared" si="31"/>
        <v>0</v>
      </c>
      <c r="Q23" s="27">
        <f t="shared" si="8"/>
        <v>40</v>
      </c>
      <c r="R23" s="27"/>
      <c r="S23" s="33">
        <v>1.6330076004343099</v>
      </c>
      <c r="T23" s="26">
        <v>0</v>
      </c>
      <c r="U23" s="34" t="s">
        <v>34</v>
      </c>
      <c r="V23" s="35" t="s">
        <v>34</v>
      </c>
      <c r="W23" s="26">
        <v>1</v>
      </c>
      <c r="X23" s="36">
        <f t="shared" si="9"/>
        <v>2.6315789473684209E-2</v>
      </c>
      <c r="Y23" s="37">
        <f t="shared" si="10"/>
        <v>0.16</v>
      </c>
      <c r="Z23" s="26">
        <v>0</v>
      </c>
      <c r="AA23" s="26" t="s">
        <v>37</v>
      </c>
      <c r="AB23" s="38">
        <f t="shared" si="11"/>
        <v>-0.69</v>
      </c>
      <c r="AC23" s="39">
        <v>0.63111111111111107</v>
      </c>
      <c r="AD23" s="37">
        <f t="shared" si="12"/>
        <v>-33.09546666666666</v>
      </c>
      <c r="AE23" s="37">
        <v>-7.7</v>
      </c>
      <c r="AF23" s="37">
        <v>-13.233370113636362</v>
      </c>
      <c r="AG23" s="37">
        <v>0</v>
      </c>
    </row>
    <row r="24" spans="1:33" ht="15.75" customHeight="1" x14ac:dyDescent="0.2">
      <c r="A24" s="26" t="s">
        <v>71</v>
      </c>
      <c r="B24" s="26" t="s">
        <v>1450</v>
      </c>
      <c r="C24" s="14">
        <f t="shared" si="4"/>
        <v>43.637400000000014</v>
      </c>
      <c r="D24" s="27">
        <v>50</v>
      </c>
      <c r="E24" s="27">
        <v>0</v>
      </c>
      <c r="F24" s="30">
        <v>2181.8700000000008</v>
      </c>
      <c r="G24" s="30">
        <v>-1.1300000000000001</v>
      </c>
      <c r="H24" s="29">
        <f t="shared" si="1"/>
        <v>5.1790436643796365E-4</v>
      </c>
      <c r="I24" s="29">
        <f t="shared" si="2"/>
        <v>0.34981200880506891</v>
      </c>
      <c r="J24" s="30">
        <f t="shared" si="5"/>
        <v>763.24432765151596</v>
      </c>
      <c r="K24" s="30">
        <f t="shared" si="3"/>
        <v>15.264886553030319</v>
      </c>
      <c r="L24" s="27">
        <v>186</v>
      </c>
      <c r="M24" s="31">
        <f t="shared" si="6"/>
        <v>0.26881720430107525</v>
      </c>
      <c r="N24" s="27">
        <v>172</v>
      </c>
      <c r="O24" s="32">
        <f t="shared" ref="O24:P24" si="32">D24/7</f>
        <v>7.1428571428571432</v>
      </c>
      <c r="P24" s="32">
        <f t="shared" si="32"/>
        <v>0</v>
      </c>
      <c r="Q24" s="27">
        <f t="shared" si="8"/>
        <v>24</v>
      </c>
      <c r="R24" s="27"/>
      <c r="S24" s="33">
        <v>1.8609865470852001</v>
      </c>
      <c r="T24" s="26">
        <v>800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0.63111111111111107</v>
      </c>
      <c r="AD24" s="37">
        <f t="shared" si="12"/>
        <v>-43.54666666666666</v>
      </c>
      <c r="AE24" s="37">
        <v>-7.7</v>
      </c>
      <c r="AF24" s="37">
        <v>-13.233370113636362</v>
      </c>
      <c r="AG24" s="37">
        <v>0</v>
      </c>
    </row>
    <row r="25" spans="1:33" ht="15.75" customHeight="1" x14ac:dyDescent="0.2">
      <c r="A25" s="40" t="s">
        <v>73</v>
      </c>
      <c r="B25" s="40" t="s">
        <v>53</v>
      </c>
      <c r="C25" s="14">
        <f t="shared" si="4"/>
        <v>43.179142857142857</v>
      </c>
      <c r="D25" s="15">
        <v>35</v>
      </c>
      <c r="E25" s="15">
        <v>0</v>
      </c>
      <c r="F25" s="16">
        <v>1511.27</v>
      </c>
      <c r="G25" s="16">
        <v>-1.35</v>
      </c>
      <c r="H25" s="29">
        <f t="shared" si="1"/>
        <v>8.9328842629047102E-4</v>
      </c>
      <c r="I25" s="29">
        <f t="shared" si="2"/>
        <v>0.34421171156268143</v>
      </c>
      <c r="J25" s="30">
        <f t="shared" si="5"/>
        <v>520.19683333333353</v>
      </c>
      <c r="K25" s="30">
        <f t="shared" si="3"/>
        <v>14.862766666666673</v>
      </c>
      <c r="L25" s="15">
        <v>204</v>
      </c>
      <c r="M25" s="31">
        <f t="shared" si="6"/>
        <v>0.17156862745098039</v>
      </c>
      <c r="N25" s="15">
        <v>128</v>
      </c>
      <c r="O25" s="32">
        <f t="shared" ref="O25:P25" si="33">D25/7</f>
        <v>5</v>
      </c>
      <c r="P25" s="32">
        <f t="shared" si="33"/>
        <v>0</v>
      </c>
      <c r="Q25" s="27">
        <f t="shared" si="8"/>
        <v>25</v>
      </c>
      <c r="R25" s="27"/>
      <c r="S25" s="41">
        <v>2.330434782608696</v>
      </c>
      <c r="T25" s="26">
        <v>800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1.35</v>
      </c>
      <c r="Z25" s="40">
        <v>1</v>
      </c>
      <c r="AA25" s="26" t="s">
        <v>37</v>
      </c>
      <c r="AB25" s="38">
        <f t="shared" si="11"/>
        <v>-0.69</v>
      </c>
      <c r="AC25" s="39">
        <v>0.63111111111111107</v>
      </c>
      <c r="AD25" s="37">
        <f t="shared" si="12"/>
        <v>-30.482666666666663</v>
      </c>
      <c r="AE25" s="42">
        <v>-7.7</v>
      </c>
      <c r="AF25" s="42">
        <v>-13.23</v>
      </c>
      <c r="AG25" s="42">
        <v>0</v>
      </c>
    </row>
    <row r="26" spans="1:33" ht="15.75" customHeight="1" x14ac:dyDescent="0.2">
      <c r="A26" s="40" t="s">
        <v>75</v>
      </c>
      <c r="B26" s="40" t="s">
        <v>1451</v>
      </c>
      <c r="C26" s="14">
        <f t="shared" si="4"/>
        <v>41.538679245283021</v>
      </c>
      <c r="D26" s="15">
        <v>53</v>
      </c>
      <c r="E26" s="15">
        <v>0</v>
      </c>
      <c r="F26" s="16">
        <v>2201.5500000000002</v>
      </c>
      <c r="G26" s="16">
        <v>-1.54</v>
      </c>
      <c r="H26" s="29">
        <f t="shared" si="1"/>
        <v>6.9950716540619106E-4</v>
      </c>
      <c r="I26" s="29">
        <f t="shared" si="2"/>
        <v>0.33690328055715729</v>
      </c>
      <c r="J26" s="30">
        <f t="shared" si="5"/>
        <v>741.70941731060964</v>
      </c>
      <c r="K26" s="30">
        <f t="shared" si="3"/>
        <v>13.994517307747351</v>
      </c>
      <c r="L26" s="15">
        <v>192</v>
      </c>
      <c r="M26" s="31">
        <f t="shared" si="6"/>
        <v>0.27604166666666669</v>
      </c>
      <c r="N26" s="15">
        <v>81</v>
      </c>
      <c r="O26" s="32">
        <f t="shared" ref="O26:P26" si="34">D26/7</f>
        <v>7.5714285714285712</v>
      </c>
      <c r="P26" s="32">
        <f t="shared" si="34"/>
        <v>0</v>
      </c>
      <c r="Q26" s="27">
        <f t="shared" si="8"/>
        <v>10</v>
      </c>
      <c r="R26" s="27"/>
      <c r="S26" s="41">
        <v>2.4050235478806909</v>
      </c>
      <c r="T26" s="26">
        <v>800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0.63111111111111107</v>
      </c>
      <c r="AD26" s="37">
        <f t="shared" si="12"/>
        <v>-46.15946666666666</v>
      </c>
      <c r="AE26" s="42">
        <v>-7.18</v>
      </c>
      <c r="AF26" s="42">
        <v>-13.233370113636299</v>
      </c>
      <c r="AG26" s="42">
        <v>0</v>
      </c>
    </row>
    <row r="27" spans="1:33" ht="15.75" customHeight="1" x14ac:dyDescent="0.2">
      <c r="A27" s="40" t="s">
        <v>77</v>
      </c>
      <c r="B27" s="40" t="s">
        <v>1452</v>
      </c>
      <c r="C27" s="14">
        <f t="shared" si="4"/>
        <v>44.972352941176467</v>
      </c>
      <c r="D27" s="15">
        <v>34</v>
      </c>
      <c r="E27" s="15">
        <v>0</v>
      </c>
      <c r="F27" s="16">
        <v>1529.06</v>
      </c>
      <c r="G27" s="16">
        <v>-2.04</v>
      </c>
      <c r="H27" s="29">
        <f t="shared" si="1"/>
        <v>1.3341530090382327E-3</v>
      </c>
      <c r="I27" s="29">
        <f t="shared" si="2"/>
        <v>0.37539055550667244</v>
      </c>
      <c r="J27" s="30">
        <f t="shared" si="5"/>
        <v>573.99468280303256</v>
      </c>
      <c r="K27" s="30">
        <f t="shared" si="3"/>
        <v>16.882196553030369</v>
      </c>
      <c r="L27" s="15">
        <v>179</v>
      </c>
      <c r="M27" s="31">
        <f t="shared" si="6"/>
        <v>0.18994413407821228</v>
      </c>
      <c r="N27" s="15">
        <v>43</v>
      </c>
      <c r="O27" s="32">
        <f t="shared" ref="O27:P27" si="35">D27/7</f>
        <v>4.8571428571428568</v>
      </c>
      <c r="P27" s="32">
        <f t="shared" si="35"/>
        <v>0</v>
      </c>
      <c r="Q27" s="27">
        <f t="shared" si="8"/>
        <v>8</v>
      </c>
      <c r="R27" s="27"/>
      <c r="S27" s="41">
        <v>2.1329856584093871</v>
      </c>
      <c r="T27" s="26">
        <v>800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2.04</v>
      </c>
      <c r="Z27" s="40">
        <v>1</v>
      </c>
      <c r="AA27" s="26" t="s">
        <v>37</v>
      </c>
      <c r="AB27" s="38">
        <f t="shared" si="11"/>
        <v>-0.69</v>
      </c>
      <c r="AC27" s="39">
        <v>0.63111111111111107</v>
      </c>
      <c r="AD27" s="37">
        <f t="shared" si="12"/>
        <v>-29.61173333333333</v>
      </c>
      <c r="AE27" s="42">
        <v>-7.18</v>
      </c>
      <c r="AF27" s="42">
        <v>-13.233370113636299</v>
      </c>
      <c r="AG27" s="42">
        <v>0</v>
      </c>
    </row>
    <row r="28" spans="1:33" ht="15.75" customHeight="1" x14ac:dyDescent="0.2">
      <c r="A28" s="40" t="s">
        <v>79</v>
      </c>
      <c r="B28" s="40" t="s">
        <v>1453</v>
      </c>
      <c r="C28" s="14">
        <f t="shared" si="4"/>
        <v>43.990750000000006</v>
      </c>
      <c r="D28" s="15">
        <v>40</v>
      </c>
      <c r="E28" s="15">
        <v>0</v>
      </c>
      <c r="F28" s="16">
        <v>1759.63</v>
      </c>
      <c r="G28" s="16">
        <v>-0.55000000000000004</v>
      </c>
      <c r="H28" s="29">
        <f t="shared" si="1"/>
        <v>3.1256570983672705E-4</v>
      </c>
      <c r="I28" s="29">
        <f t="shared" si="2"/>
        <v>0.36585154954235533</v>
      </c>
      <c r="J28" s="30">
        <f t="shared" si="5"/>
        <v>643.76336212121475</v>
      </c>
      <c r="K28" s="30">
        <f t="shared" si="3"/>
        <v>16.094084053030368</v>
      </c>
      <c r="L28" s="15">
        <v>190</v>
      </c>
      <c r="M28" s="31">
        <f t="shared" si="6"/>
        <v>0.21052631578947367</v>
      </c>
      <c r="N28" s="15">
        <v>30</v>
      </c>
      <c r="O28" s="32">
        <f t="shared" ref="O28:P28" si="36">D28/7</f>
        <v>5.7142857142857144</v>
      </c>
      <c r="P28" s="32">
        <f t="shared" si="36"/>
        <v>0</v>
      </c>
      <c r="Q28" s="27">
        <f t="shared" si="8"/>
        <v>5</v>
      </c>
      <c r="R28" s="27"/>
      <c r="S28" s="41">
        <v>2.2774108322324969</v>
      </c>
      <c r="T28" s="40" t="s">
        <v>34</v>
      </c>
      <c r="U28" s="22">
        <v>800</v>
      </c>
      <c r="V28" s="1" t="s">
        <v>207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0.63111111111111107</v>
      </c>
      <c r="AD28" s="37">
        <f t="shared" si="12"/>
        <v>-34.837333333333326</v>
      </c>
      <c r="AE28" s="42">
        <v>-7.18</v>
      </c>
      <c r="AF28" s="42">
        <v>-13.233370113636299</v>
      </c>
      <c r="AG28" s="42">
        <v>0</v>
      </c>
    </row>
    <row r="29" spans="1:33" ht="15.75" customHeight="1" x14ac:dyDescent="0.2">
      <c r="A29" s="26" t="s">
        <v>82</v>
      </c>
      <c r="B29" s="26" t="s">
        <v>1454</v>
      </c>
      <c r="C29" s="14">
        <f t="shared" si="4"/>
        <v>19.196000000000002</v>
      </c>
      <c r="D29" s="27">
        <v>5</v>
      </c>
      <c r="E29" s="27">
        <v>0</v>
      </c>
      <c r="F29" s="30">
        <v>95.98</v>
      </c>
      <c r="G29" s="30">
        <v>0</v>
      </c>
      <c r="H29" s="29">
        <f t="shared" si="1"/>
        <v>0</v>
      </c>
      <c r="I29" s="29">
        <f t="shared" si="2"/>
        <v>-0.25878846879400053</v>
      </c>
      <c r="J29" s="30">
        <f t="shared" si="5"/>
        <v>-24.838517234848169</v>
      </c>
      <c r="K29" s="30">
        <f t="shared" si="3"/>
        <v>-4.967703446969634</v>
      </c>
      <c r="L29" s="27">
        <v>212</v>
      </c>
      <c r="M29" s="31">
        <f t="shared" si="6"/>
        <v>2.358490566037736E-2</v>
      </c>
      <c r="N29" s="15">
        <v>26</v>
      </c>
      <c r="O29" s="32">
        <f t="shared" ref="O29:P29" si="37">D29/7</f>
        <v>0.7142857142857143</v>
      </c>
      <c r="P29" s="32">
        <f t="shared" si="37"/>
        <v>0</v>
      </c>
      <c r="Q29" s="27">
        <f t="shared" si="8"/>
        <v>36</v>
      </c>
      <c r="R29" s="27"/>
      <c r="S29" s="41">
        <v>2.754653130287648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0.63111111111111107</v>
      </c>
      <c r="AD29" s="37">
        <f t="shared" si="12"/>
        <v>-4.3546666666666658</v>
      </c>
      <c r="AE29" s="37">
        <v>-7.18</v>
      </c>
      <c r="AF29" s="42">
        <v>-13.233370113636299</v>
      </c>
      <c r="AG29" s="37">
        <v>0</v>
      </c>
    </row>
    <row r="30" spans="1:33" ht="15.75" customHeight="1" x14ac:dyDescent="0.2">
      <c r="A30" s="40" t="s">
        <v>84</v>
      </c>
      <c r="B30" s="40" t="s">
        <v>1455</v>
      </c>
      <c r="C30" s="14">
        <f t="shared" si="4"/>
        <v>47.99</v>
      </c>
      <c r="D30" s="15">
        <v>5</v>
      </c>
      <c r="E30" s="15">
        <v>1</v>
      </c>
      <c r="F30" s="16">
        <v>239.95000000000002</v>
      </c>
      <c r="G30" s="16">
        <v>0</v>
      </c>
      <c r="H30" s="29">
        <f t="shared" si="1"/>
        <v>0</v>
      </c>
      <c r="I30" s="29">
        <f t="shared" si="2"/>
        <v>0.39603352373758632</v>
      </c>
      <c r="J30" s="30">
        <f t="shared" si="5"/>
        <v>95.028244020833839</v>
      </c>
      <c r="K30" s="30">
        <f t="shared" si="3"/>
        <v>19.005648804166768</v>
      </c>
      <c r="L30" s="15">
        <v>232</v>
      </c>
      <c r="M30" s="31">
        <f t="shared" si="6"/>
        <v>2.1551724137931036E-2</v>
      </c>
      <c r="N30" s="15">
        <v>24</v>
      </c>
      <c r="O30" s="32">
        <f t="shared" ref="O30:P30" si="38">D30/7</f>
        <v>0.7142857142857143</v>
      </c>
      <c r="P30" s="32">
        <f t="shared" si="38"/>
        <v>0.14285714285714285</v>
      </c>
      <c r="Q30" s="27">
        <f t="shared" si="8"/>
        <v>28</v>
      </c>
      <c r="R30" s="27"/>
      <c r="S30" s="41">
        <v>2.8359788359788358</v>
      </c>
      <c r="T30" s="26">
        <v>1600</v>
      </c>
      <c r="U30" s="34" t="s">
        <v>34</v>
      </c>
      <c r="V30" s="35" t="s">
        <v>208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0.63111111111111107</v>
      </c>
      <c r="AD30" s="37">
        <f t="shared" si="12"/>
        <v>-4.3546666666666658</v>
      </c>
      <c r="AE30" s="42">
        <v>-7.18</v>
      </c>
      <c r="AF30" s="42">
        <v>-13.7349178624999</v>
      </c>
      <c r="AG30" s="42">
        <v>0</v>
      </c>
    </row>
    <row r="31" spans="1:33" ht="15.75" customHeight="1" x14ac:dyDescent="0.2">
      <c r="A31" s="40" t="s">
        <v>87</v>
      </c>
      <c r="B31" s="40" t="s">
        <v>1456</v>
      </c>
      <c r="C31" s="14">
        <f t="shared" si="4"/>
        <v>44.475483870967743</v>
      </c>
      <c r="D31" s="15">
        <v>31</v>
      </c>
      <c r="E31" s="15">
        <v>0</v>
      </c>
      <c r="F31" s="16">
        <v>1378.74</v>
      </c>
      <c r="G31" s="43">
        <v>-0.85</v>
      </c>
      <c r="H31" s="29">
        <f t="shared" si="1"/>
        <v>6.1650492478639918E-4</v>
      </c>
      <c r="I31" s="29">
        <f t="shared" si="2"/>
        <v>0.35954394079316399</v>
      </c>
      <c r="J31" s="30">
        <f t="shared" si="5"/>
        <v>495.71761292916693</v>
      </c>
      <c r="K31" s="30">
        <f t="shared" si="3"/>
        <v>15.990890739650546</v>
      </c>
      <c r="L31" s="15">
        <v>217</v>
      </c>
      <c r="M31" s="31">
        <f t="shared" si="6"/>
        <v>0.14285714285714285</v>
      </c>
      <c r="N31" s="15">
        <v>9</v>
      </c>
      <c r="O31" s="32">
        <f t="shared" ref="O31:P31" si="39">D31/7</f>
        <v>4.4285714285714288</v>
      </c>
      <c r="P31" s="32">
        <f t="shared" si="39"/>
        <v>0</v>
      </c>
      <c r="Q31" s="27">
        <f t="shared" si="8"/>
        <v>2</v>
      </c>
      <c r="R31" s="27"/>
      <c r="S31" s="41">
        <v>2.9438202247190999</v>
      </c>
      <c r="T31" s="40" t="s">
        <v>34</v>
      </c>
      <c r="U31" s="22">
        <v>800</v>
      </c>
      <c r="V31" s="1" t="s">
        <v>1457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0.63111111111111107</v>
      </c>
      <c r="AD31" s="37">
        <f t="shared" si="12"/>
        <v>-26.99893333333333</v>
      </c>
      <c r="AE31" s="45">
        <v>-7.18</v>
      </c>
      <c r="AF31" s="45">
        <v>-13.734917862499998</v>
      </c>
      <c r="AG31" s="42">
        <v>0</v>
      </c>
    </row>
    <row r="32" spans="1:33" ht="15.75" customHeight="1" x14ac:dyDescent="0.2">
      <c r="A32" s="40" t="s">
        <v>90</v>
      </c>
      <c r="B32" s="40" t="s">
        <v>1456</v>
      </c>
      <c r="C32" s="14">
        <f t="shared" si="4"/>
        <v>41.68</v>
      </c>
      <c r="D32" s="15">
        <v>11</v>
      </c>
      <c r="E32" s="15">
        <v>0</v>
      </c>
      <c r="F32" s="16">
        <v>458.48</v>
      </c>
      <c r="G32" s="16">
        <v>-0.44</v>
      </c>
      <c r="H32" s="29">
        <f t="shared" si="1"/>
        <v>9.5969289827255275E-4</v>
      </c>
      <c r="I32" s="29">
        <f t="shared" si="2"/>
        <v>0.32634714021513367</v>
      </c>
      <c r="J32" s="30">
        <f t="shared" si="5"/>
        <v>149.62363684583448</v>
      </c>
      <c r="K32" s="30">
        <f t="shared" si="3"/>
        <v>13.602148804166772</v>
      </c>
      <c r="L32" s="15">
        <v>249</v>
      </c>
      <c r="M32" s="31">
        <f t="shared" si="6"/>
        <v>4.4176706827309238E-2</v>
      </c>
      <c r="N32" s="15">
        <v>2</v>
      </c>
      <c r="O32" s="32">
        <f t="shared" ref="O32:P32" si="40">D32/7</f>
        <v>1.5714285714285714</v>
      </c>
      <c r="P32" s="32">
        <f t="shared" si="40"/>
        <v>0</v>
      </c>
      <c r="Q32" s="27">
        <f t="shared" si="8"/>
        <v>1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2.1440443213296398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>
        <f ca="1">IFERROR(__xludf.DUMMYFUNCTION("IFERROR(VLOOKUP($B$2,IMPORTRANGE(""https://docs.google.com/spreadsheets/d/1KiWZV1ko8G7lnRucBRBd29jj3Be6ltMfljMDqzOkQmI/edit#gid=1381463014"",""Lookup!A:D""),3,FALSE),"""")"),0)</f>
        <v>0</v>
      </c>
      <c r="V32" s="1" t="str">
        <f ca="1">IFERROR(__xludf.DUMMYFUNCTION("IFERROR(VLOOKUP($B$2,IMPORTRANGE(""https://docs.google.com/spreadsheets/d/1KiWZV1ko8G7lnRucBRBd29jj3Be6ltMfljMDqzOkQmI/edit#gid=1381463014"",""Lookup!A:D""),2,FALSE),"""")"),"| S210703  - 300 units 09/17| AGL253  - 500 units 11/01")</f>
        <v>| S210703  - 300 units 09/17| AGL253  - 500 units 11/01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0.63111111111111107</v>
      </c>
      <c r="AD32" s="37">
        <f t="shared" si="12"/>
        <v>-9.5802666666666649</v>
      </c>
      <c r="AE32" s="42">
        <v>-7.18</v>
      </c>
      <c r="AF32" s="42">
        <v>-13.7349178624999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4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Info!B1:BJ5000""),3,FALSE),"""")"),"2 Gallon Glass Beverage Dispenser with Sturdy Metal Base, Stainless Steel Spigot &amp; Hanging Chalkboard - Outdoor Drink Dispenser for Lemonade, Tea, Cold Water &amp; More")</f>
        <v>2 Gallon Glass Beverage Dispenser with Sturdy Metal Base, Stainless Steel Spigot &amp; Hanging Chalkboard - Outdoor Drink Dispenser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Info!B1:BJ5000""),2,FALSE),"""")"),"B07PRP57KC")</f>
        <v>B07PRP57KC</v>
      </c>
      <c r="B2" s="3" t="s">
        <v>1458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24.5" customHeight="1" x14ac:dyDescent="0.2">
      <c r="A3" s="68" t="s">
        <v>31</v>
      </c>
      <c r="B3" s="69"/>
      <c r="C3" s="48">
        <f>((AE32+AF32)/0.85)*-1</f>
        <v>43.051517326470595</v>
      </c>
      <c r="D3" s="5">
        <f>SUM(D4:D99767)</f>
        <v>122</v>
      </c>
      <c r="E3" s="5"/>
      <c r="F3" s="6">
        <f t="shared" ref="F3:G3" si="0">SUM(F4:F99767)</f>
        <v>6093.15</v>
      </c>
      <c r="G3" s="6">
        <f t="shared" si="0"/>
        <v>-10.450000000000001</v>
      </c>
      <c r="H3" s="7">
        <f t="shared" ref="H3:H32" si="1">G3/F3*-1</f>
        <v>1.7150406604137436E-3</v>
      </c>
      <c r="I3" s="8">
        <f t="shared" ref="I3:I32" si="2">J3/F3</f>
        <v>0.18862891943106058</v>
      </c>
      <c r="J3" s="6">
        <f>SUM(J4:J99767)</f>
        <v>1149.3443004313667</v>
      </c>
      <c r="K3" s="6">
        <f t="shared" ref="K3:K32" si="3">J3/D3</f>
        <v>9.42085492156858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3 - May
6 - June
9 - July
6 - Aug
5 - Sept
5 - Oct
3 - Nov
3 - Dec
1 - Jan
1 - Feb")</f>
        <v>1 - March
1 - April
3 - May
6 - June
9 - July
6 - Aug
5 - Sept
5 - Oct
3 - Nov
3 -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7</v>
      </c>
      <c r="X3" s="7">
        <f>W3/D3</f>
        <v>5.737704918032787E-2</v>
      </c>
      <c r="Y3" s="6"/>
      <c r="Z3" s="5"/>
      <c r="AA3" s="5"/>
      <c r="AB3" s="5"/>
      <c r="AC3" s="5"/>
      <c r="AD3" s="6">
        <f>SUM(AD4:AD99767)</f>
        <v>-126.03832250000001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Info!B2:BZ3000""),37,FALSE)),"""")*-1"),-22.9937897275)</f>
        <v>-22.993789727500001</v>
      </c>
      <c r="AG3" s="6">
        <f>SUM(AG4:AG99767)</f>
        <v>0</v>
      </c>
    </row>
    <row r="4" spans="1:33" ht="16" x14ac:dyDescent="0.2">
      <c r="A4" s="1" t="s">
        <v>32</v>
      </c>
      <c r="B4" s="2" t="s">
        <v>1459</v>
      </c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9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>
        <v>0.16666666666666599</v>
      </c>
      <c r="T4" s="2">
        <v>800</v>
      </c>
      <c r="U4" s="2">
        <v>64</v>
      </c>
      <c r="V4" s="21" t="s">
        <v>1460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-17.133637613636363</v>
      </c>
      <c r="AG4" s="24">
        <v>0</v>
      </c>
    </row>
    <row r="5" spans="1:33" ht="15.75" customHeight="1" x14ac:dyDescent="0.2">
      <c r="A5" s="26" t="s">
        <v>35</v>
      </c>
      <c r="B5" s="2" t="s">
        <v>1459</v>
      </c>
      <c r="C5" s="14">
        <f t="shared" si="4"/>
        <v>47.99</v>
      </c>
      <c r="D5" s="27">
        <v>1</v>
      </c>
      <c r="E5" s="27">
        <v>0</v>
      </c>
      <c r="F5" s="28">
        <v>47.99</v>
      </c>
      <c r="G5" s="28">
        <v>-0.06</v>
      </c>
      <c r="H5" s="29">
        <f t="shared" si="1"/>
        <v>1.250260470931444E-3</v>
      </c>
      <c r="I5" s="29">
        <f t="shared" si="2"/>
        <v>0.19746327123074878</v>
      </c>
      <c r="J5" s="30">
        <f t="shared" si="5"/>
        <v>9.4762623863636346</v>
      </c>
      <c r="K5" s="30">
        <f t="shared" si="3"/>
        <v>9.4762623863636346</v>
      </c>
      <c r="L5" s="27">
        <v>30</v>
      </c>
      <c r="M5" s="31">
        <f t="shared" si="6"/>
        <v>3.3333333333333333E-2</v>
      </c>
      <c r="N5" s="27">
        <v>8</v>
      </c>
      <c r="O5" s="32">
        <f t="shared" ref="O5:P5" si="13">D5/7</f>
        <v>0.14285714285714285</v>
      </c>
      <c r="P5" s="32">
        <f t="shared" si="13"/>
        <v>0</v>
      </c>
      <c r="Q5" s="27">
        <f t="shared" si="8"/>
        <v>56</v>
      </c>
      <c r="R5" s="27"/>
      <c r="S5" s="33">
        <v>0.16</v>
      </c>
      <c r="T5" s="26">
        <v>800</v>
      </c>
      <c r="U5" s="34">
        <v>64</v>
      </c>
      <c r="V5" s="35" t="s">
        <v>1461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250</v>
      </c>
      <c r="AB5" s="38">
        <f t="shared" si="11"/>
        <v>-0.48</v>
      </c>
      <c r="AC5" s="39">
        <v>0.96</v>
      </c>
      <c r="AD5" s="37">
        <f t="shared" si="12"/>
        <v>-0.92159999999999997</v>
      </c>
      <c r="AE5" s="37">
        <v>-13.2</v>
      </c>
      <c r="AF5" s="37">
        <v>-17.133637613636363</v>
      </c>
      <c r="AG5" s="37">
        <v>0</v>
      </c>
    </row>
    <row r="6" spans="1:33" ht="15.75" customHeight="1" x14ac:dyDescent="0.2">
      <c r="A6" s="26" t="s">
        <v>38</v>
      </c>
      <c r="B6" s="2" t="s">
        <v>1459</v>
      </c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8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>
        <v>8.5106382978723402E-2</v>
      </c>
      <c r="T6" s="26">
        <v>1004</v>
      </c>
      <c r="U6" s="34">
        <v>64</v>
      </c>
      <c r="V6" s="49" t="s">
        <v>1462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-17.133637613636363</v>
      </c>
      <c r="AG6" s="37">
        <v>0</v>
      </c>
    </row>
    <row r="7" spans="1:33" ht="15.75" customHeight="1" x14ac:dyDescent="0.2">
      <c r="A7" s="26" t="s">
        <v>41</v>
      </c>
      <c r="B7" s="2" t="s">
        <v>1459</v>
      </c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7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>
        <v>9.0909090909090898E-2</v>
      </c>
      <c r="T7" s="26">
        <v>1004</v>
      </c>
      <c r="U7" s="34">
        <v>64</v>
      </c>
      <c r="V7" s="49" t="s">
        <v>1463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-17.133637613636363</v>
      </c>
      <c r="AG7" s="37">
        <v>0</v>
      </c>
    </row>
    <row r="8" spans="1:33" ht="15.75" customHeight="1" x14ac:dyDescent="0.2">
      <c r="A8" s="26" t="s">
        <v>43</v>
      </c>
      <c r="B8" s="2" t="s">
        <v>1459</v>
      </c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7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>
        <v>9.7560975609756101E-2</v>
      </c>
      <c r="T8" s="26">
        <v>940</v>
      </c>
      <c r="U8" s="34">
        <v>204</v>
      </c>
      <c r="V8" s="35" t="s">
        <v>1464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-17.13</v>
      </c>
      <c r="AG8" s="37">
        <v>0</v>
      </c>
    </row>
    <row r="9" spans="1:33" ht="15.75" customHeight="1" x14ac:dyDescent="0.2">
      <c r="A9" s="26" t="s">
        <v>45</v>
      </c>
      <c r="B9" s="2" t="s">
        <v>1459</v>
      </c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7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>
        <v>9.0909090909090898E-2</v>
      </c>
      <c r="T9" s="26">
        <v>800</v>
      </c>
      <c r="U9" s="34">
        <v>64</v>
      </c>
      <c r="V9" s="35" t="s">
        <v>1465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e">
        <v>#N/A</v>
      </c>
      <c r="AB9" s="38" t="e">
        <f t="shared" si="11"/>
        <v>#N/A</v>
      </c>
      <c r="AC9" s="39" t="e">
        <v>#N/A</v>
      </c>
      <c r="AD9" s="37">
        <f t="shared" si="12"/>
        <v>0</v>
      </c>
      <c r="AE9" s="37">
        <v>0</v>
      </c>
      <c r="AF9" s="37">
        <v>-18.0415245454545</v>
      </c>
      <c r="AG9" s="37">
        <v>0</v>
      </c>
    </row>
    <row r="10" spans="1:33" ht="15.75" customHeight="1" x14ac:dyDescent="0.2">
      <c r="A10" s="26" t="s">
        <v>48</v>
      </c>
      <c r="B10" s="2" t="s">
        <v>1459</v>
      </c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7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>
        <v>0</v>
      </c>
      <c r="T10" s="26">
        <v>800</v>
      </c>
      <c r="U10" s="34">
        <v>64</v>
      </c>
      <c r="V10" s="35" t="s">
        <v>1466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e">
        <v>#N/A</v>
      </c>
      <c r="AB10" s="38" t="e">
        <f t="shared" si="11"/>
        <v>#N/A</v>
      </c>
      <c r="AC10" s="39" t="e">
        <v>#N/A</v>
      </c>
      <c r="AD10" s="37">
        <f t="shared" si="12"/>
        <v>0</v>
      </c>
      <c r="AE10" s="37">
        <v>0</v>
      </c>
      <c r="AF10" s="37">
        <v>-18.0415245454545</v>
      </c>
      <c r="AG10" s="37">
        <v>0</v>
      </c>
    </row>
    <row r="11" spans="1:33" ht="15.75" customHeight="1" x14ac:dyDescent="0.2">
      <c r="A11" s="26" t="s">
        <v>50</v>
      </c>
      <c r="B11" s="2" t="s">
        <v>1459</v>
      </c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7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>
        <v>0</v>
      </c>
      <c r="T11" s="26">
        <v>800</v>
      </c>
      <c r="U11" s="34">
        <v>64</v>
      </c>
      <c r="V11" s="35" t="s">
        <v>1466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e">
        <v>#N/A</v>
      </c>
      <c r="AB11" s="38" t="e">
        <f t="shared" si="11"/>
        <v>#N/A</v>
      </c>
      <c r="AC11" s="39" t="e">
        <v>#N/A</v>
      </c>
      <c r="AD11" s="37">
        <f t="shared" si="12"/>
        <v>0</v>
      </c>
      <c r="AE11" s="37">
        <v>0</v>
      </c>
      <c r="AF11" s="37">
        <v>-18.0415245454545</v>
      </c>
      <c r="AG11" s="37">
        <v>0</v>
      </c>
    </row>
    <row r="12" spans="1:33" ht="15.75" customHeight="1" x14ac:dyDescent="0.2">
      <c r="A12" s="26" t="s">
        <v>52</v>
      </c>
      <c r="B12" s="2" t="s">
        <v>1459</v>
      </c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7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>
        <v>0</v>
      </c>
      <c r="T12" s="26">
        <v>736</v>
      </c>
      <c r="U12" s="34">
        <v>204</v>
      </c>
      <c r="V12" s="35" t="s">
        <v>1467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e">
        <v>#N/A</v>
      </c>
      <c r="AB12" s="38" t="e">
        <f t="shared" si="11"/>
        <v>#N/A</v>
      </c>
      <c r="AC12" s="39" t="e">
        <v>#N/A</v>
      </c>
      <c r="AD12" s="37">
        <f t="shared" si="12"/>
        <v>0</v>
      </c>
      <c r="AE12" s="37">
        <v>0</v>
      </c>
      <c r="AF12" s="37">
        <v>-18.0415245454545</v>
      </c>
      <c r="AG12" s="37">
        <v>0</v>
      </c>
    </row>
    <row r="13" spans="1:33" ht="15.75" customHeight="1" x14ac:dyDescent="0.2">
      <c r="A13" s="26" t="s">
        <v>54</v>
      </c>
      <c r="B13" s="2" t="s">
        <v>1459</v>
      </c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7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>
        <v>0</v>
      </c>
      <c r="T13" s="26">
        <v>736</v>
      </c>
      <c r="U13" s="34">
        <v>204</v>
      </c>
      <c r="V13" s="35" t="s">
        <v>1467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e">
        <v>#N/A</v>
      </c>
      <c r="AB13" s="38" t="e">
        <f t="shared" si="11"/>
        <v>#N/A</v>
      </c>
      <c r="AC13" s="39" t="e">
        <v>#N/A</v>
      </c>
      <c r="AD13" s="37">
        <f t="shared" si="12"/>
        <v>0</v>
      </c>
      <c r="AE13" s="37">
        <v>0</v>
      </c>
      <c r="AF13" s="37">
        <v>-18.519359772727199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7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>
        <v>0</v>
      </c>
      <c r="T14" s="26">
        <v>532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e">
        <v>#N/A</v>
      </c>
      <c r="AB14" s="38" t="e">
        <f t="shared" si="11"/>
        <v>#N/A</v>
      </c>
      <c r="AC14" s="39" t="e">
        <v>#N/A</v>
      </c>
      <c r="AD14" s="37">
        <f t="shared" si="12"/>
        <v>0</v>
      </c>
      <c r="AE14" s="37">
        <v>0</v>
      </c>
      <c r="AF14" s="37">
        <v>-18.519359772727199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>
        <v>0</v>
      </c>
      <c r="T15" s="26">
        <v>1064</v>
      </c>
      <c r="U15" s="34" t="s">
        <v>34</v>
      </c>
      <c r="V15" s="35" t="s">
        <v>1468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e">
        <v>#N/A</v>
      </c>
      <c r="AB15" s="38" t="e">
        <f t="shared" si="11"/>
        <v>#N/A</v>
      </c>
      <c r="AC15" s="39" t="e">
        <v>#N/A</v>
      </c>
      <c r="AD15" s="37">
        <f t="shared" si="12"/>
        <v>0</v>
      </c>
      <c r="AE15" s="37">
        <v>0</v>
      </c>
      <c r="AF15" s="37">
        <v>-18.519359772727199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>
        <v>0</v>
      </c>
      <c r="T16" s="26">
        <v>1264</v>
      </c>
      <c r="U16" s="34" t="s">
        <v>34</v>
      </c>
      <c r="V16" s="35" t="s">
        <v>1468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e">
        <v>#N/A</v>
      </c>
      <c r="AB16" s="38" t="e">
        <f t="shared" si="11"/>
        <v>#N/A</v>
      </c>
      <c r="AC16" s="39" t="e">
        <v>#N/A</v>
      </c>
      <c r="AD16" s="37">
        <f t="shared" si="12"/>
        <v>0</v>
      </c>
      <c r="AE16" s="37">
        <v>0</v>
      </c>
      <c r="AF16" s="37">
        <v>-18.519359772727199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>
        <v>0</v>
      </c>
      <c r="T17" s="26">
        <v>1264</v>
      </c>
      <c r="U17" s="34" t="s">
        <v>34</v>
      </c>
      <c r="V17" s="35" t="s">
        <v>1468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e">
        <v>#N/A</v>
      </c>
      <c r="AB17" s="38" t="e">
        <f t="shared" si="11"/>
        <v>#N/A</v>
      </c>
      <c r="AC17" s="39" t="e">
        <v>#N/A</v>
      </c>
      <c r="AD17" s="37">
        <f t="shared" si="12"/>
        <v>0</v>
      </c>
      <c r="AE17" s="37">
        <v>0</v>
      </c>
      <c r="AF17" s="37">
        <v>-18.519359772727199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1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>
        <v>0</v>
      </c>
      <c r="T18" s="26">
        <v>732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e">
        <v>#N/A</v>
      </c>
      <c r="AB18" s="38" t="e">
        <f t="shared" si="11"/>
        <v>#N/A</v>
      </c>
      <c r="AC18" s="39" t="e">
        <v>#N/A</v>
      </c>
      <c r="AD18" s="37">
        <f t="shared" si="12"/>
        <v>0</v>
      </c>
      <c r="AE18" s="37">
        <v>0</v>
      </c>
      <c r="AF18" s="37">
        <v>-18.519359772727199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1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>
        <v>0.125</v>
      </c>
      <c r="T19" s="26">
        <v>1042</v>
      </c>
      <c r="U19" s="34" t="s">
        <v>34</v>
      </c>
      <c r="V19" s="35" t="s">
        <v>1469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e">
        <v>#N/A</v>
      </c>
      <c r="AB19" s="38" t="e">
        <f t="shared" si="11"/>
        <v>#N/A</v>
      </c>
      <c r="AC19" s="39" t="e">
        <v>#N/A</v>
      </c>
      <c r="AD19" s="37">
        <f t="shared" si="12"/>
        <v>0</v>
      </c>
      <c r="AE19" s="37">
        <v>0</v>
      </c>
      <c r="AF19" s="37">
        <v>-18.51935977272727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1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>
        <v>0.15384615384615299</v>
      </c>
      <c r="T20" s="26">
        <v>1042</v>
      </c>
      <c r="U20" s="34" t="s">
        <v>34</v>
      </c>
      <c r="V20" s="35" t="s">
        <v>1469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e">
        <v>#N/A</v>
      </c>
      <c r="AB20" s="38" t="e">
        <f t="shared" si="11"/>
        <v>#N/A</v>
      </c>
      <c r="AC20" s="39" t="e">
        <v>#N/A</v>
      </c>
      <c r="AD20" s="37">
        <f t="shared" si="12"/>
        <v>0</v>
      </c>
      <c r="AE20" s="37">
        <v>0</v>
      </c>
      <c r="AF20" s="37">
        <v>-18.51935977272727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1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>
        <v>0.15384615384615299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e">
        <v>#N/A</v>
      </c>
      <c r="AB21" s="38" t="e">
        <f t="shared" si="11"/>
        <v>#N/A</v>
      </c>
      <c r="AC21" s="39" t="e">
        <v>#N/A</v>
      </c>
      <c r="AD21" s="37">
        <f t="shared" si="12"/>
        <v>0</v>
      </c>
      <c r="AE21" s="37">
        <v>0</v>
      </c>
      <c r="AF21" s="37">
        <v>-18.51935977272727</v>
      </c>
      <c r="AG21" s="37">
        <v>0</v>
      </c>
    </row>
    <row r="22" spans="1:33" ht="15.75" customHeight="1" x14ac:dyDescent="0.2">
      <c r="A22" s="26" t="s">
        <v>67</v>
      </c>
      <c r="B22" s="26" t="s">
        <v>1406</v>
      </c>
      <c r="C22" s="14">
        <f t="shared" si="4"/>
        <v>47.99</v>
      </c>
      <c r="D22" s="27">
        <v>10</v>
      </c>
      <c r="E22" s="27">
        <v>0</v>
      </c>
      <c r="F22" s="28">
        <v>479.90000000000003</v>
      </c>
      <c r="G22" s="28">
        <v>-0.82</v>
      </c>
      <c r="H22" s="29">
        <f t="shared" si="1"/>
        <v>1.7086893102729733E-3</v>
      </c>
      <c r="I22" s="29">
        <f t="shared" si="2"/>
        <v>0.16578699160810026</v>
      </c>
      <c r="J22" s="30">
        <f t="shared" si="5"/>
        <v>79.561177272727321</v>
      </c>
      <c r="K22" s="30">
        <f t="shared" si="3"/>
        <v>7.9561177272727317</v>
      </c>
      <c r="L22" s="27">
        <v>31</v>
      </c>
      <c r="M22" s="31">
        <f t="shared" si="6"/>
        <v>0.32258064516129031</v>
      </c>
      <c r="N22" s="27">
        <v>113</v>
      </c>
      <c r="O22" s="32">
        <f t="shared" ref="O22:P22" si="30">D22/7</f>
        <v>1.4285714285714286</v>
      </c>
      <c r="P22" s="32">
        <f t="shared" si="30"/>
        <v>0</v>
      </c>
      <c r="Q22" s="27">
        <f t="shared" si="8"/>
        <v>79</v>
      </c>
      <c r="R22" s="27"/>
      <c r="S22" s="33">
        <v>0.11111111111111099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0.82</v>
      </c>
      <c r="Z22" s="26">
        <v>1</v>
      </c>
      <c r="AA22" s="26" t="s">
        <v>250</v>
      </c>
      <c r="AB22" s="38">
        <f t="shared" si="11"/>
        <v>-0.48</v>
      </c>
      <c r="AC22" s="39">
        <v>1.0771067708333335</v>
      </c>
      <c r="AD22" s="37">
        <f t="shared" si="12"/>
        <v>-10.340225</v>
      </c>
      <c r="AE22" s="37">
        <v>-13.2</v>
      </c>
      <c r="AF22" s="37">
        <v>-18.51935977272727</v>
      </c>
      <c r="AG22" s="37">
        <v>0</v>
      </c>
    </row>
    <row r="23" spans="1:33" ht="15.75" customHeight="1" x14ac:dyDescent="0.2">
      <c r="A23" s="26" t="s">
        <v>68</v>
      </c>
      <c r="B23" s="26" t="s">
        <v>1407</v>
      </c>
      <c r="C23" s="14">
        <f t="shared" si="4"/>
        <v>48.091250000000002</v>
      </c>
      <c r="D23" s="27">
        <v>16</v>
      </c>
      <c r="E23" s="27">
        <v>2</v>
      </c>
      <c r="F23" s="30">
        <v>769.46</v>
      </c>
      <c r="G23" s="28">
        <v>-2.84</v>
      </c>
      <c r="H23" s="29">
        <f t="shared" si="1"/>
        <v>3.6909001117666931E-3</v>
      </c>
      <c r="I23" s="29">
        <f t="shared" si="2"/>
        <v>0.1652417066986766</v>
      </c>
      <c r="J23" s="30">
        <f t="shared" si="5"/>
        <v>127.14688363636371</v>
      </c>
      <c r="K23" s="30">
        <f t="shared" si="3"/>
        <v>7.9466802272727319</v>
      </c>
      <c r="L23" s="27">
        <v>115</v>
      </c>
      <c r="M23" s="31">
        <f t="shared" si="6"/>
        <v>0.1391304347826087</v>
      </c>
      <c r="N23" s="27">
        <v>97</v>
      </c>
      <c r="O23" s="32">
        <f t="shared" ref="O23:P23" si="31">D23/7</f>
        <v>2.2857142857142856</v>
      </c>
      <c r="P23" s="32">
        <f t="shared" si="31"/>
        <v>0.2857142857142857</v>
      </c>
      <c r="Q23" s="27">
        <f t="shared" si="8"/>
        <v>37</v>
      </c>
      <c r="R23" s="27"/>
      <c r="S23" s="33">
        <v>0.42424242424242398</v>
      </c>
      <c r="T23" s="26">
        <v>932</v>
      </c>
      <c r="U23" s="34">
        <v>532</v>
      </c>
      <c r="V23" s="35" t="s">
        <v>1470</v>
      </c>
      <c r="W23" s="26">
        <v>1</v>
      </c>
      <c r="X23" s="36">
        <f t="shared" si="9"/>
        <v>6.25E-2</v>
      </c>
      <c r="Y23" s="37">
        <f t="shared" si="10"/>
        <v>2.84</v>
      </c>
      <c r="Z23" s="26">
        <v>0</v>
      </c>
      <c r="AA23" s="26" t="s">
        <v>250</v>
      </c>
      <c r="AB23" s="38">
        <f t="shared" si="11"/>
        <v>-0.48</v>
      </c>
      <c r="AC23" s="39">
        <v>1.0771067708333335</v>
      </c>
      <c r="AD23" s="37">
        <f t="shared" si="12"/>
        <v>-16.544360000000001</v>
      </c>
      <c r="AE23" s="37">
        <v>-13.2</v>
      </c>
      <c r="AF23" s="37">
        <v>-18.51935977272727</v>
      </c>
      <c r="AG23" s="37">
        <v>0</v>
      </c>
    </row>
    <row r="24" spans="1:33" ht="15.75" customHeight="1" x14ac:dyDescent="0.2">
      <c r="A24" s="26" t="s">
        <v>71</v>
      </c>
      <c r="B24" s="26" t="s">
        <v>1471</v>
      </c>
      <c r="C24" s="14">
        <f t="shared" si="4"/>
        <v>47.99</v>
      </c>
      <c r="D24" s="27">
        <v>24</v>
      </c>
      <c r="E24" s="27">
        <v>1</v>
      </c>
      <c r="F24" s="30">
        <v>1151.76</v>
      </c>
      <c r="G24" s="30">
        <v>-2.7500000000000004</v>
      </c>
      <c r="H24" s="29">
        <f t="shared" si="1"/>
        <v>2.3876502049037999E-3</v>
      </c>
      <c r="I24" s="29">
        <f t="shared" si="2"/>
        <v>0.16510803071346941</v>
      </c>
      <c r="J24" s="30">
        <f t="shared" si="5"/>
        <v>190.16482545454554</v>
      </c>
      <c r="K24" s="30">
        <f t="shared" si="3"/>
        <v>7.9235343939393976</v>
      </c>
      <c r="L24" s="27">
        <v>131</v>
      </c>
      <c r="M24" s="31">
        <f t="shared" si="6"/>
        <v>0.18320610687022901</v>
      </c>
      <c r="N24" s="27">
        <v>74</v>
      </c>
      <c r="O24" s="32">
        <f t="shared" ref="O24:P24" si="32">D24/7</f>
        <v>3.4285714285714284</v>
      </c>
      <c r="P24" s="32">
        <f t="shared" si="32"/>
        <v>0.14285714285714285</v>
      </c>
      <c r="Q24" s="27">
        <f t="shared" si="8"/>
        <v>20</v>
      </c>
      <c r="R24" s="27"/>
      <c r="S24" s="33">
        <v>1.15887850467289</v>
      </c>
      <c r="T24" s="26">
        <v>932</v>
      </c>
      <c r="U24" s="34">
        <v>532</v>
      </c>
      <c r="V24" s="35" t="s">
        <v>1470</v>
      </c>
      <c r="W24" s="26">
        <v>1</v>
      </c>
      <c r="X24" s="36">
        <f t="shared" si="9"/>
        <v>4.1666666666666664E-2</v>
      </c>
      <c r="Y24" s="37">
        <f t="shared" si="10"/>
        <v>2.7500000000000004</v>
      </c>
      <c r="Z24" s="26">
        <v>0</v>
      </c>
      <c r="AA24" s="26" t="s">
        <v>250</v>
      </c>
      <c r="AB24" s="38">
        <f t="shared" si="11"/>
        <v>-0.48</v>
      </c>
      <c r="AC24" s="39">
        <v>1.0771067708333335</v>
      </c>
      <c r="AD24" s="37">
        <f t="shared" si="12"/>
        <v>-24.816540000000003</v>
      </c>
      <c r="AE24" s="37">
        <v>-13.2</v>
      </c>
      <c r="AF24" s="37">
        <v>-18.51935977272727</v>
      </c>
      <c r="AG24" s="37">
        <v>0</v>
      </c>
    </row>
    <row r="25" spans="1:33" ht="15.75" customHeight="1" x14ac:dyDescent="0.2">
      <c r="A25" s="40" t="s">
        <v>73</v>
      </c>
      <c r="B25" s="40" t="s">
        <v>1472</v>
      </c>
      <c r="C25" s="14">
        <f t="shared" si="4"/>
        <v>50.114193548387092</v>
      </c>
      <c r="D25" s="15">
        <v>31</v>
      </c>
      <c r="E25" s="15">
        <v>0</v>
      </c>
      <c r="F25" s="16">
        <v>1553.54</v>
      </c>
      <c r="G25" s="16">
        <v>-1.58</v>
      </c>
      <c r="H25" s="29">
        <f t="shared" si="1"/>
        <v>1.017032068694723E-3</v>
      </c>
      <c r="I25" s="29">
        <f t="shared" si="2"/>
        <v>0.19539522799541698</v>
      </c>
      <c r="J25" s="30">
        <f t="shared" si="5"/>
        <v>303.55430250000006</v>
      </c>
      <c r="K25" s="30">
        <f t="shared" si="3"/>
        <v>9.7920742741935509</v>
      </c>
      <c r="L25" s="15">
        <v>149</v>
      </c>
      <c r="M25" s="31">
        <f t="shared" si="6"/>
        <v>0.20805369127516779</v>
      </c>
      <c r="N25" s="15">
        <v>40</v>
      </c>
      <c r="O25" s="32">
        <f t="shared" ref="O25:P25" si="33">D25/7</f>
        <v>4.4285714285714288</v>
      </c>
      <c r="P25" s="32">
        <f t="shared" si="33"/>
        <v>0</v>
      </c>
      <c r="Q25" s="27">
        <f t="shared" si="8"/>
        <v>9</v>
      </c>
      <c r="R25" s="27"/>
      <c r="S25" s="41">
        <v>4.5625</v>
      </c>
      <c r="T25" s="26">
        <v>1464</v>
      </c>
      <c r="U25" s="34">
        <v>532</v>
      </c>
      <c r="V25" s="35" t="s">
        <v>1473</v>
      </c>
      <c r="W25" s="40">
        <v>1</v>
      </c>
      <c r="X25" s="36">
        <f t="shared" si="9"/>
        <v>3.2258064516129031E-2</v>
      </c>
      <c r="Y25" s="37">
        <f t="shared" si="10"/>
        <v>1.58</v>
      </c>
      <c r="Z25" s="40">
        <v>0</v>
      </c>
      <c r="AA25" s="26" t="s">
        <v>250</v>
      </c>
      <c r="AB25" s="38">
        <f t="shared" si="11"/>
        <v>-0.48</v>
      </c>
      <c r="AC25" s="39">
        <v>1.0771067708333335</v>
      </c>
      <c r="AD25" s="37">
        <f t="shared" si="12"/>
        <v>-32.054697500000003</v>
      </c>
      <c r="AE25" s="42">
        <v>-13.2</v>
      </c>
      <c r="AF25" s="42">
        <v>-18.52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4"/>
        <v>51.870769230769234</v>
      </c>
      <c r="D26" s="15">
        <v>26</v>
      </c>
      <c r="E26" s="15">
        <v>0</v>
      </c>
      <c r="F26" s="16">
        <v>1348.64</v>
      </c>
      <c r="G26" s="16">
        <v>-1.89</v>
      </c>
      <c r="H26" s="29">
        <f t="shared" si="1"/>
        <v>1.401411792620714E-3</v>
      </c>
      <c r="I26" s="29">
        <f t="shared" si="2"/>
        <v>0.20944511575297545</v>
      </c>
      <c r="J26" s="30">
        <f t="shared" si="5"/>
        <v>282.46606090909285</v>
      </c>
      <c r="K26" s="30">
        <f t="shared" si="3"/>
        <v>10.86407926573434</v>
      </c>
      <c r="L26" s="15">
        <v>134</v>
      </c>
      <c r="M26" s="31">
        <f t="shared" si="6"/>
        <v>0.19402985074626866</v>
      </c>
      <c r="N26" s="15">
        <v>19</v>
      </c>
      <c r="O26" s="32">
        <f t="shared" ref="O26:P26" si="34">D26/7</f>
        <v>3.7142857142857144</v>
      </c>
      <c r="P26" s="32">
        <f t="shared" si="34"/>
        <v>0</v>
      </c>
      <c r="Q26" s="27">
        <f t="shared" si="8"/>
        <v>5</v>
      </c>
      <c r="R26" s="27"/>
      <c r="S26" s="41">
        <v>9.9</v>
      </c>
      <c r="T26" s="26">
        <v>932</v>
      </c>
      <c r="U26" s="34">
        <v>532</v>
      </c>
      <c r="V26" s="35" t="s">
        <v>1474</v>
      </c>
      <c r="W26" s="40">
        <v>1</v>
      </c>
      <c r="X26" s="36">
        <f t="shared" si="9"/>
        <v>3.8461538461538464E-2</v>
      </c>
      <c r="Y26" s="37">
        <f t="shared" si="10"/>
        <v>1.89</v>
      </c>
      <c r="Z26" s="40">
        <v>0</v>
      </c>
      <c r="AA26" s="26" t="s">
        <v>250</v>
      </c>
      <c r="AB26" s="38">
        <f t="shared" si="11"/>
        <v>-0.48</v>
      </c>
      <c r="AC26" s="40">
        <v>1.0771067708333335</v>
      </c>
      <c r="AD26" s="37">
        <f t="shared" si="12"/>
        <v>-26.884585000000001</v>
      </c>
      <c r="AE26" s="42">
        <v>-13.6</v>
      </c>
      <c r="AF26" s="42">
        <v>-18.519359772727199</v>
      </c>
      <c r="AG26" s="42">
        <v>0</v>
      </c>
    </row>
    <row r="27" spans="1:33" ht="15.75" customHeight="1" x14ac:dyDescent="0.2">
      <c r="A27" s="40" t="s">
        <v>77</v>
      </c>
      <c r="B27" s="40" t="s">
        <v>76</v>
      </c>
      <c r="C27" s="14">
        <f t="shared" si="4"/>
        <v>52.99</v>
      </c>
      <c r="D27" s="15">
        <v>12</v>
      </c>
      <c r="E27" s="15">
        <v>0</v>
      </c>
      <c r="F27" s="16">
        <v>635.88</v>
      </c>
      <c r="G27" s="16">
        <v>-0.22</v>
      </c>
      <c r="H27" s="29">
        <f t="shared" si="1"/>
        <v>3.459772284078757E-4</v>
      </c>
      <c r="I27" s="29">
        <f t="shared" si="2"/>
        <v>0.22400046034986712</v>
      </c>
      <c r="J27" s="30">
        <f t="shared" si="5"/>
        <v>142.43741272727351</v>
      </c>
      <c r="K27" s="30">
        <f t="shared" si="3"/>
        <v>11.86978439393946</v>
      </c>
      <c r="L27" s="15">
        <v>31</v>
      </c>
      <c r="M27" s="31">
        <f t="shared" si="6"/>
        <v>0.38709677419354838</v>
      </c>
      <c r="N27" s="15">
        <v>4</v>
      </c>
      <c r="O27" s="32">
        <f t="shared" ref="O27:P27" si="35">D27/7</f>
        <v>1.7142857142857142</v>
      </c>
      <c r="P27" s="32">
        <f t="shared" si="35"/>
        <v>0</v>
      </c>
      <c r="Q27" s="27">
        <f t="shared" si="8"/>
        <v>2</v>
      </c>
      <c r="R27" s="27"/>
      <c r="S27" s="41">
        <v>3.7795275590551181</v>
      </c>
      <c r="T27" s="26">
        <v>932</v>
      </c>
      <c r="U27" s="34">
        <v>532</v>
      </c>
      <c r="V27" s="35" t="s">
        <v>1475</v>
      </c>
      <c r="W27" s="40">
        <v>2</v>
      </c>
      <c r="X27" s="36">
        <f t="shared" si="9"/>
        <v>0.16666666666666666</v>
      </c>
      <c r="Y27" s="37">
        <f t="shared" si="10"/>
        <v>0.11</v>
      </c>
      <c r="Z27" s="40">
        <v>0</v>
      </c>
      <c r="AA27" s="26" t="s">
        <v>250</v>
      </c>
      <c r="AB27" s="38">
        <f t="shared" si="11"/>
        <v>-0.48</v>
      </c>
      <c r="AC27" s="39">
        <v>1.0771067708333335</v>
      </c>
      <c r="AD27" s="37">
        <f t="shared" si="12"/>
        <v>-12.408270000000002</v>
      </c>
      <c r="AE27" s="42">
        <v>-13.6</v>
      </c>
      <c r="AF27" s="42">
        <v>-18.519359772727199</v>
      </c>
      <c r="AG27" s="42">
        <v>0</v>
      </c>
    </row>
    <row r="28" spans="1:33" ht="15.75" customHeight="1" x14ac:dyDescent="0.2">
      <c r="A28" s="40" t="s">
        <v>79</v>
      </c>
      <c r="B28" s="40" t="s">
        <v>76</v>
      </c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1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4.7307692307692308</v>
      </c>
      <c r="T28" s="40" t="s">
        <v>34</v>
      </c>
      <c r="U28" s="22">
        <v>732</v>
      </c>
      <c r="V28" s="1" t="s">
        <v>1476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1.0771067708333335</v>
      </c>
      <c r="AD28" s="37">
        <f t="shared" si="12"/>
        <v>0</v>
      </c>
      <c r="AE28" s="42">
        <v>-13.6</v>
      </c>
      <c r="AF28" s="42">
        <v>-18.519359772727199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7.2352941176470589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1.0771067708333335</v>
      </c>
      <c r="AD29" s="37">
        <f t="shared" si="12"/>
        <v>0</v>
      </c>
      <c r="AE29" s="37">
        <v>-13.6</v>
      </c>
      <c r="AF29" s="42">
        <v>-18.519359772727199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10.04081632653061</v>
      </c>
      <c r="T30" s="26">
        <v>732</v>
      </c>
      <c r="U30" s="34">
        <v>532</v>
      </c>
      <c r="V30" s="35" t="s">
        <v>1477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1.0771067708333335</v>
      </c>
      <c r="AD30" s="37">
        <f t="shared" si="12"/>
        <v>0</v>
      </c>
      <c r="AE30" s="42">
        <v>-13.6</v>
      </c>
      <c r="AF30" s="42">
        <v>-22.993789727500001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>
        <v>3.4647887323943598</v>
      </c>
      <c r="T31" s="40">
        <v>-200</v>
      </c>
      <c r="U31" s="22">
        <v>200</v>
      </c>
      <c r="V31" s="1" t="s">
        <v>1478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1.0771067708333335</v>
      </c>
      <c r="AD31" s="37">
        <f t="shared" si="12"/>
        <v>0</v>
      </c>
      <c r="AE31" s="45">
        <v>-13.6</v>
      </c>
      <c r="AF31" s="45">
        <v>-22.993789727500001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>
        <f t="shared" si="4"/>
        <v>52.99</v>
      </c>
      <c r="D32" s="15">
        <v>2</v>
      </c>
      <c r="E32" s="15">
        <v>0</v>
      </c>
      <c r="F32" s="16">
        <v>105.98</v>
      </c>
      <c r="G32" s="16">
        <v>-0.28999999999999998</v>
      </c>
      <c r="H32" s="29">
        <f t="shared" si="1"/>
        <v>2.7363653519531985E-3</v>
      </c>
      <c r="I32" s="29">
        <f t="shared" si="2"/>
        <v>0.13717093361955077</v>
      </c>
      <c r="J32" s="30">
        <f t="shared" si="5"/>
        <v>14.537375544999991</v>
      </c>
      <c r="K32" s="30">
        <f t="shared" si="3"/>
        <v>7.2686877724999954</v>
      </c>
      <c r="L32" s="15">
        <v>17</v>
      </c>
      <c r="M32" s="31">
        <f t="shared" si="6"/>
        <v>0.11764705882352941</v>
      </c>
      <c r="N32" s="15">
        <v>0</v>
      </c>
      <c r="O32" s="32">
        <f t="shared" ref="O32:P32" si="40">D32/7</f>
        <v>0.2857142857142857</v>
      </c>
      <c r="P32" s="32">
        <f t="shared" si="40"/>
        <v>0</v>
      </c>
      <c r="Q32" s="27">
        <f t="shared" si="8"/>
        <v>0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IFERROR(__xludf.DUMMYFUNCTION("IFERROR(VLOOKUP($B$2,IMPORTRANGE(""https://docs.google.com/spreadsheets/d/1KiWZV1ko8G7lnRucBRBd29jj3Be6ltMfljMDqzOkQmI/edit#gid=1381463014"",""Lookup!A:D""),4,FALSE),"""")"),-200)</f>
        <v>-200</v>
      </c>
      <c r="U32" s="22">
        <f ca="1">IFERROR(__xludf.DUMMYFUNCTION("IFERROR(VLOOKUP($B$2,IMPORTRANGE(""https://docs.google.com/spreadsheets/d/1KiWZV1ko8G7lnRucBRBd29jj3Be6ltMfljMDqzOkQmI/edit#gid=1381463014"",""Lookup!A:D""),3,FALSE),"""")"),200)</f>
        <v>200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AGL220  - 200 units 08/13")</f>
        <v>| AGL220  - 200 units 08/13</v>
      </c>
      <c r="W32" s="40">
        <v>1</v>
      </c>
      <c r="X32" s="36">
        <f t="shared" si="9"/>
        <v>0.5</v>
      </c>
      <c r="Y32" s="37">
        <f t="shared" si="10"/>
        <v>0.28999999999999998</v>
      </c>
      <c r="Z32" s="40">
        <v>0</v>
      </c>
      <c r="AA32" s="40" t="s">
        <v>250</v>
      </c>
      <c r="AB32" s="38">
        <f t="shared" si="11"/>
        <v>-0.48</v>
      </c>
      <c r="AC32" s="44">
        <v>1.0771067708333335</v>
      </c>
      <c r="AD32" s="37">
        <f t="shared" si="12"/>
        <v>-2.0680450000000001</v>
      </c>
      <c r="AE32" s="42">
        <v>-13.6</v>
      </c>
      <c r="AF32" s="42">
        <v>-22.993789727500001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11.1640625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5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Info!B1:BJ5000""),3,FALSE),"""")"),"2 Gallon Glass Beverage Dispenser 2 Pack with Sturdy Metal Base, Stainless Steel Spigot &amp; Hanging Chalkboards - Outdoor Double Drink Dispensers for Lemonade, Tea, Cold Water &amp; More")</f>
        <v>2 Gallon Glass Beverage Dispenser 2 Pack with Sturdy Metal Base, Stainless Steel Spigot &amp; Hanging Chalkboards - Outdoor Double Drink Dispensers for Lemonade, Tea, Cold Water &amp; More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Info!B1:BJ5000""),2,FALSE),"""")"),"B07PRM7Y2Q")</f>
        <v>B07PRM7Y2Q</v>
      </c>
      <c r="B2" s="3" t="s">
        <v>1479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138.75" customHeight="1" x14ac:dyDescent="0.2">
      <c r="A3" s="68" t="s">
        <v>31</v>
      </c>
      <c r="B3" s="69"/>
      <c r="C3" s="48">
        <f>((AE32+AF32)/0.85)*-1</f>
        <v>65.267950294117639</v>
      </c>
      <c r="D3" s="5">
        <f>SUM(D4:D99767)</f>
        <v>208</v>
      </c>
      <c r="E3" s="5"/>
      <c r="F3" s="6">
        <f t="shared" ref="F3:G3" si="0">SUM(F4:F99767)</f>
        <v>16090.539999999995</v>
      </c>
      <c r="G3" s="6">
        <f t="shared" si="0"/>
        <v>-21.400000000000002</v>
      </c>
      <c r="H3" s="7">
        <f>G3/F3*-1</f>
        <v>1.3299740095733274E-3</v>
      </c>
      <c r="I3" s="8">
        <f>J3/F3</f>
        <v>0.21143521258945278</v>
      </c>
      <c r="J3" s="6">
        <f>SUM(J4:J99767)</f>
        <v>3402.1067455790926</v>
      </c>
      <c r="K3" s="6">
        <f>J3/D3</f>
        <v>16.356282430668713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3 - May
8 - June
8 - July
6 - Aug
3 - Sept
2 - Oct
2 - Nov
2 - Dec
1 - Jan
1 - Feb")</f>
        <v>1 - March
1 - April
3 - May
8 - June
8 - July
6 - Aug
3 - Sept
2 - Oct
2 -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14</v>
      </c>
      <c r="X3" s="7">
        <f>W3/D3</f>
        <v>6.7307692307692304E-2</v>
      </c>
      <c r="Y3" s="6"/>
      <c r="Z3" s="5"/>
      <c r="AA3" s="5"/>
      <c r="AB3" s="5"/>
      <c r="AC3" s="5"/>
      <c r="AD3" s="6">
        <f>SUM(AD4:AD99767)</f>
        <v>-322.34592207999998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Info!B2:BZ3000""),37,FALSE)),"""")*-1"),-39.21775775)</f>
        <v>-39.217757749999997</v>
      </c>
      <c r="AG3" s="6">
        <f>SUM(AG4:AG99767)</f>
        <v>0</v>
      </c>
    </row>
    <row r="4" spans="1:33" hidden="1" x14ac:dyDescent="0.2">
      <c r="A4" s="1"/>
      <c r="B4" s="2"/>
      <c r="C4" s="14"/>
      <c r="D4" s="15"/>
      <c r="E4" s="15"/>
      <c r="F4" s="16"/>
      <c r="G4" s="16"/>
      <c r="H4" s="17"/>
      <c r="I4" s="17"/>
      <c r="J4" s="16"/>
      <c r="K4" s="16"/>
      <c r="L4" s="15"/>
      <c r="M4" s="18"/>
      <c r="N4" s="15"/>
      <c r="O4" s="19"/>
      <c r="P4" s="19"/>
      <c r="Q4" s="15"/>
      <c r="R4" s="15"/>
      <c r="S4" s="20"/>
      <c r="T4" s="2"/>
      <c r="U4" s="2"/>
      <c r="V4" s="21"/>
      <c r="W4" s="22"/>
      <c r="X4" s="23"/>
      <c r="Y4" s="24"/>
      <c r="Z4" s="22"/>
      <c r="AA4" s="2"/>
      <c r="AB4" s="24"/>
      <c r="AC4" s="25"/>
      <c r="AD4" s="24"/>
      <c r="AE4" s="24"/>
      <c r="AF4" s="24"/>
      <c r="AG4" s="24"/>
    </row>
    <row r="5" spans="1:33" ht="15.75" hidden="1" customHeight="1" x14ac:dyDescent="0.2">
      <c r="A5" s="26"/>
      <c r="B5" s="26"/>
      <c r="C5" s="14"/>
      <c r="D5" s="27"/>
      <c r="E5" s="27"/>
      <c r="F5" s="28"/>
      <c r="G5" s="28"/>
      <c r="H5" s="29"/>
      <c r="I5" s="29"/>
      <c r="J5" s="30"/>
      <c r="K5" s="30"/>
      <c r="L5" s="27"/>
      <c r="M5" s="31"/>
      <c r="N5" s="27"/>
      <c r="O5" s="32"/>
      <c r="P5" s="32"/>
      <c r="Q5" s="27"/>
      <c r="R5" s="27"/>
      <c r="S5" s="33"/>
      <c r="T5" s="26"/>
      <c r="U5" s="34"/>
      <c r="V5" s="35"/>
      <c r="W5" s="26"/>
      <c r="X5" s="36"/>
      <c r="Y5" s="37"/>
      <c r="Z5" s="26"/>
      <c r="AA5" s="26"/>
      <c r="AB5" s="38"/>
      <c r="AC5" s="39"/>
      <c r="AD5" s="37"/>
      <c r="AE5" s="37"/>
      <c r="AF5" s="37"/>
      <c r="AG5" s="37"/>
    </row>
    <row r="6" spans="1:33" ht="15.75" hidden="1" customHeight="1" x14ac:dyDescent="0.2">
      <c r="A6" s="26"/>
      <c r="B6" s="26"/>
      <c r="C6" s="14"/>
      <c r="D6" s="27"/>
      <c r="E6" s="27"/>
      <c r="F6" s="28"/>
      <c r="G6" s="28"/>
      <c r="H6" s="29"/>
      <c r="I6" s="29"/>
      <c r="J6" s="30"/>
      <c r="K6" s="30"/>
      <c r="L6" s="27"/>
      <c r="M6" s="31"/>
      <c r="N6" s="27"/>
      <c r="O6" s="32"/>
      <c r="P6" s="32"/>
      <c r="Q6" s="27"/>
      <c r="R6" s="27"/>
      <c r="S6" s="33"/>
      <c r="T6" s="26"/>
      <c r="U6" s="34"/>
      <c r="V6" s="35"/>
      <c r="W6" s="26"/>
      <c r="X6" s="36"/>
      <c r="Y6" s="37"/>
      <c r="Z6" s="26"/>
      <c r="AA6" s="26"/>
      <c r="AB6" s="38"/>
      <c r="AC6" s="39"/>
      <c r="AD6" s="37"/>
      <c r="AE6" s="37"/>
      <c r="AF6" s="37"/>
      <c r="AG6" s="37"/>
    </row>
    <row r="7" spans="1:33" ht="15.75" hidden="1" customHeight="1" x14ac:dyDescent="0.2">
      <c r="A7" s="26"/>
      <c r="B7" s="26"/>
      <c r="C7" s="14"/>
      <c r="D7" s="27"/>
      <c r="E7" s="27"/>
      <c r="F7" s="28"/>
      <c r="G7" s="28"/>
      <c r="H7" s="29"/>
      <c r="I7" s="29"/>
      <c r="J7" s="30"/>
      <c r="K7" s="30"/>
      <c r="L7" s="27"/>
      <c r="M7" s="31"/>
      <c r="N7" s="27"/>
      <c r="O7" s="32"/>
      <c r="P7" s="32"/>
      <c r="Q7" s="27"/>
      <c r="R7" s="27"/>
      <c r="S7" s="33"/>
      <c r="T7" s="26"/>
      <c r="U7" s="34"/>
      <c r="V7" s="35"/>
      <c r="W7" s="26"/>
      <c r="X7" s="36"/>
      <c r="Y7" s="37"/>
      <c r="Z7" s="26"/>
      <c r="AA7" s="26"/>
      <c r="AB7" s="38"/>
      <c r="AC7" s="39"/>
      <c r="AD7" s="37"/>
      <c r="AE7" s="37"/>
      <c r="AF7" s="37"/>
      <c r="AG7" s="37"/>
    </row>
    <row r="8" spans="1:33" ht="15.75" hidden="1" customHeight="1" x14ac:dyDescent="0.2">
      <c r="A8" s="26"/>
      <c r="B8" s="26"/>
      <c r="C8" s="14"/>
      <c r="D8" s="27"/>
      <c r="E8" s="27"/>
      <c r="F8" s="28"/>
      <c r="G8" s="28"/>
      <c r="H8" s="29"/>
      <c r="I8" s="29"/>
      <c r="J8" s="30"/>
      <c r="K8" s="30"/>
      <c r="L8" s="27"/>
      <c r="M8" s="31"/>
      <c r="N8" s="27"/>
      <c r="O8" s="32"/>
      <c r="P8" s="32"/>
      <c r="Q8" s="27"/>
      <c r="R8" s="27"/>
      <c r="S8" s="33"/>
      <c r="T8" s="26"/>
      <c r="U8" s="34"/>
      <c r="V8" s="35"/>
      <c r="W8" s="26"/>
      <c r="X8" s="36"/>
      <c r="Y8" s="37"/>
      <c r="Z8" s="26"/>
      <c r="AA8" s="26"/>
      <c r="AB8" s="38"/>
      <c r="AC8" s="39"/>
      <c r="AD8" s="37"/>
      <c r="AE8" s="37"/>
      <c r="AF8" s="37"/>
      <c r="AG8" s="37"/>
    </row>
    <row r="9" spans="1:33" ht="15.75" hidden="1" customHeight="1" x14ac:dyDescent="0.2">
      <c r="A9" s="26"/>
      <c r="B9" s="26"/>
      <c r="C9" s="14"/>
      <c r="D9" s="27"/>
      <c r="E9" s="27"/>
      <c r="F9" s="28"/>
      <c r="G9" s="28"/>
      <c r="H9" s="29"/>
      <c r="I9" s="29"/>
      <c r="J9" s="30"/>
      <c r="K9" s="30"/>
      <c r="L9" s="27"/>
      <c r="M9" s="31"/>
      <c r="N9" s="27"/>
      <c r="O9" s="32"/>
      <c r="P9" s="32"/>
      <c r="Q9" s="27"/>
      <c r="R9" s="27"/>
      <c r="S9" s="33"/>
      <c r="T9" s="26"/>
      <c r="U9" s="34"/>
      <c r="V9" s="35"/>
      <c r="W9" s="26"/>
      <c r="X9" s="36"/>
      <c r="Y9" s="37"/>
      <c r="Z9" s="26"/>
      <c r="AA9" s="26"/>
      <c r="AB9" s="38"/>
      <c r="AC9" s="39"/>
      <c r="AD9" s="37"/>
      <c r="AE9" s="37"/>
      <c r="AF9" s="37"/>
      <c r="AG9" s="37"/>
    </row>
    <row r="10" spans="1:33" ht="15.75" hidden="1" customHeight="1" x14ac:dyDescent="0.2">
      <c r="A10" s="26"/>
      <c r="B10" s="26"/>
      <c r="C10" s="14"/>
      <c r="D10" s="27"/>
      <c r="E10" s="27"/>
      <c r="F10" s="28"/>
      <c r="G10" s="28"/>
      <c r="H10" s="29"/>
      <c r="I10" s="29"/>
      <c r="J10" s="30"/>
      <c r="K10" s="30"/>
      <c r="L10" s="27"/>
      <c r="M10" s="31"/>
      <c r="N10" s="27"/>
      <c r="O10" s="32"/>
      <c r="P10" s="32"/>
      <c r="Q10" s="27"/>
      <c r="R10" s="27"/>
      <c r="S10" s="33"/>
      <c r="T10" s="26"/>
      <c r="U10" s="34"/>
      <c r="V10" s="35"/>
      <c r="W10" s="26"/>
      <c r="X10" s="36"/>
      <c r="Y10" s="37"/>
      <c r="Z10" s="26"/>
      <c r="AA10" s="26"/>
      <c r="AB10" s="38"/>
      <c r="AC10" s="39"/>
      <c r="AD10" s="37"/>
      <c r="AE10" s="37"/>
      <c r="AF10" s="37"/>
      <c r="AG10" s="37"/>
    </row>
    <row r="11" spans="1:33" ht="15.75" hidden="1" customHeight="1" x14ac:dyDescent="0.2">
      <c r="A11" s="26"/>
      <c r="B11" s="26"/>
      <c r="C11" s="14"/>
      <c r="D11" s="27"/>
      <c r="E11" s="27"/>
      <c r="F11" s="28"/>
      <c r="G11" s="28"/>
      <c r="H11" s="29"/>
      <c r="I11" s="29"/>
      <c r="J11" s="30"/>
      <c r="K11" s="30"/>
      <c r="L11" s="27"/>
      <c r="M11" s="31"/>
      <c r="N11" s="27"/>
      <c r="O11" s="32"/>
      <c r="P11" s="32"/>
      <c r="Q11" s="27"/>
      <c r="R11" s="27"/>
      <c r="S11" s="33"/>
      <c r="T11" s="26"/>
      <c r="U11" s="34"/>
      <c r="V11" s="35"/>
      <c r="W11" s="26"/>
      <c r="X11" s="36"/>
      <c r="Y11" s="37"/>
      <c r="Z11" s="26"/>
      <c r="AA11" s="26"/>
      <c r="AB11" s="38"/>
      <c r="AC11" s="39"/>
      <c r="AD11" s="37"/>
      <c r="AE11" s="37"/>
      <c r="AF11" s="37"/>
      <c r="AG11" s="37"/>
    </row>
    <row r="12" spans="1:33" ht="15.75" hidden="1" customHeight="1" x14ac:dyDescent="0.2">
      <c r="A12" s="26"/>
      <c r="B12" s="26"/>
      <c r="C12" s="14"/>
      <c r="D12" s="27"/>
      <c r="E12" s="27"/>
      <c r="F12" s="28"/>
      <c r="G12" s="28"/>
      <c r="H12" s="29"/>
      <c r="I12" s="29"/>
      <c r="J12" s="30"/>
      <c r="K12" s="30"/>
      <c r="L12" s="27"/>
      <c r="M12" s="31"/>
      <c r="N12" s="27"/>
      <c r="O12" s="32"/>
      <c r="P12" s="32"/>
      <c r="Q12" s="27"/>
      <c r="R12" s="27"/>
      <c r="S12" s="33"/>
      <c r="T12" s="26"/>
      <c r="U12" s="34"/>
      <c r="V12" s="35"/>
      <c r="W12" s="26"/>
      <c r="X12" s="36"/>
      <c r="Y12" s="37"/>
      <c r="Z12" s="26"/>
      <c r="AA12" s="26"/>
      <c r="AB12" s="38"/>
      <c r="AC12" s="39"/>
      <c r="AD12" s="37"/>
      <c r="AE12" s="37"/>
      <c r="AF12" s="37"/>
      <c r="AG12" s="37"/>
    </row>
    <row r="13" spans="1:33" ht="15.75" hidden="1" customHeight="1" x14ac:dyDescent="0.2">
      <c r="A13" s="26"/>
      <c r="B13" s="26"/>
      <c r="C13" s="14"/>
      <c r="D13" s="27"/>
      <c r="E13" s="27"/>
      <c r="F13" s="30"/>
      <c r="G13" s="28"/>
      <c r="H13" s="29"/>
      <c r="I13" s="29"/>
      <c r="J13" s="30"/>
      <c r="K13" s="30"/>
      <c r="L13" s="27"/>
      <c r="M13" s="31"/>
      <c r="N13" s="27"/>
      <c r="O13" s="32"/>
      <c r="P13" s="32"/>
      <c r="Q13" s="27"/>
      <c r="R13" s="27"/>
      <c r="S13" s="33"/>
      <c r="T13" s="26"/>
      <c r="U13" s="34"/>
      <c r="V13" s="35"/>
      <c r="W13" s="26"/>
      <c r="X13" s="36"/>
      <c r="Y13" s="37"/>
      <c r="Z13" s="26"/>
      <c r="AA13" s="26"/>
      <c r="AB13" s="38"/>
      <c r="AC13" s="39"/>
      <c r="AD13" s="37"/>
      <c r="AE13" s="37"/>
      <c r="AF13" s="37"/>
      <c r="AG13" s="37"/>
    </row>
    <row r="14" spans="1:33" ht="15.75" hidden="1" customHeight="1" x14ac:dyDescent="0.2">
      <c r="A14" s="26"/>
      <c r="B14" s="26"/>
      <c r="C14" s="14"/>
      <c r="D14" s="27"/>
      <c r="E14" s="27"/>
      <c r="F14" s="30"/>
      <c r="G14" s="28"/>
      <c r="H14" s="29"/>
      <c r="I14" s="29"/>
      <c r="J14" s="30"/>
      <c r="K14" s="30"/>
      <c r="L14" s="27"/>
      <c r="M14" s="31"/>
      <c r="N14" s="27"/>
      <c r="O14" s="32"/>
      <c r="P14" s="32"/>
      <c r="Q14" s="27"/>
      <c r="R14" s="27"/>
      <c r="S14" s="33"/>
      <c r="T14" s="26"/>
      <c r="U14" s="34"/>
      <c r="V14" s="35"/>
      <c r="W14" s="26"/>
      <c r="X14" s="36"/>
      <c r="Y14" s="37"/>
      <c r="Z14" s="26"/>
      <c r="AA14" s="26"/>
      <c r="AB14" s="38"/>
      <c r="AC14" s="39"/>
      <c r="AD14" s="37"/>
      <c r="AE14" s="37"/>
      <c r="AF14" s="37"/>
      <c r="AG14" s="37"/>
    </row>
    <row r="15" spans="1:33" ht="15.75" hidden="1" customHeight="1" x14ac:dyDescent="0.2">
      <c r="A15" s="26"/>
      <c r="B15" s="26"/>
      <c r="C15" s="14"/>
      <c r="D15" s="27"/>
      <c r="E15" s="27"/>
      <c r="F15" s="30"/>
      <c r="G15" s="28"/>
      <c r="H15" s="29"/>
      <c r="I15" s="29"/>
      <c r="J15" s="30"/>
      <c r="K15" s="30"/>
      <c r="L15" s="27"/>
      <c r="M15" s="31"/>
      <c r="N15" s="27"/>
      <c r="O15" s="32"/>
      <c r="P15" s="32"/>
      <c r="Q15" s="27"/>
      <c r="R15" s="27"/>
      <c r="S15" s="33"/>
      <c r="T15" s="26"/>
      <c r="U15" s="34"/>
      <c r="V15" s="35"/>
      <c r="W15" s="26"/>
      <c r="X15" s="36"/>
      <c r="Y15" s="37"/>
      <c r="Z15" s="26"/>
      <c r="AA15" s="26"/>
      <c r="AB15" s="38"/>
      <c r="AC15" s="39"/>
      <c r="AD15" s="37"/>
      <c r="AE15" s="37"/>
      <c r="AF15" s="37"/>
      <c r="AG15" s="37"/>
    </row>
    <row r="16" spans="1:33" ht="15.75" hidden="1" customHeight="1" x14ac:dyDescent="0.2">
      <c r="A16" s="26"/>
      <c r="B16" s="26"/>
      <c r="C16" s="14"/>
      <c r="D16" s="27"/>
      <c r="E16" s="27"/>
      <c r="F16" s="30"/>
      <c r="G16" s="28"/>
      <c r="H16" s="29"/>
      <c r="I16" s="29"/>
      <c r="J16" s="30"/>
      <c r="K16" s="30"/>
      <c r="L16" s="27"/>
      <c r="M16" s="31"/>
      <c r="N16" s="27"/>
      <c r="O16" s="32"/>
      <c r="P16" s="32"/>
      <c r="Q16" s="27"/>
      <c r="R16" s="27"/>
      <c r="S16" s="33"/>
      <c r="T16" s="26"/>
      <c r="U16" s="34"/>
      <c r="V16" s="35"/>
      <c r="W16" s="26"/>
      <c r="X16" s="36"/>
      <c r="Y16" s="37"/>
      <c r="Z16" s="26"/>
      <c r="AA16" s="26"/>
      <c r="AB16" s="38"/>
      <c r="AC16" s="39"/>
      <c r="AD16" s="37"/>
      <c r="AE16" s="37"/>
      <c r="AF16" s="37"/>
      <c r="AG16" s="37"/>
    </row>
    <row r="17" spans="1:33" ht="15.75" hidden="1" customHeight="1" x14ac:dyDescent="0.2">
      <c r="A17" s="26"/>
      <c r="B17" s="26"/>
      <c r="C17" s="14"/>
      <c r="D17" s="27"/>
      <c r="E17" s="27"/>
      <c r="F17" s="30"/>
      <c r="G17" s="28"/>
      <c r="H17" s="29"/>
      <c r="I17" s="29"/>
      <c r="J17" s="30"/>
      <c r="K17" s="30"/>
      <c r="L17" s="27"/>
      <c r="M17" s="31"/>
      <c r="N17" s="27"/>
      <c r="O17" s="32"/>
      <c r="P17" s="32"/>
      <c r="Q17" s="27"/>
      <c r="R17" s="27"/>
      <c r="S17" s="33"/>
      <c r="T17" s="26"/>
      <c r="U17" s="34"/>
      <c r="V17" s="35"/>
      <c r="W17" s="26"/>
      <c r="X17" s="36"/>
      <c r="Y17" s="37"/>
      <c r="Z17" s="26"/>
      <c r="AA17" s="26"/>
      <c r="AB17" s="38"/>
      <c r="AC17" s="39"/>
      <c r="AD17" s="37"/>
      <c r="AE17" s="37"/>
      <c r="AF17" s="37"/>
      <c r="AG17" s="37"/>
    </row>
    <row r="18" spans="1:33" ht="15.75" hidden="1" customHeight="1" x14ac:dyDescent="0.2">
      <c r="A18" s="26"/>
      <c r="B18" s="26"/>
      <c r="C18" s="14"/>
      <c r="D18" s="27"/>
      <c r="E18" s="27"/>
      <c r="F18" s="30"/>
      <c r="G18" s="28"/>
      <c r="H18" s="29"/>
      <c r="I18" s="29"/>
      <c r="J18" s="30"/>
      <c r="K18" s="30"/>
      <c r="L18" s="27"/>
      <c r="M18" s="31"/>
      <c r="N18" s="27"/>
      <c r="O18" s="32"/>
      <c r="P18" s="32"/>
      <c r="Q18" s="27"/>
      <c r="R18" s="27"/>
      <c r="S18" s="33"/>
      <c r="T18" s="26"/>
      <c r="U18" s="34"/>
      <c r="V18" s="35"/>
      <c r="W18" s="26"/>
      <c r="X18" s="36"/>
      <c r="Y18" s="37"/>
      <c r="Z18" s="26"/>
      <c r="AA18" s="26"/>
      <c r="AB18" s="38"/>
      <c r="AC18" s="39"/>
      <c r="AD18" s="37"/>
      <c r="AE18" s="37"/>
      <c r="AF18" s="37"/>
      <c r="AG18" s="37"/>
    </row>
    <row r="19" spans="1:33" ht="15.75" hidden="1" customHeight="1" x14ac:dyDescent="0.2">
      <c r="A19" s="26"/>
      <c r="B19" s="26"/>
      <c r="C19" s="14"/>
      <c r="D19" s="27"/>
      <c r="E19" s="27"/>
      <c r="F19" s="30"/>
      <c r="G19" s="28"/>
      <c r="H19" s="29"/>
      <c r="I19" s="29"/>
      <c r="J19" s="30"/>
      <c r="K19" s="30"/>
      <c r="L19" s="27"/>
      <c r="M19" s="31"/>
      <c r="N19" s="27"/>
      <c r="O19" s="32"/>
      <c r="P19" s="32"/>
      <c r="Q19" s="27"/>
      <c r="R19" s="27"/>
      <c r="S19" s="33"/>
      <c r="T19" s="26"/>
      <c r="U19" s="34"/>
      <c r="V19" s="35"/>
      <c r="W19" s="26"/>
      <c r="X19" s="36"/>
      <c r="Y19" s="37"/>
      <c r="Z19" s="26"/>
      <c r="AA19" s="26"/>
      <c r="AB19" s="38"/>
      <c r="AC19" s="39"/>
      <c r="AD19" s="37"/>
      <c r="AE19" s="37"/>
      <c r="AF19" s="37"/>
      <c r="AG19" s="37"/>
    </row>
    <row r="20" spans="1:33" ht="15.75" hidden="1" customHeight="1" x14ac:dyDescent="0.2">
      <c r="A20" s="26"/>
      <c r="B20" s="26"/>
      <c r="C20" s="14"/>
      <c r="D20" s="27"/>
      <c r="E20" s="27"/>
      <c r="F20" s="30"/>
      <c r="G20" s="28"/>
      <c r="H20" s="29"/>
      <c r="I20" s="29"/>
      <c r="J20" s="30"/>
      <c r="K20" s="30"/>
      <c r="L20" s="27"/>
      <c r="M20" s="31"/>
      <c r="N20" s="27"/>
      <c r="O20" s="32"/>
      <c r="P20" s="32"/>
      <c r="Q20" s="27"/>
      <c r="R20" s="27"/>
      <c r="S20" s="33"/>
      <c r="T20" s="26"/>
      <c r="U20" s="34"/>
      <c r="V20" s="35"/>
      <c r="W20" s="26"/>
      <c r="X20" s="36"/>
      <c r="Y20" s="37"/>
      <c r="Z20" s="26"/>
      <c r="AA20" s="26"/>
      <c r="AB20" s="38"/>
      <c r="AC20" s="39"/>
      <c r="AD20" s="37"/>
      <c r="AE20" s="37"/>
      <c r="AF20" s="37"/>
      <c r="AG20" s="37"/>
    </row>
    <row r="21" spans="1:33" ht="15.75" hidden="1" customHeight="1" x14ac:dyDescent="0.2">
      <c r="A21" s="26"/>
      <c r="B21" s="26"/>
      <c r="C21" s="14"/>
      <c r="D21" s="27"/>
      <c r="E21" s="27"/>
      <c r="F21" s="30"/>
      <c r="G21" s="28"/>
      <c r="H21" s="29"/>
      <c r="I21" s="29"/>
      <c r="J21" s="30"/>
      <c r="K21" s="30"/>
      <c r="L21" s="27"/>
      <c r="M21" s="31"/>
      <c r="N21" s="27"/>
      <c r="O21" s="32"/>
      <c r="P21" s="32"/>
      <c r="Q21" s="27"/>
      <c r="R21" s="27"/>
      <c r="S21" s="33"/>
      <c r="T21" s="26"/>
      <c r="U21" s="34"/>
      <c r="V21" s="35"/>
      <c r="W21" s="26"/>
      <c r="X21" s="36"/>
      <c r="Y21" s="37"/>
      <c r="Z21" s="26"/>
      <c r="AA21" s="26"/>
      <c r="AB21" s="38"/>
      <c r="AC21" s="39"/>
      <c r="AD21" s="37"/>
      <c r="AE21" s="37"/>
      <c r="AF21" s="37"/>
      <c r="AG21" s="37"/>
    </row>
    <row r="22" spans="1:33" ht="15.75" customHeight="1" x14ac:dyDescent="0.2">
      <c r="A22" s="26" t="s">
        <v>67</v>
      </c>
      <c r="B22" s="26" t="s">
        <v>1480</v>
      </c>
      <c r="C22" s="14">
        <f t="shared" ref="C22:C32" si="1">IFERROR(F22/D22," - ")</f>
        <v>75.989999999999995</v>
      </c>
      <c r="D22" s="27">
        <v>12</v>
      </c>
      <c r="E22" s="27">
        <v>0</v>
      </c>
      <c r="F22" s="28">
        <v>911.88</v>
      </c>
      <c r="G22" s="28">
        <v>-0.65999999999999992</v>
      </c>
      <c r="H22" s="29">
        <f t="shared" ref="H22:H32" si="2">G22/F22*-1</f>
        <v>7.2377944466377143E-4</v>
      </c>
      <c r="I22" s="29">
        <f t="shared" ref="I22:I32" si="3">J22/F22</f>
        <v>0.20389741460000718</v>
      </c>
      <c r="J22" s="30">
        <f t="shared" ref="J22:J32" si="4">F22*0.85+G22+AF22*D22+D22*AE22+AG22+AD22</f>
        <v>185.92997442545456</v>
      </c>
      <c r="K22" s="30">
        <f t="shared" ref="K22:K32" si="5">J22/D22</f>
        <v>15.494164535454546</v>
      </c>
      <c r="L22" s="27">
        <v>34</v>
      </c>
      <c r="M22" s="31">
        <f t="shared" ref="M22:M32" si="6">IFERROR(D22/L22,"-")</f>
        <v>0.35294117647058826</v>
      </c>
      <c r="N22" s="27">
        <v>199</v>
      </c>
      <c r="O22" s="32">
        <f t="shared" ref="O22:P22" si="7">D22/7</f>
        <v>1.7142857142857142</v>
      </c>
      <c r="P22" s="32">
        <f t="shared" si="7"/>
        <v>0</v>
      </c>
      <c r="Q22" s="27">
        <f t="shared" ref="Q22:Q32" si="8">ROUNDDOWN(N22/(O22+P22),0)</f>
        <v>116</v>
      </c>
      <c r="R22" s="27"/>
      <c r="S22" s="33">
        <v>7.1748878923766801E-2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ref="X22:X32" si="9">IFERROR(W22/D22,0)</f>
        <v>0</v>
      </c>
      <c r="Y22" s="37">
        <f t="shared" ref="Y22:Y32" si="10">IFERROR(G22/(W22+Z22)*-1,0)</f>
        <v>0</v>
      </c>
      <c r="Z22" s="26">
        <v>0</v>
      </c>
      <c r="AA22" s="26" t="s">
        <v>250</v>
      </c>
      <c r="AB22" s="38">
        <f t="shared" ref="AB22:AB32" si="11">IF(OR(AA22="UsLargeStandardSize",AA22="UsSmallStandardSize"),-0.69,-0.48)</f>
        <v>-0.48</v>
      </c>
      <c r="AC22" s="39">
        <v>1.6143125104166667</v>
      </c>
      <c r="AD22" s="37">
        <f t="shared" ref="AD22:AD32" si="12">IFERROR(AB22*AC22*D22*2,0)</f>
        <v>-18.596880120000002</v>
      </c>
      <c r="AE22" s="37">
        <v>-15.86</v>
      </c>
      <c r="AF22" s="37">
        <v>-31.632595454545452</v>
      </c>
      <c r="AG22" s="37">
        <v>0</v>
      </c>
    </row>
    <row r="23" spans="1:33" ht="15.75" customHeight="1" x14ac:dyDescent="0.2">
      <c r="A23" s="26" t="s">
        <v>68</v>
      </c>
      <c r="B23" s="26" t="s">
        <v>1481</v>
      </c>
      <c r="C23" s="14">
        <f t="shared" si="1"/>
        <v>70.661190476190455</v>
      </c>
      <c r="D23" s="27">
        <v>42</v>
      </c>
      <c r="E23" s="27">
        <v>0</v>
      </c>
      <c r="F23" s="30">
        <v>2967.7699999999991</v>
      </c>
      <c r="G23" s="28">
        <v>-2.02</v>
      </c>
      <c r="H23" s="29">
        <f t="shared" si="2"/>
        <v>6.8064573737183158E-4</v>
      </c>
      <c r="I23" s="29">
        <f t="shared" si="3"/>
        <v>0.15527025695693739</v>
      </c>
      <c r="J23" s="30">
        <f t="shared" si="4"/>
        <v>460.80641048908996</v>
      </c>
      <c r="K23" s="30">
        <f t="shared" si="5"/>
        <v>10.97158120212119</v>
      </c>
      <c r="L23" s="27">
        <v>115</v>
      </c>
      <c r="M23" s="31">
        <f t="shared" si="6"/>
        <v>0.36521739130434783</v>
      </c>
      <c r="N23" s="27">
        <v>162</v>
      </c>
      <c r="O23" s="32">
        <f t="shared" ref="O23:P23" si="13">D23/7</f>
        <v>6</v>
      </c>
      <c r="P23" s="32">
        <f t="shared" si="13"/>
        <v>0</v>
      </c>
      <c r="Q23" s="27">
        <f t="shared" si="8"/>
        <v>27</v>
      </c>
      <c r="R23" s="27"/>
      <c r="S23" s="33">
        <v>0.60416666666666596</v>
      </c>
      <c r="T23" s="26">
        <v>1500</v>
      </c>
      <c r="U23" s="34">
        <v>300</v>
      </c>
      <c r="V23" s="35" t="s">
        <v>1482</v>
      </c>
      <c r="W23" s="26">
        <v>2</v>
      </c>
      <c r="X23" s="36">
        <f t="shared" si="9"/>
        <v>4.7619047619047616E-2</v>
      </c>
      <c r="Y23" s="37">
        <f t="shared" si="10"/>
        <v>1.01</v>
      </c>
      <c r="Z23" s="26">
        <v>0</v>
      </c>
      <c r="AA23" s="26" t="s">
        <v>250</v>
      </c>
      <c r="AB23" s="38">
        <f t="shared" si="11"/>
        <v>-0.48</v>
      </c>
      <c r="AC23" s="39">
        <v>1.6143125104166667</v>
      </c>
      <c r="AD23" s="37">
        <f t="shared" si="12"/>
        <v>-65.089080420000002</v>
      </c>
      <c r="AE23" s="37">
        <v>-15.86</v>
      </c>
      <c r="AF23" s="37">
        <v>-31.632595454545452</v>
      </c>
      <c r="AG23" s="37">
        <v>0</v>
      </c>
    </row>
    <row r="24" spans="1:33" ht="15.75" customHeight="1" x14ac:dyDescent="0.2">
      <c r="A24" s="26" t="s">
        <v>71</v>
      </c>
      <c r="B24" s="26" t="s">
        <v>1483</v>
      </c>
      <c r="C24" s="14">
        <f t="shared" si="1"/>
        <v>75.325945945945904</v>
      </c>
      <c r="D24" s="27">
        <v>37</v>
      </c>
      <c r="E24" s="27">
        <v>0</v>
      </c>
      <c r="F24" s="30">
        <v>2787.0599999999986</v>
      </c>
      <c r="G24" s="30">
        <v>-3.97</v>
      </c>
      <c r="H24" s="29">
        <f t="shared" si="2"/>
        <v>1.4244400909919422E-3</v>
      </c>
      <c r="I24" s="29">
        <f t="shared" si="3"/>
        <v>0.19750726134773477</v>
      </c>
      <c r="J24" s="30">
        <f t="shared" si="4"/>
        <v>550.46458781181741</v>
      </c>
      <c r="K24" s="30">
        <f t="shared" si="5"/>
        <v>14.877421292211281</v>
      </c>
      <c r="L24" s="27">
        <v>112</v>
      </c>
      <c r="M24" s="31">
        <f t="shared" si="6"/>
        <v>0.33035714285714285</v>
      </c>
      <c r="N24" s="27">
        <v>125</v>
      </c>
      <c r="O24" s="32">
        <f t="shared" ref="O24:P24" si="14">D24/7</f>
        <v>5.2857142857142856</v>
      </c>
      <c r="P24" s="32">
        <f t="shared" si="14"/>
        <v>0</v>
      </c>
      <c r="Q24" s="27">
        <f t="shared" si="8"/>
        <v>23</v>
      </c>
      <c r="R24" s="27"/>
      <c r="S24" s="33">
        <v>1.66233766233766</v>
      </c>
      <c r="T24" s="26">
        <v>1500</v>
      </c>
      <c r="U24" s="34">
        <v>300</v>
      </c>
      <c r="V24" s="35" t="s">
        <v>1482</v>
      </c>
      <c r="W24" s="26">
        <v>3</v>
      </c>
      <c r="X24" s="36">
        <f t="shared" si="9"/>
        <v>8.1081081081081086E-2</v>
      </c>
      <c r="Y24" s="37">
        <f t="shared" si="10"/>
        <v>1.3233333333333335</v>
      </c>
      <c r="Z24" s="26">
        <v>0</v>
      </c>
      <c r="AA24" s="26" t="s">
        <v>250</v>
      </c>
      <c r="AB24" s="38">
        <f t="shared" si="11"/>
        <v>-0.48</v>
      </c>
      <c r="AC24" s="39">
        <v>1.6143125104166667</v>
      </c>
      <c r="AD24" s="37">
        <f t="shared" si="12"/>
        <v>-57.340380370000005</v>
      </c>
      <c r="AE24" s="37">
        <v>-15.86</v>
      </c>
      <c r="AF24" s="37">
        <v>-31.632595454545452</v>
      </c>
      <c r="AG24" s="37">
        <v>0</v>
      </c>
    </row>
    <row r="25" spans="1:33" ht="15.75" customHeight="1" x14ac:dyDescent="0.2">
      <c r="A25" s="40" t="s">
        <v>73</v>
      </c>
      <c r="B25" s="40" t="s">
        <v>1484</v>
      </c>
      <c r="C25" s="14">
        <f t="shared" si="1"/>
        <v>79.453809523809525</v>
      </c>
      <c r="D25" s="15">
        <v>42</v>
      </c>
      <c r="E25" s="15">
        <v>0</v>
      </c>
      <c r="F25" s="16">
        <v>3337.06</v>
      </c>
      <c r="G25" s="16">
        <v>-5.3400000000000016</v>
      </c>
      <c r="H25" s="29">
        <f t="shared" si="2"/>
        <v>1.6002109641420896E-3</v>
      </c>
      <c r="I25" s="29">
        <f t="shared" si="3"/>
        <v>0.23118910645298546</v>
      </c>
      <c r="J25" s="30">
        <f t="shared" si="4"/>
        <v>771.4919195799996</v>
      </c>
      <c r="K25" s="30">
        <f t="shared" si="5"/>
        <v>18.368855228095228</v>
      </c>
      <c r="L25" s="15">
        <v>180</v>
      </c>
      <c r="M25" s="31">
        <f t="shared" si="6"/>
        <v>0.23333333333333334</v>
      </c>
      <c r="N25" s="15">
        <v>74</v>
      </c>
      <c r="O25" s="32">
        <f t="shared" ref="O25:P25" si="15">D25/7</f>
        <v>6</v>
      </c>
      <c r="P25" s="32">
        <f t="shared" si="15"/>
        <v>0</v>
      </c>
      <c r="Q25" s="27">
        <f t="shared" si="8"/>
        <v>12</v>
      </c>
      <c r="R25" s="27"/>
      <c r="S25" s="41">
        <v>4.4271844660194173</v>
      </c>
      <c r="T25" s="26">
        <v>1800</v>
      </c>
      <c r="U25" s="34">
        <v>300</v>
      </c>
      <c r="V25" s="35" t="s">
        <v>1485</v>
      </c>
      <c r="W25" s="40">
        <v>4</v>
      </c>
      <c r="X25" s="36">
        <f t="shared" si="9"/>
        <v>9.5238095238095233E-2</v>
      </c>
      <c r="Y25" s="37">
        <f t="shared" si="10"/>
        <v>1.0680000000000003</v>
      </c>
      <c r="Z25" s="40">
        <v>1</v>
      </c>
      <c r="AA25" s="26" t="s">
        <v>250</v>
      </c>
      <c r="AB25" s="38">
        <f t="shared" si="11"/>
        <v>-0.48</v>
      </c>
      <c r="AC25" s="39">
        <v>1.6143125104166667</v>
      </c>
      <c r="AD25" s="37">
        <f t="shared" si="12"/>
        <v>-65.089080420000002</v>
      </c>
      <c r="AE25" s="42">
        <v>-15.86</v>
      </c>
      <c r="AF25" s="42">
        <v>-31.63</v>
      </c>
      <c r="AG25" s="42">
        <v>0</v>
      </c>
    </row>
    <row r="26" spans="1:33" ht="15.75" customHeight="1" x14ac:dyDescent="0.2">
      <c r="A26" s="40" t="s">
        <v>75</v>
      </c>
      <c r="B26" s="40" t="s">
        <v>76</v>
      </c>
      <c r="C26" s="14">
        <f t="shared" si="1"/>
        <v>81.644285714285715</v>
      </c>
      <c r="D26" s="15">
        <v>56</v>
      </c>
      <c r="E26" s="15">
        <v>0</v>
      </c>
      <c r="F26" s="16">
        <v>4572.08</v>
      </c>
      <c r="G26" s="16">
        <v>-5.69</v>
      </c>
      <c r="H26" s="29">
        <f t="shared" si="2"/>
        <v>1.2445101573025845E-3</v>
      </c>
      <c r="I26" s="29">
        <f t="shared" si="3"/>
        <v>0.24317317588175569</v>
      </c>
      <c r="J26" s="30">
        <f t="shared" si="4"/>
        <v>1111.8072139854576</v>
      </c>
      <c r="K26" s="30">
        <f t="shared" si="5"/>
        <v>19.853700249740314</v>
      </c>
      <c r="L26" s="15">
        <v>157</v>
      </c>
      <c r="M26" s="31">
        <f t="shared" si="6"/>
        <v>0.35668789808917195</v>
      </c>
      <c r="N26" s="15">
        <v>32</v>
      </c>
      <c r="O26" s="32">
        <f t="shared" ref="O26:P26" si="16">D26/7</f>
        <v>8</v>
      </c>
      <c r="P26" s="32">
        <f t="shared" si="16"/>
        <v>0</v>
      </c>
      <c r="Q26" s="27">
        <f t="shared" si="8"/>
        <v>4</v>
      </c>
      <c r="R26" s="27"/>
      <c r="S26" s="41">
        <v>9.935483870967742</v>
      </c>
      <c r="T26" s="26">
        <v>1500</v>
      </c>
      <c r="U26" s="34">
        <v>300</v>
      </c>
      <c r="V26" s="35" t="s">
        <v>1486</v>
      </c>
      <c r="W26" s="40">
        <v>3</v>
      </c>
      <c r="X26" s="36">
        <f t="shared" si="9"/>
        <v>5.3571428571428568E-2</v>
      </c>
      <c r="Y26" s="37">
        <f t="shared" si="10"/>
        <v>1.8966666666666667</v>
      </c>
      <c r="Z26" s="40">
        <v>0</v>
      </c>
      <c r="AA26" s="26" t="s">
        <v>250</v>
      </c>
      <c r="AB26" s="38">
        <f t="shared" si="11"/>
        <v>-0.48</v>
      </c>
      <c r="AC26" s="40">
        <v>1.6143125104166667</v>
      </c>
      <c r="AD26" s="37">
        <f t="shared" si="12"/>
        <v>-86.785440559999998</v>
      </c>
      <c r="AE26" s="42">
        <v>-16.260000000000002</v>
      </c>
      <c r="AF26" s="42">
        <v>-31.632595454545399</v>
      </c>
      <c r="AG26" s="42">
        <v>0</v>
      </c>
    </row>
    <row r="27" spans="1:33" ht="15.75" customHeight="1" x14ac:dyDescent="0.2">
      <c r="A27" s="40" t="s">
        <v>77</v>
      </c>
      <c r="B27" s="40" t="s">
        <v>76</v>
      </c>
      <c r="C27" s="14">
        <f t="shared" si="1"/>
        <v>79.753749999999997</v>
      </c>
      <c r="D27" s="15">
        <v>16</v>
      </c>
      <c r="E27" s="15">
        <v>0</v>
      </c>
      <c r="F27" s="16">
        <v>1276.06</v>
      </c>
      <c r="G27" s="16">
        <v>-2.04</v>
      </c>
      <c r="H27" s="29">
        <f t="shared" si="2"/>
        <v>1.5986709088914315E-3</v>
      </c>
      <c r="I27" s="29">
        <f t="shared" si="3"/>
        <v>0.22846389085722735</v>
      </c>
      <c r="J27" s="30">
        <f t="shared" si="4"/>
        <v>291.53363256727351</v>
      </c>
      <c r="K27" s="30">
        <f t="shared" si="5"/>
        <v>18.220852035454595</v>
      </c>
      <c r="L27" s="15">
        <v>77</v>
      </c>
      <c r="M27" s="31">
        <f t="shared" si="6"/>
        <v>0.20779220779220781</v>
      </c>
      <c r="N27" s="15">
        <v>2</v>
      </c>
      <c r="O27" s="32">
        <f t="shared" ref="O27:P27" si="17">D27/7</f>
        <v>2.2857142857142856</v>
      </c>
      <c r="P27" s="32">
        <f t="shared" si="17"/>
        <v>0</v>
      </c>
      <c r="Q27" s="27">
        <f t="shared" si="8"/>
        <v>0</v>
      </c>
      <c r="R27" s="27"/>
      <c r="S27" s="41">
        <v>3.9195979899497488</v>
      </c>
      <c r="T27" s="26">
        <v>1500</v>
      </c>
      <c r="U27" s="34">
        <v>300</v>
      </c>
      <c r="V27" s="35" t="s">
        <v>1487</v>
      </c>
      <c r="W27" s="40">
        <v>1</v>
      </c>
      <c r="X27" s="36">
        <f t="shared" si="9"/>
        <v>6.25E-2</v>
      </c>
      <c r="Y27" s="37">
        <f t="shared" si="10"/>
        <v>2.04</v>
      </c>
      <c r="Z27" s="40">
        <v>0</v>
      </c>
      <c r="AA27" s="26" t="s">
        <v>250</v>
      </c>
      <c r="AB27" s="38">
        <f t="shared" si="11"/>
        <v>-0.48</v>
      </c>
      <c r="AC27" s="39">
        <v>1.6143125104166667</v>
      </c>
      <c r="AD27" s="37">
        <f t="shared" si="12"/>
        <v>-24.795840160000001</v>
      </c>
      <c r="AE27" s="42">
        <v>-16.260000000000002</v>
      </c>
      <c r="AF27" s="42">
        <v>-31.632595454545399</v>
      </c>
      <c r="AG27" s="42">
        <v>0</v>
      </c>
    </row>
    <row r="28" spans="1:33" ht="15.75" customHeight="1" x14ac:dyDescent="0.2">
      <c r="A28" s="40" t="s">
        <v>79</v>
      </c>
      <c r="B28" s="40" t="s">
        <v>76</v>
      </c>
      <c r="C28" s="14" t="str">
        <f t="shared" si="1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2"/>
        <v>#DIV/0!</v>
      </c>
      <c r="I28" s="29" t="e">
        <f t="shared" si="3"/>
        <v>#DIV/0!</v>
      </c>
      <c r="J28" s="30">
        <f t="shared" si="4"/>
        <v>0</v>
      </c>
      <c r="K28" s="30" t="e">
        <f t="shared" si="5"/>
        <v>#DIV/0!</v>
      </c>
      <c r="L28" s="15">
        <v>0</v>
      </c>
      <c r="M28" s="31" t="str">
        <f t="shared" si="6"/>
        <v>-</v>
      </c>
      <c r="N28" s="15">
        <v>2</v>
      </c>
      <c r="O28" s="32">
        <f t="shared" ref="O28:P28" si="18">D28/7</f>
        <v>0</v>
      </c>
      <c r="P28" s="32">
        <f t="shared" si="18"/>
        <v>0</v>
      </c>
      <c r="Q28" s="27" t="e">
        <f t="shared" si="8"/>
        <v>#DIV/0!</v>
      </c>
      <c r="R28" s="27"/>
      <c r="S28" s="41">
        <v>4.6987951807228914</v>
      </c>
      <c r="T28" s="40" t="s">
        <v>34</v>
      </c>
      <c r="U28" s="22">
        <v>900</v>
      </c>
      <c r="V28" s="1" t="s">
        <v>1488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1.6143125104166667</v>
      </c>
      <c r="AD28" s="37">
        <f t="shared" si="12"/>
        <v>0</v>
      </c>
      <c r="AE28" s="42">
        <v>-16.260000000000002</v>
      </c>
      <c r="AF28" s="42">
        <v>-31.632595454545399</v>
      </c>
      <c r="AG28" s="42">
        <v>0</v>
      </c>
    </row>
    <row r="29" spans="1:33" ht="15.75" customHeight="1" x14ac:dyDescent="0.2">
      <c r="A29" s="26" t="s">
        <v>82</v>
      </c>
      <c r="B29" s="40" t="s">
        <v>76</v>
      </c>
      <c r="C29" s="14" t="str">
        <f t="shared" si="1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2"/>
        <v>#DIV/0!</v>
      </c>
      <c r="I29" s="29" t="e">
        <f t="shared" si="3"/>
        <v>#DIV/0!</v>
      </c>
      <c r="J29" s="30">
        <f t="shared" si="4"/>
        <v>0</v>
      </c>
      <c r="K29" s="30" t="e">
        <f t="shared" si="5"/>
        <v>#DIV/0!</v>
      </c>
      <c r="L29" s="27">
        <v>0</v>
      </c>
      <c r="M29" s="31" t="str">
        <f t="shared" si="6"/>
        <v>-</v>
      </c>
      <c r="N29" s="15">
        <v>2</v>
      </c>
      <c r="O29" s="32">
        <f t="shared" ref="O29:P29" si="19">D29/7</f>
        <v>0</v>
      </c>
      <c r="P29" s="32">
        <f t="shared" si="19"/>
        <v>0</v>
      </c>
      <c r="Q29" s="27" t="e">
        <f t="shared" si="8"/>
        <v>#DIV/0!</v>
      </c>
      <c r="R29" s="27"/>
      <c r="S29" s="41">
        <v>6.4262295081967213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1.6143125104166667</v>
      </c>
      <c r="AD29" s="37">
        <f t="shared" si="12"/>
        <v>0</v>
      </c>
      <c r="AE29" s="37">
        <v>-16.260000000000002</v>
      </c>
      <c r="AF29" s="42">
        <v>-31.632595454545399</v>
      </c>
      <c r="AG29" s="37">
        <v>0</v>
      </c>
    </row>
    <row r="30" spans="1:33" ht="15.75" customHeight="1" x14ac:dyDescent="0.2">
      <c r="A30" s="40" t="s">
        <v>84</v>
      </c>
      <c r="B30" s="40" t="s">
        <v>76</v>
      </c>
      <c r="C30" s="14">
        <f t="shared" si="1"/>
        <v>80.650000000000006</v>
      </c>
      <c r="D30" s="15">
        <v>1</v>
      </c>
      <c r="E30" s="15">
        <v>0</v>
      </c>
      <c r="F30" s="16">
        <v>80.650000000000006</v>
      </c>
      <c r="G30" s="16">
        <v>0</v>
      </c>
      <c r="H30" s="29">
        <f t="shared" si="2"/>
        <v>0</v>
      </c>
      <c r="I30" s="29">
        <f t="shared" si="3"/>
        <v>0.1429014536887788</v>
      </c>
      <c r="J30" s="30">
        <f t="shared" si="4"/>
        <v>11.52500224000001</v>
      </c>
      <c r="K30" s="30">
        <f t="shared" si="5"/>
        <v>11.52500224000001</v>
      </c>
      <c r="L30" s="15">
        <v>3</v>
      </c>
      <c r="M30" s="31">
        <f t="shared" si="6"/>
        <v>0.33333333333333331</v>
      </c>
      <c r="N30" s="15">
        <v>2</v>
      </c>
      <c r="O30" s="32">
        <f t="shared" ref="O30:P30" si="20">D30/7</f>
        <v>0.14285714285714285</v>
      </c>
      <c r="P30" s="32">
        <f t="shared" si="20"/>
        <v>0</v>
      </c>
      <c r="Q30" s="27">
        <f t="shared" si="8"/>
        <v>14</v>
      </c>
      <c r="R30" s="27"/>
      <c r="S30" s="41">
        <v>8.0824742268041234</v>
      </c>
      <c r="T30" s="26">
        <v>900</v>
      </c>
      <c r="U30" s="34">
        <v>300</v>
      </c>
      <c r="V30" s="35" t="s">
        <v>1489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1.6143125104166667</v>
      </c>
      <c r="AD30" s="37">
        <f t="shared" si="12"/>
        <v>-1.5497400100000001</v>
      </c>
      <c r="AE30" s="42">
        <v>-16.260000000000002</v>
      </c>
      <c r="AF30" s="42">
        <v>-39.217757749999997</v>
      </c>
      <c r="AG30" s="42">
        <v>0</v>
      </c>
    </row>
    <row r="31" spans="1:33" ht="15.75" customHeight="1" x14ac:dyDescent="0.2">
      <c r="A31" s="40" t="s">
        <v>87</v>
      </c>
      <c r="B31" s="40" t="s">
        <v>76</v>
      </c>
      <c r="C31" s="14">
        <f t="shared" si="1"/>
        <v>78.989999999999995</v>
      </c>
      <c r="D31" s="15">
        <v>2</v>
      </c>
      <c r="E31" s="15">
        <v>0</v>
      </c>
      <c r="F31" s="16">
        <v>157.97999999999999</v>
      </c>
      <c r="G31" s="43">
        <v>-1.6800000000000002</v>
      </c>
      <c r="H31" s="29">
        <f t="shared" si="2"/>
        <v>1.063425750094949E-2</v>
      </c>
      <c r="I31" s="29">
        <f t="shared" si="3"/>
        <v>0.11740729510064554</v>
      </c>
      <c r="J31" s="30">
        <f t="shared" si="4"/>
        <v>18.548004479999982</v>
      </c>
      <c r="K31" s="30">
        <f t="shared" si="5"/>
        <v>9.2740022399999908</v>
      </c>
      <c r="L31" s="15">
        <v>16</v>
      </c>
      <c r="M31" s="31">
        <f t="shared" si="6"/>
        <v>0.125</v>
      </c>
      <c r="N31" s="15">
        <v>3</v>
      </c>
      <c r="O31" s="32">
        <f t="shared" ref="O31:P31" si="21">D31/7</f>
        <v>0.2857142857142857</v>
      </c>
      <c r="P31" s="32">
        <f t="shared" si="21"/>
        <v>0</v>
      </c>
      <c r="Q31" s="27">
        <f t="shared" si="8"/>
        <v>10</v>
      </c>
      <c r="R31" s="27"/>
      <c r="S31" s="41">
        <v>3.3220338983050799</v>
      </c>
      <c r="T31" s="40">
        <v>-600</v>
      </c>
      <c r="U31" s="22">
        <v>600</v>
      </c>
      <c r="V31" s="1" t="s">
        <v>1490</v>
      </c>
      <c r="W31" s="40">
        <v>1</v>
      </c>
      <c r="X31" s="36">
        <f t="shared" si="9"/>
        <v>0.5</v>
      </c>
      <c r="Y31" s="37">
        <f t="shared" si="10"/>
        <v>1.6800000000000002</v>
      </c>
      <c r="Z31" s="40">
        <v>0</v>
      </c>
      <c r="AA31" s="40" t="s">
        <v>250</v>
      </c>
      <c r="AB31" s="38">
        <f t="shared" si="11"/>
        <v>-0.48</v>
      </c>
      <c r="AC31" s="44">
        <v>1.6143125104166667</v>
      </c>
      <c r="AD31" s="37">
        <f t="shared" si="12"/>
        <v>-3.0994800200000001</v>
      </c>
      <c r="AE31" s="45">
        <v>-16.260000000000002</v>
      </c>
      <c r="AF31" s="45">
        <v>-39.217757749999997</v>
      </c>
      <c r="AG31" s="42">
        <v>0</v>
      </c>
    </row>
    <row r="32" spans="1:33" ht="15.75" customHeight="1" x14ac:dyDescent="0.2">
      <c r="A32" s="40" t="s">
        <v>90</v>
      </c>
      <c r="B32" s="40" t="s">
        <v>76</v>
      </c>
      <c r="C32" s="14" t="str">
        <f t="shared" si="1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2"/>
        <v>#DIV/0!</v>
      </c>
      <c r="I32" s="29" t="e">
        <f t="shared" si="3"/>
        <v>#DIV/0!</v>
      </c>
      <c r="J32" s="30">
        <f t="shared" si="4"/>
        <v>0</v>
      </c>
      <c r="K32" s="30" t="e">
        <f t="shared" si="5"/>
        <v>#DIV/0!</v>
      </c>
      <c r="L32" s="15">
        <v>0</v>
      </c>
      <c r="M32" s="31" t="str">
        <f t="shared" si="6"/>
        <v>-</v>
      </c>
      <c r="N32" s="15">
        <v>2</v>
      </c>
      <c r="O32" s="32">
        <f t="shared" ref="O32:P32" si="22">D32/7</f>
        <v>0</v>
      </c>
      <c r="P32" s="32">
        <f t="shared" si="22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4.5549132947976876</v>
      </c>
      <c r="T32" s="40">
        <f ca="1">IFERROR(__xludf.DUMMYFUNCTION("IFERROR(VLOOKUP($B$2,IMPORTRANGE(""https://docs.google.com/spreadsheets/d/1KiWZV1ko8G7lnRucBRBd29jj3Be6ltMfljMDqzOkQmI/edit#gid=1381463014"",""Lookup!A:D""),4,FALSE),"""")"),-600)</f>
        <v>-600</v>
      </c>
      <c r="U32" s="22">
        <f ca="1">IFERROR(__xludf.DUMMYFUNCTION("IFERROR(VLOOKUP($B$2,IMPORTRANGE(""https://docs.google.com/spreadsheets/d/1KiWZV1ko8G7lnRucBRBd29jj3Be6ltMfljMDqzOkQmI/edit#gid=1381463014"",""Lookup!A:D""),3,FALSE),"""")"),600)</f>
        <v>600</v>
      </c>
      <c r="V32" s="1" t="str">
        <f ca="1">IFERROR(__xludf.DUMMYFUNCTION("IFERROR(VLOOKUP($B$2,IMPORTRANGE(""https://docs.google.com/spreadsheets/d/1KiWZV1ko8G7lnRucBRBd29jj3Be6ltMfljMDqzOkQmI/edit#gid=1381463014"",""Lookup!A:D""),2,FALSE),"""")"),"| AGL220  - 600 units 08/13")</f>
        <v>| AGL220  - 600 units 08/13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1.6143125104166667</v>
      </c>
      <c r="AD32" s="37">
        <f t="shared" si="12"/>
        <v>0</v>
      </c>
      <c r="AE32" s="42">
        <v>-16.260000000000002</v>
      </c>
      <c r="AF32" s="42">
        <v>-39.217757749999997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CC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Double Sided Black &amp; Cork - 36 x 17 Inch Leather Style Computer Pad for Desk")</f>
        <v>Office Desk Mat, Double Sided Black &amp; Cork - 36 x 17 Inch Leather Style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Info!B1:BJ5000""),2,FALSE),"""")"),"B088TWQYN3")</f>
        <v>B088TWQYN3</v>
      </c>
      <c r="B2" s="3" t="s">
        <v>1491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10.833065944852942</v>
      </c>
      <c r="D3" s="5">
        <f>SUM(D4:D99767)</f>
        <v>101</v>
      </c>
      <c r="E3" s="5"/>
      <c r="F3" s="6">
        <f t="shared" ref="F3:G3" si="0">SUM(F4:F99767)</f>
        <v>1121.0200000000004</v>
      </c>
      <c r="G3" s="6">
        <f t="shared" si="0"/>
        <v>-158.68</v>
      </c>
      <c r="H3" s="7">
        <f t="shared" ref="H3:H32" si="1">G3/F3*-1</f>
        <v>0.14154966013095213</v>
      </c>
      <c r="I3" s="8">
        <f t="shared" ref="I3:I32" si="2">J3/F3</f>
        <v>-0.13944095192404851</v>
      </c>
      <c r="J3" s="6">
        <f>SUM(J4:J99767)</f>
        <v>-156.31609592589692</v>
      </c>
      <c r="K3" s="6">
        <f t="shared" ref="K3:K32" si="3">J3/D3</f>
        <v>-1.5476841180781873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8</v>
      </c>
      <c r="X3" s="7">
        <f>W3/D3</f>
        <v>7.9207920792079209E-2</v>
      </c>
      <c r="Y3" s="6"/>
      <c r="Z3" s="5"/>
      <c r="AA3" s="5"/>
      <c r="AB3" s="5"/>
      <c r="AC3" s="5"/>
      <c r="AD3" s="6">
        <f>SUM(AD4:AD99767)</f>
        <v>-12.830120925896948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Info!B2:BZ3000""),37,FALSE)),"""")*-1"),-4.308106053125)</f>
        <v>-4.3081060531249999</v>
      </c>
      <c r="AG3" s="6">
        <f>SUM(AG4:AG99767)</f>
        <v>-4</v>
      </c>
    </row>
    <row r="4" spans="1:33" x14ac:dyDescent="0.2">
      <c r="A4" s="1" t="s">
        <v>32</v>
      </c>
      <c r="B4" s="2" t="s">
        <v>53</v>
      </c>
      <c r="C4" s="14">
        <f t="shared" ref="C4:C32" si="4">IFERROR(F4/D4," - ")</f>
        <v>17.558333333333334</v>
      </c>
      <c r="D4" s="15">
        <v>6</v>
      </c>
      <c r="E4" s="15">
        <v>0</v>
      </c>
      <c r="F4" s="16">
        <v>105.35000000000001</v>
      </c>
      <c r="G4" s="16">
        <v>0</v>
      </c>
      <c r="H4" s="17">
        <f t="shared" si="1"/>
        <v>0</v>
      </c>
      <c r="I4" s="17">
        <f t="shared" si="2"/>
        <v>0.32110132350120801</v>
      </c>
      <c r="J4" s="16">
        <f t="shared" ref="J4:J32" si="5">F4*0.85+G4+AF4*D4+D4*AE4+AG4+AD4</f>
        <v>33.828024430852267</v>
      </c>
      <c r="K4" s="16">
        <f t="shared" si="3"/>
        <v>5.6380040718087114</v>
      </c>
      <c r="L4" s="15">
        <v>77</v>
      </c>
      <c r="M4" s="18">
        <f t="shared" ref="M4:M32" si="6">IFERROR(D4/L4,"-")</f>
        <v>7.792207792207792E-2</v>
      </c>
      <c r="N4" s="15">
        <v>99</v>
      </c>
      <c r="O4" s="19">
        <f t="shared" ref="O4:P4" si="7">D4/7</f>
        <v>0.8571428571428571</v>
      </c>
      <c r="P4" s="19">
        <f t="shared" si="7"/>
        <v>0</v>
      </c>
      <c r="Q4" s="15">
        <f t="shared" ref="Q4:Q32" si="8">ROUNDDOWN(N4/(O4+P4),0)</f>
        <v>115</v>
      </c>
      <c r="R4" s="15"/>
      <c r="S4" s="20">
        <v>0.79324894514767896</v>
      </c>
      <c r="T4" s="2">
        <v>600</v>
      </c>
      <c r="U4" s="2" t="s">
        <v>34</v>
      </c>
      <c r="V4" s="21" t="s">
        <v>34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9.6836092013888889E-2</v>
      </c>
      <c r="AD4" s="24">
        <f t="shared" ref="AD4:AD32" si="12">IFERROR(AB4*AC4*D4*2,0)</f>
        <v>-0.80180284187499995</v>
      </c>
      <c r="AE4" s="24">
        <v>-4.9000000000000004</v>
      </c>
      <c r="AF4" s="24">
        <v>-4.2529454545454541</v>
      </c>
      <c r="AG4" s="24">
        <v>0</v>
      </c>
    </row>
    <row r="5" spans="1:33" ht="15.75" customHeight="1" x14ac:dyDescent="0.2">
      <c r="A5" s="26" t="s">
        <v>35</v>
      </c>
      <c r="B5" s="26" t="s">
        <v>1492</v>
      </c>
      <c r="C5" s="14">
        <f t="shared" si="4"/>
        <v>18.18</v>
      </c>
      <c r="D5" s="27">
        <v>1</v>
      </c>
      <c r="E5" s="27">
        <v>0</v>
      </c>
      <c r="F5" s="28">
        <v>18.18</v>
      </c>
      <c r="G5" s="28">
        <v>0</v>
      </c>
      <c r="H5" s="29">
        <f t="shared" si="1"/>
        <v>0</v>
      </c>
      <c r="I5" s="29">
        <f t="shared" si="2"/>
        <v>0.33917854183141372</v>
      </c>
      <c r="J5" s="30">
        <f t="shared" si="5"/>
        <v>6.1662658904951009</v>
      </c>
      <c r="K5" s="30">
        <f t="shared" si="3"/>
        <v>6.1662658904951009</v>
      </c>
      <c r="L5" s="27">
        <v>158</v>
      </c>
      <c r="M5" s="31">
        <f t="shared" si="6"/>
        <v>6.3291139240506328E-3</v>
      </c>
      <c r="N5" s="27">
        <v>98</v>
      </c>
      <c r="O5" s="32">
        <f t="shared" ref="O5:P5" si="13">D5/7</f>
        <v>0.14285714285714285</v>
      </c>
      <c r="P5" s="32">
        <f t="shared" si="13"/>
        <v>0</v>
      </c>
      <c r="Q5" s="27">
        <f t="shared" si="8"/>
        <v>686</v>
      </c>
      <c r="R5" s="27"/>
      <c r="S5" s="33">
        <v>0.92307692307692302</v>
      </c>
      <c r="T5" s="26">
        <v>600</v>
      </c>
      <c r="U5" s="34" t="s">
        <v>34</v>
      </c>
      <c r="V5" s="35" t="s">
        <v>34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s">
        <v>37</v>
      </c>
      <c r="AB5" s="38">
        <f t="shared" si="11"/>
        <v>-0.69</v>
      </c>
      <c r="AC5" s="39">
        <v>9.6948300695249123E-2</v>
      </c>
      <c r="AD5" s="37">
        <f t="shared" si="12"/>
        <v>-0.13378865495944378</v>
      </c>
      <c r="AE5" s="37">
        <v>-4.9000000000000004</v>
      </c>
      <c r="AF5" s="37">
        <v>-4.2529454545454541</v>
      </c>
      <c r="AG5" s="37">
        <v>0</v>
      </c>
    </row>
    <row r="6" spans="1:33" ht="15.75" customHeight="1" x14ac:dyDescent="0.2">
      <c r="A6" s="26" t="s">
        <v>38</v>
      </c>
      <c r="B6" s="26" t="s">
        <v>1493</v>
      </c>
      <c r="C6" s="14">
        <f t="shared" si="4"/>
        <v>14.774000000000001</v>
      </c>
      <c r="D6" s="27">
        <v>5</v>
      </c>
      <c r="E6" s="27">
        <v>0</v>
      </c>
      <c r="F6" s="28">
        <v>73.87</v>
      </c>
      <c r="G6" s="28">
        <v>0</v>
      </c>
      <c r="H6" s="29">
        <f t="shared" si="1"/>
        <v>0</v>
      </c>
      <c r="I6" s="29">
        <f t="shared" si="2"/>
        <v>0.22142417344492893</v>
      </c>
      <c r="J6" s="30">
        <f t="shared" si="5"/>
        <v>16.3566036923769</v>
      </c>
      <c r="K6" s="30">
        <f t="shared" si="3"/>
        <v>3.2713207384753802</v>
      </c>
      <c r="L6" s="27">
        <v>128</v>
      </c>
      <c r="M6" s="31">
        <f t="shared" si="6"/>
        <v>3.90625E-2</v>
      </c>
      <c r="N6" s="27">
        <v>93</v>
      </c>
      <c r="O6" s="32">
        <f t="shared" ref="O6:P6" si="14">D6/7</f>
        <v>0.7142857142857143</v>
      </c>
      <c r="P6" s="32">
        <f t="shared" si="14"/>
        <v>0</v>
      </c>
      <c r="Q6" s="27">
        <f t="shared" si="8"/>
        <v>130</v>
      </c>
      <c r="R6" s="27"/>
      <c r="S6" s="33">
        <v>0.60773480662983403</v>
      </c>
      <c r="T6" s="26">
        <v>600</v>
      </c>
      <c r="U6" s="34" t="s">
        <v>34</v>
      </c>
      <c r="V6" s="35"/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s">
        <v>37</v>
      </c>
      <c r="AB6" s="38">
        <f t="shared" si="11"/>
        <v>-0.69</v>
      </c>
      <c r="AC6" s="39">
        <v>9.6836092013888889E-2</v>
      </c>
      <c r="AD6" s="37">
        <f t="shared" si="12"/>
        <v>-0.66816903489583335</v>
      </c>
      <c r="AE6" s="37">
        <v>-4.9000000000000004</v>
      </c>
      <c r="AF6" s="37">
        <v>-4.2529454545454541</v>
      </c>
      <c r="AG6" s="37">
        <v>0</v>
      </c>
    </row>
    <row r="7" spans="1:33" ht="15.75" customHeight="1" x14ac:dyDescent="0.2">
      <c r="A7" s="26" t="s">
        <v>41</v>
      </c>
      <c r="B7" s="26" t="s">
        <v>123</v>
      </c>
      <c r="C7" s="14">
        <f t="shared" si="4"/>
        <v>13.99</v>
      </c>
      <c r="D7" s="27">
        <v>1</v>
      </c>
      <c r="E7" s="27">
        <v>0</v>
      </c>
      <c r="F7" s="28">
        <v>13.99</v>
      </c>
      <c r="G7" s="28">
        <v>0</v>
      </c>
      <c r="H7" s="29">
        <f t="shared" si="1"/>
        <v>0</v>
      </c>
      <c r="I7" s="29">
        <f t="shared" si="2"/>
        <v>0.18673450068772071</v>
      </c>
      <c r="J7" s="30">
        <f t="shared" si="5"/>
        <v>2.6124156646212127</v>
      </c>
      <c r="K7" s="30">
        <f t="shared" si="3"/>
        <v>2.6124156646212127</v>
      </c>
      <c r="L7" s="27">
        <v>112</v>
      </c>
      <c r="M7" s="31">
        <f t="shared" si="6"/>
        <v>8.9285714285714281E-3</v>
      </c>
      <c r="N7" s="27">
        <v>92</v>
      </c>
      <c r="O7" s="32">
        <f t="shared" ref="O7:P7" si="15">D7/7</f>
        <v>0.14285714285714285</v>
      </c>
      <c r="P7" s="32">
        <f t="shared" si="15"/>
        <v>0</v>
      </c>
      <c r="Q7" s="27">
        <f t="shared" si="8"/>
        <v>644</v>
      </c>
      <c r="R7" s="27"/>
      <c r="S7" s="33">
        <v>0.67052023121387205</v>
      </c>
      <c r="T7" s="26">
        <v>600</v>
      </c>
      <c r="U7" s="34" t="s">
        <v>34</v>
      </c>
      <c r="V7" s="35"/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s">
        <v>37</v>
      </c>
      <c r="AB7" s="38">
        <f t="shared" si="11"/>
        <v>-0.69</v>
      </c>
      <c r="AC7" s="39">
        <v>9.1404986111111128E-2</v>
      </c>
      <c r="AD7" s="37">
        <f t="shared" si="12"/>
        <v>-0.12613888083333336</v>
      </c>
      <c r="AE7" s="37">
        <v>-4.9000000000000004</v>
      </c>
      <c r="AF7" s="37">
        <v>-4.2529454545454541</v>
      </c>
      <c r="AG7" s="37">
        <v>0</v>
      </c>
    </row>
    <row r="8" spans="1:33" ht="15.75" customHeight="1" x14ac:dyDescent="0.2">
      <c r="A8" s="26" t="s">
        <v>43</v>
      </c>
      <c r="B8" s="26" t="s">
        <v>1494</v>
      </c>
      <c r="C8" s="14">
        <f t="shared" si="4"/>
        <v>13.99</v>
      </c>
      <c r="D8" s="27">
        <v>1</v>
      </c>
      <c r="E8" s="27">
        <v>1</v>
      </c>
      <c r="F8" s="28">
        <v>13.99</v>
      </c>
      <c r="G8" s="28">
        <v>0</v>
      </c>
      <c r="H8" s="29">
        <f t="shared" si="1"/>
        <v>0</v>
      </c>
      <c r="I8" s="29">
        <f t="shared" si="2"/>
        <v>0.18694504068382178</v>
      </c>
      <c r="J8" s="30">
        <f t="shared" si="5"/>
        <v>2.6153611191666668</v>
      </c>
      <c r="K8" s="30">
        <f t="shared" si="3"/>
        <v>2.6153611191666668</v>
      </c>
      <c r="L8" s="27">
        <v>84</v>
      </c>
      <c r="M8" s="31">
        <f t="shared" si="6"/>
        <v>1.1904761904761904E-2</v>
      </c>
      <c r="N8" s="27">
        <v>91</v>
      </c>
      <c r="O8" s="32">
        <f t="shared" ref="O8:P8" si="16">D8/7</f>
        <v>0.14285714285714285</v>
      </c>
      <c r="P8" s="32">
        <f t="shared" si="16"/>
        <v>0.14285714285714285</v>
      </c>
      <c r="Q8" s="27">
        <f t="shared" si="8"/>
        <v>318</v>
      </c>
      <c r="R8" s="27"/>
      <c r="S8" s="33">
        <v>0.71732522796352505</v>
      </c>
      <c r="T8" s="26">
        <v>600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9.1404986111111128E-2</v>
      </c>
      <c r="AD8" s="37">
        <f t="shared" si="12"/>
        <v>-0.12613888083333336</v>
      </c>
      <c r="AE8" s="37">
        <v>-4.9000000000000004</v>
      </c>
      <c r="AF8" s="37">
        <v>-4.25</v>
      </c>
      <c r="AG8" s="37">
        <v>0</v>
      </c>
    </row>
    <row r="9" spans="1:33" ht="15.75" customHeight="1" x14ac:dyDescent="0.2">
      <c r="A9" s="26" t="s">
        <v>45</v>
      </c>
      <c r="B9" s="26" t="s">
        <v>523</v>
      </c>
      <c r="C9" s="14">
        <f t="shared" si="4"/>
        <v>13.49</v>
      </c>
      <c r="D9" s="27">
        <v>2</v>
      </c>
      <c r="E9" s="27">
        <v>0</v>
      </c>
      <c r="F9" s="28">
        <v>26.98</v>
      </c>
      <c r="G9" s="28">
        <v>0</v>
      </c>
      <c r="H9" s="29">
        <f t="shared" si="1"/>
        <v>0</v>
      </c>
      <c r="I9" s="29">
        <f t="shared" si="2"/>
        <v>0.15682119624525473</v>
      </c>
      <c r="J9" s="30">
        <f t="shared" si="5"/>
        <v>4.231035874696973</v>
      </c>
      <c r="K9" s="30">
        <f t="shared" si="3"/>
        <v>2.1155179373484865</v>
      </c>
      <c r="L9" s="27">
        <v>71</v>
      </c>
      <c r="M9" s="31">
        <f t="shared" si="6"/>
        <v>2.8169014084507043E-2</v>
      </c>
      <c r="N9" s="27">
        <v>88</v>
      </c>
      <c r="O9" s="32">
        <f t="shared" ref="O9:P9" si="17">D9/7</f>
        <v>0.2857142857142857</v>
      </c>
      <c r="P9" s="32">
        <f t="shared" si="17"/>
        <v>0</v>
      </c>
      <c r="Q9" s="27">
        <f t="shared" si="8"/>
        <v>308</v>
      </c>
      <c r="R9" s="27"/>
      <c r="S9" s="33">
        <v>0.79487179487179405</v>
      </c>
      <c r="T9" s="26">
        <v>600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9.1404986111111128E-2</v>
      </c>
      <c r="AD9" s="37">
        <f t="shared" si="12"/>
        <v>-0.25227776166666671</v>
      </c>
      <c r="AE9" s="37">
        <v>-4.9000000000000004</v>
      </c>
      <c r="AF9" s="37">
        <v>-4.3248431818181796</v>
      </c>
      <c r="AG9" s="37">
        <v>0</v>
      </c>
    </row>
    <row r="10" spans="1:33" ht="15.75" customHeight="1" x14ac:dyDescent="0.2">
      <c r="A10" s="26" t="s">
        <v>48</v>
      </c>
      <c r="B10" s="26" t="s">
        <v>523</v>
      </c>
      <c r="C10" s="14">
        <f t="shared" si="4"/>
        <v>12.99</v>
      </c>
      <c r="D10" s="27">
        <v>2</v>
      </c>
      <c r="E10" s="27">
        <v>0</v>
      </c>
      <c r="F10" s="28">
        <v>25.98</v>
      </c>
      <c r="G10" s="28">
        <v>0</v>
      </c>
      <c r="H10" s="29">
        <f t="shared" si="1"/>
        <v>0</v>
      </c>
      <c r="I10" s="29">
        <f t="shared" si="2"/>
        <v>0.13013994898756626</v>
      </c>
      <c r="J10" s="30">
        <f t="shared" si="5"/>
        <v>3.3810358746969715</v>
      </c>
      <c r="K10" s="30">
        <f t="shared" si="3"/>
        <v>1.6905179373484858</v>
      </c>
      <c r="L10" s="27">
        <v>61</v>
      </c>
      <c r="M10" s="31">
        <f t="shared" si="6"/>
        <v>3.2786885245901641E-2</v>
      </c>
      <c r="N10" s="27">
        <v>86</v>
      </c>
      <c r="O10" s="32">
        <f t="shared" ref="O10:P10" si="18">D10/7</f>
        <v>0.2857142857142857</v>
      </c>
      <c r="P10" s="32">
        <f t="shared" si="18"/>
        <v>0</v>
      </c>
      <c r="Q10" s="27">
        <f t="shared" si="8"/>
        <v>301</v>
      </c>
      <c r="R10" s="27"/>
      <c r="S10" s="33">
        <v>0.56637168141592897</v>
      </c>
      <c r="T10" s="26">
        <v>600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9.1404986111111128E-2</v>
      </c>
      <c r="AD10" s="37">
        <f t="shared" si="12"/>
        <v>-0.25227776166666671</v>
      </c>
      <c r="AE10" s="37">
        <v>-4.9000000000000004</v>
      </c>
      <c r="AF10" s="37">
        <v>-4.3248431818181796</v>
      </c>
      <c r="AG10" s="37">
        <v>0</v>
      </c>
    </row>
    <row r="11" spans="1:33" ht="15.75" customHeight="1" x14ac:dyDescent="0.2">
      <c r="A11" s="26" t="s">
        <v>50</v>
      </c>
      <c r="B11" s="26" t="s">
        <v>1495</v>
      </c>
      <c r="C11" s="14">
        <f t="shared" si="4"/>
        <v>12.99</v>
      </c>
      <c r="D11" s="27">
        <v>3</v>
      </c>
      <c r="E11" s="27">
        <v>1</v>
      </c>
      <c r="F11" s="28">
        <v>38.97</v>
      </c>
      <c r="G11" s="28">
        <v>0</v>
      </c>
      <c r="H11" s="29">
        <f t="shared" si="1"/>
        <v>0</v>
      </c>
      <c r="I11" s="29">
        <f t="shared" si="2"/>
        <v>0.13013994898756631</v>
      </c>
      <c r="J11" s="30">
        <f t="shared" si="5"/>
        <v>5.0715538120454591</v>
      </c>
      <c r="K11" s="30">
        <f t="shared" si="3"/>
        <v>1.6905179373484864</v>
      </c>
      <c r="L11" s="27">
        <v>33</v>
      </c>
      <c r="M11" s="31">
        <f t="shared" si="6"/>
        <v>9.0909090909090912E-2</v>
      </c>
      <c r="N11" s="27">
        <v>83</v>
      </c>
      <c r="O11" s="32">
        <f t="shared" ref="O11:P11" si="19">D11/7</f>
        <v>0.42857142857142855</v>
      </c>
      <c r="P11" s="32">
        <f t="shared" si="19"/>
        <v>0.14285714285714285</v>
      </c>
      <c r="Q11" s="27">
        <f t="shared" si="8"/>
        <v>145</v>
      </c>
      <c r="R11" s="27"/>
      <c r="S11" s="33">
        <v>0.56221198156681995</v>
      </c>
      <c r="T11" s="26">
        <v>600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9.1404986111111128E-2</v>
      </c>
      <c r="AD11" s="37">
        <f t="shared" si="12"/>
        <v>-0.37841664250000007</v>
      </c>
      <c r="AE11" s="37">
        <v>-4.9000000000000004</v>
      </c>
      <c r="AF11" s="37">
        <v>-4.3248431818181796</v>
      </c>
      <c r="AG11" s="37">
        <v>0</v>
      </c>
    </row>
    <row r="12" spans="1:33" ht="15.75" customHeight="1" x14ac:dyDescent="0.2">
      <c r="A12" s="26" t="s">
        <v>52</v>
      </c>
      <c r="B12" s="26" t="s">
        <v>53</v>
      </c>
      <c r="C12" s="14">
        <f t="shared" si="4"/>
        <v>11.85</v>
      </c>
      <c r="D12" s="27">
        <v>1</v>
      </c>
      <c r="E12" s="27">
        <v>0</v>
      </c>
      <c r="F12" s="28">
        <v>11.85</v>
      </c>
      <c r="G12" s="28">
        <v>0</v>
      </c>
      <c r="H12" s="29">
        <f t="shared" si="1"/>
        <v>0</v>
      </c>
      <c r="I12" s="29">
        <f t="shared" si="2"/>
        <v>6.088758964966131E-2</v>
      </c>
      <c r="J12" s="30">
        <f t="shared" si="5"/>
        <v>0.72151793734848646</v>
      </c>
      <c r="K12" s="30">
        <f t="shared" si="3"/>
        <v>0.72151793734848646</v>
      </c>
      <c r="L12" s="27">
        <v>37</v>
      </c>
      <c r="M12" s="31">
        <f t="shared" si="6"/>
        <v>2.7027027027027029E-2</v>
      </c>
      <c r="N12" s="27">
        <v>81</v>
      </c>
      <c r="O12" s="32">
        <f t="shared" ref="O12:P12" si="20">D12/7</f>
        <v>0.14285714285714285</v>
      </c>
      <c r="P12" s="32">
        <f t="shared" si="20"/>
        <v>0</v>
      </c>
      <c r="Q12" s="27">
        <f t="shared" si="8"/>
        <v>567</v>
      </c>
      <c r="R12" s="27"/>
      <c r="S12" s="33">
        <v>0.54676258992805704</v>
      </c>
      <c r="T12" s="26">
        <v>600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9.1404986111111128E-2</v>
      </c>
      <c r="AD12" s="37">
        <f t="shared" si="12"/>
        <v>-0.12613888083333336</v>
      </c>
      <c r="AE12" s="37">
        <v>-4.9000000000000004</v>
      </c>
      <c r="AF12" s="37">
        <v>-4.3248431818181796</v>
      </c>
      <c r="AG12" s="37">
        <v>0</v>
      </c>
    </row>
    <row r="13" spans="1:33" ht="15.75" customHeight="1" x14ac:dyDescent="0.2">
      <c r="A13" s="26" t="s">
        <v>54</v>
      </c>
      <c r="B13" s="26" t="s">
        <v>1496</v>
      </c>
      <c r="C13" s="14">
        <f t="shared" si="4"/>
        <v>10.815</v>
      </c>
      <c r="D13" s="27">
        <v>2</v>
      </c>
      <c r="E13" s="27">
        <v>0</v>
      </c>
      <c r="F13" s="30">
        <v>21.63</v>
      </c>
      <c r="G13" s="28">
        <v>0</v>
      </c>
      <c r="H13" s="29">
        <f t="shared" si="1"/>
        <v>0</v>
      </c>
      <c r="I13" s="29">
        <f t="shared" si="2"/>
        <v>-1.8129724617884729E-2</v>
      </c>
      <c r="J13" s="30">
        <f t="shared" si="5"/>
        <v>-0.39214594348484666</v>
      </c>
      <c r="K13" s="30">
        <f t="shared" si="3"/>
        <v>-0.19607297174242333</v>
      </c>
      <c r="L13" s="27">
        <v>34</v>
      </c>
      <c r="M13" s="31">
        <f t="shared" si="6"/>
        <v>5.8823529411764705E-2</v>
      </c>
      <c r="N13" s="27">
        <v>79</v>
      </c>
      <c r="O13" s="32">
        <f t="shared" ref="O13:P13" si="21">D13/7</f>
        <v>0.2857142857142857</v>
      </c>
      <c r="P13" s="32">
        <f t="shared" si="21"/>
        <v>0</v>
      </c>
      <c r="Q13" s="27">
        <f t="shared" si="8"/>
        <v>276</v>
      </c>
      <c r="R13" s="27"/>
      <c r="S13" s="33">
        <v>0.50246305418719195</v>
      </c>
      <c r="T13" s="26">
        <v>600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9.1404986111111128E-2</v>
      </c>
      <c r="AD13" s="37">
        <f t="shared" si="12"/>
        <v>-0.25227776166666671</v>
      </c>
      <c r="AE13" s="37">
        <v>-4.9000000000000004</v>
      </c>
      <c r="AF13" s="37">
        <v>-4.3626840909090898</v>
      </c>
      <c r="AG13" s="37">
        <v>0</v>
      </c>
    </row>
    <row r="14" spans="1:33" ht="15.75" customHeight="1" x14ac:dyDescent="0.2">
      <c r="A14" s="26" t="s">
        <v>56</v>
      </c>
      <c r="B14" s="26" t="s">
        <v>1497</v>
      </c>
      <c r="C14" s="14">
        <f t="shared" si="4"/>
        <v>9.990000000000002</v>
      </c>
      <c r="D14" s="27">
        <v>16</v>
      </c>
      <c r="E14" s="27">
        <v>0</v>
      </c>
      <c r="F14" s="30">
        <v>159.84000000000003</v>
      </c>
      <c r="G14" s="28">
        <v>-39.619999999999997</v>
      </c>
      <c r="H14" s="29">
        <f t="shared" si="1"/>
        <v>0.2478728728728728</v>
      </c>
      <c r="I14" s="29">
        <f t="shared" si="2"/>
        <v>-0.33769499216640853</v>
      </c>
      <c r="J14" s="30">
        <f t="shared" si="5"/>
        <v>-53.97716754787875</v>
      </c>
      <c r="K14" s="30">
        <f t="shared" si="3"/>
        <v>-3.3735729717424219</v>
      </c>
      <c r="L14" s="27">
        <v>74</v>
      </c>
      <c r="M14" s="31">
        <f t="shared" si="6"/>
        <v>0.21621621621621623</v>
      </c>
      <c r="N14" s="27">
        <v>64</v>
      </c>
      <c r="O14" s="32">
        <f t="shared" ref="O14:P14" si="22">D14/7</f>
        <v>2.2857142857142856</v>
      </c>
      <c r="P14" s="32">
        <f t="shared" si="22"/>
        <v>0</v>
      </c>
      <c r="Q14" s="27">
        <f t="shared" si="8"/>
        <v>28</v>
      </c>
      <c r="R14" s="27"/>
      <c r="S14" s="33">
        <v>0.58221024258760101</v>
      </c>
      <c r="T14" s="26">
        <v>600</v>
      </c>
      <c r="U14" s="34" t="s">
        <v>34</v>
      </c>
      <c r="V14" s="35" t="s">
        <v>34</v>
      </c>
      <c r="W14" s="26">
        <v>1</v>
      </c>
      <c r="X14" s="36">
        <f t="shared" si="9"/>
        <v>6.25E-2</v>
      </c>
      <c r="Y14" s="37">
        <f t="shared" si="10"/>
        <v>9.9049999999999994</v>
      </c>
      <c r="Z14" s="26">
        <v>3</v>
      </c>
      <c r="AA14" s="26" t="s">
        <v>37</v>
      </c>
      <c r="AB14" s="38">
        <f t="shared" si="11"/>
        <v>-0.69</v>
      </c>
      <c r="AC14" s="39">
        <v>9.1404986111111128E-2</v>
      </c>
      <c r="AD14" s="37">
        <f t="shared" si="12"/>
        <v>-2.0182220933333337</v>
      </c>
      <c r="AE14" s="37">
        <v>-4.9000000000000004</v>
      </c>
      <c r="AF14" s="37">
        <v>-4.3626840909090898</v>
      </c>
      <c r="AG14" s="37">
        <v>0</v>
      </c>
    </row>
    <row r="15" spans="1:33" ht="15.75" customHeight="1" x14ac:dyDescent="0.2">
      <c r="A15" s="26" t="s">
        <v>58</v>
      </c>
      <c r="B15" s="26" t="s">
        <v>105</v>
      </c>
      <c r="C15" s="14">
        <f t="shared" si="4"/>
        <v>9.9899999999999984</v>
      </c>
      <c r="D15" s="27">
        <v>13</v>
      </c>
      <c r="E15" s="27">
        <v>0</v>
      </c>
      <c r="F15" s="30">
        <v>129.86999999999998</v>
      </c>
      <c r="G15" s="28">
        <v>-37.56</v>
      </c>
      <c r="H15" s="29">
        <f t="shared" si="1"/>
        <v>0.28921228921228931</v>
      </c>
      <c r="I15" s="29">
        <f t="shared" si="2"/>
        <v>-0.37903440850582543</v>
      </c>
      <c r="J15" s="30">
        <f t="shared" si="5"/>
        <v>-49.225198632651541</v>
      </c>
      <c r="K15" s="30">
        <f t="shared" si="3"/>
        <v>-3.7865537409731953</v>
      </c>
      <c r="L15" s="27">
        <v>55</v>
      </c>
      <c r="M15" s="31">
        <f t="shared" si="6"/>
        <v>0.23636363636363636</v>
      </c>
      <c r="N15" s="27">
        <v>51</v>
      </c>
      <c r="O15" s="32">
        <f t="shared" ref="O15:P15" si="23">D15/7</f>
        <v>1.8571428571428572</v>
      </c>
      <c r="P15" s="32">
        <f t="shared" si="23"/>
        <v>0</v>
      </c>
      <c r="Q15" s="27">
        <f t="shared" si="8"/>
        <v>27</v>
      </c>
      <c r="R15" s="27"/>
      <c r="S15" s="33">
        <v>0.69005847953216304</v>
      </c>
      <c r="T15" s="26">
        <v>0</v>
      </c>
      <c r="U15" s="34" t="s">
        <v>34</v>
      </c>
      <c r="V15" s="35" t="s">
        <v>34</v>
      </c>
      <c r="W15" s="26">
        <v>2</v>
      </c>
      <c r="X15" s="36">
        <f t="shared" si="9"/>
        <v>0.15384615384615385</v>
      </c>
      <c r="Y15" s="37">
        <f t="shared" si="10"/>
        <v>9.39</v>
      </c>
      <c r="Z15" s="26">
        <v>2</v>
      </c>
      <c r="AA15" s="26" t="s">
        <v>37</v>
      </c>
      <c r="AB15" s="38">
        <f t="shared" si="11"/>
        <v>-0.69</v>
      </c>
      <c r="AC15" s="39">
        <v>9.1404986111111128E-2</v>
      </c>
      <c r="AD15" s="37">
        <f t="shared" si="12"/>
        <v>-1.6398054508333337</v>
      </c>
      <c r="AE15" s="37">
        <v>-4.9000000000000004</v>
      </c>
      <c r="AF15" s="37">
        <v>-4.3626840909090898</v>
      </c>
      <c r="AG15" s="37">
        <v>0</v>
      </c>
    </row>
    <row r="16" spans="1:33" ht="15.75" customHeight="1" x14ac:dyDescent="0.2">
      <c r="A16" s="26" t="s">
        <v>60</v>
      </c>
      <c r="B16" s="26" t="s">
        <v>105</v>
      </c>
      <c r="C16" s="14">
        <f t="shared" si="4"/>
        <v>9.99</v>
      </c>
      <c r="D16" s="27">
        <v>6</v>
      </c>
      <c r="E16" s="27">
        <v>0</v>
      </c>
      <c r="F16" s="30">
        <v>59.940000000000005</v>
      </c>
      <c r="G16" s="28">
        <v>-38.129999999999995</v>
      </c>
      <c r="H16" s="29">
        <f t="shared" si="1"/>
        <v>0.63613613613613595</v>
      </c>
      <c r="I16" s="29">
        <f t="shared" si="2"/>
        <v>-0.72595825542967174</v>
      </c>
      <c r="J16" s="30">
        <f t="shared" si="5"/>
        <v>-43.51393783045453</v>
      </c>
      <c r="K16" s="30">
        <f t="shared" si="3"/>
        <v>-7.252322971742422</v>
      </c>
      <c r="L16" s="27">
        <v>97</v>
      </c>
      <c r="M16" s="31">
        <f t="shared" si="6"/>
        <v>6.1855670103092786E-2</v>
      </c>
      <c r="N16" s="27">
        <v>43</v>
      </c>
      <c r="O16" s="32">
        <f t="shared" ref="O16:P16" si="24">D16/7</f>
        <v>0.8571428571428571</v>
      </c>
      <c r="P16" s="32">
        <f t="shared" si="24"/>
        <v>0</v>
      </c>
      <c r="Q16" s="27">
        <f t="shared" si="8"/>
        <v>50</v>
      </c>
      <c r="R16" s="27"/>
      <c r="S16" s="33">
        <v>0.77300613496932502</v>
      </c>
      <c r="T16" s="26">
        <v>0</v>
      </c>
      <c r="U16" s="34" t="s">
        <v>34</v>
      </c>
      <c r="V16" s="35" t="s">
        <v>34</v>
      </c>
      <c r="W16" s="26">
        <v>1</v>
      </c>
      <c r="X16" s="36">
        <f t="shared" si="9"/>
        <v>0.16666666666666666</v>
      </c>
      <c r="Y16" s="37">
        <f t="shared" si="10"/>
        <v>12.709999999999999</v>
      </c>
      <c r="Z16" s="26">
        <v>2</v>
      </c>
      <c r="AA16" s="26" t="s">
        <v>37</v>
      </c>
      <c r="AB16" s="38">
        <f t="shared" si="11"/>
        <v>-0.69</v>
      </c>
      <c r="AC16" s="39">
        <v>9.1404986111111128E-2</v>
      </c>
      <c r="AD16" s="37">
        <f t="shared" si="12"/>
        <v>-0.75683328500000013</v>
      </c>
      <c r="AE16" s="37">
        <v>-4.9000000000000004</v>
      </c>
      <c r="AF16" s="37">
        <v>-4.3626840909090898</v>
      </c>
      <c r="AG16" s="37">
        <v>0</v>
      </c>
    </row>
    <row r="17" spans="1:33" ht="15.75" customHeight="1" x14ac:dyDescent="0.2">
      <c r="A17" s="26" t="s">
        <v>61</v>
      </c>
      <c r="B17" s="26" t="s">
        <v>1498</v>
      </c>
      <c r="C17" s="14">
        <f t="shared" si="4"/>
        <v>9.99</v>
      </c>
      <c r="D17" s="27">
        <v>3</v>
      </c>
      <c r="E17" s="27">
        <v>0</v>
      </c>
      <c r="F17" s="30">
        <v>29.97</v>
      </c>
      <c r="G17" s="28">
        <v>-29.65</v>
      </c>
      <c r="H17" s="29">
        <f t="shared" si="1"/>
        <v>0.98932265598932267</v>
      </c>
      <c r="I17" s="29">
        <f t="shared" si="2"/>
        <v>-1.0791447752828585</v>
      </c>
      <c r="J17" s="30">
        <f t="shared" si="5"/>
        <v>-32.34196891522727</v>
      </c>
      <c r="K17" s="30">
        <f t="shared" si="3"/>
        <v>-10.780656305075757</v>
      </c>
      <c r="L17" s="27">
        <v>60</v>
      </c>
      <c r="M17" s="31">
        <f t="shared" si="6"/>
        <v>0.05</v>
      </c>
      <c r="N17" s="27">
        <v>40</v>
      </c>
      <c r="O17" s="32">
        <f t="shared" ref="O17:P17" si="25">D17/7</f>
        <v>0.42857142857142855</v>
      </c>
      <c r="P17" s="32">
        <f t="shared" si="25"/>
        <v>0</v>
      </c>
      <c r="Q17" s="27">
        <f t="shared" si="8"/>
        <v>93</v>
      </c>
      <c r="R17" s="27"/>
      <c r="S17" s="33">
        <v>0.76433121019108197</v>
      </c>
      <c r="T17" s="26">
        <v>0</v>
      </c>
      <c r="U17" s="34" t="s">
        <v>34</v>
      </c>
      <c r="V17" s="35" t="s">
        <v>34</v>
      </c>
      <c r="W17" s="26">
        <v>1</v>
      </c>
      <c r="X17" s="36">
        <f t="shared" si="9"/>
        <v>0.33333333333333331</v>
      </c>
      <c r="Y17" s="37">
        <f t="shared" si="10"/>
        <v>7.4124999999999996</v>
      </c>
      <c r="Z17" s="26">
        <v>3</v>
      </c>
      <c r="AA17" s="26" t="s">
        <v>37</v>
      </c>
      <c r="AB17" s="38">
        <f t="shared" si="11"/>
        <v>-0.69</v>
      </c>
      <c r="AC17" s="39">
        <v>9.1404986111111128E-2</v>
      </c>
      <c r="AD17" s="37">
        <f t="shared" si="12"/>
        <v>-0.37841664250000007</v>
      </c>
      <c r="AE17" s="37">
        <v>-4.9000000000000004</v>
      </c>
      <c r="AF17" s="37">
        <v>-4.3626840909090898</v>
      </c>
      <c r="AG17" s="37">
        <v>0</v>
      </c>
    </row>
    <row r="18" spans="1:33" ht="15.75" customHeight="1" x14ac:dyDescent="0.2">
      <c r="A18" s="26" t="s">
        <v>62</v>
      </c>
      <c r="B18" s="26" t="s">
        <v>105</v>
      </c>
      <c r="C18" s="14">
        <f t="shared" si="4"/>
        <v>9.99</v>
      </c>
      <c r="D18" s="27">
        <v>3</v>
      </c>
      <c r="E18" s="27">
        <v>0</v>
      </c>
      <c r="F18" s="30">
        <v>29.97</v>
      </c>
      <c r="G18" s="28">
        <v>-6.8100000000000005</v>
      </c>
      <c r="H18" s="29">
        <f t="shared" si="1"/>
        <v>0.22722722722722724</v>
      </c>
      <c r="I18" s="29">
        <f t="shared" si="2"/>
        <v>-0.31704934652076322</v>
      </c>
      <c r="J18" s="30">
        <f t="shared" si="5"/>
        <v>-9.5019689152272733</v>
      </c>
      <c r="K18" s="30">
        <f t="shared" si="3"/>
        <v>-3.1673229717424243</v>
      </c>
      <c r="L18" s="27">
        <v>31</v>
      </c>
      <c r="M18" s="31">
        <f t="shared" si="6"/>
        <v>9.6774193548387094E-2</v>
      </c>
      <c r="N18" s="27">
        <v>37</v>
      </c>
      <c r="O18" s="32">
        <f t="shared" ref="O18:P18" si="26">D18/7</f>
        <v>0.42857142857142855</v>
      </c>
      <c r="P18" s="32">
        <f t="shared" si="26"/>
        <v>0</v>
      </c>
      <c r="Q18" s="27">
        <f t="shared" si="8"/>
        <v>86</v>
      </c>
      <c r="R18" s="27"/>
      <c r="S18" s="33">
        <v>0.80546075085324198</v>
      </c>
      <c r="T18" s="26">
        <v>0</v>
      </c>
      <c r="U18" s="34" t="s">
        <v>34</v>
      </c>
      <c r="V18" s="35" t="s">
        <v>34</v>
      </c>
      <c r="W18" s="26">
        <v>1</v>
      </c>
      <c r="X18" s="36">
        <f t="shared" si="9"/>
        <v>0.33333333333333331</v>
      </c>
      <c r="Y18" s="37">
        <f t="shared" si="10"/>
        <v>3.4050000000000002</v>
      </c>
      <c r="Z18" s="26">
        <v>1</v>
      </c>
      <c r="AA18" s="26" t="s">
        <v>37</v>
      </c>
      <c r="AB18" s="38">
        <f t="shared" si="11"/>
        <v>-0.69</v>
      </c>
      <c r="AC18" s="39">
        <v>9.1404986111111128E-2</v>
      </c>
      <c r="AD18" s="37">
        <f t="shared" si="12"/>
        <v>-0.37841664250000007</v>
      </c>
      <c r="AE18" s="37">
        <v>-4.9000000000000004</v>
      </c>
      <c r="AF18" s="37">
        <v>-4.3626840909090898</v>
      </c>
      <c r="AG18" s="37">
        <v>0</v>
      </c>
    </row>
    <row r="19" spans="1:33" ht="15.75" customHeight="1" x14ac:dyDescent="0.2">
      <c r="A19" s="26" t="s">
        <v>64</v>
      </c>
      <c r="B19" s="26" t="s">
        <v>188</v>
      </c>
      <c r="C19" s="14">
        <f t="shared" si="4"/>
        <v>9.99</v>
      </c>
      <c r="D19" s="27">
        <v>6</v>
      </c>
      <c r="E19" s="27">
        <v>0</v>
      </c>
      <c r="F19" s="30">
        <v>59.94</v>
      </c>
      <c r="G19" s="28">
        <v>-4.8099999999999996</v>
      </c>
      <c r="H19" s="29">
        <f t="shared" si="1"/>
        <v>8.0246913580246909E-2</v>
      </c>
      <c r="I19" s="29">
        <f t="shared" si="2"/>
        <v>-0.17006903287378294</v>
      </c>
      <c r="J19" s="30">
        <f t="shared" si="5"/>
        <v>-10.19393783045455</v>
      </c>
      <c r="K19" s="30">
        <f t="shared" si="3"/>
        <v>-1.6989896384090917</v>
      </c>
      <c r="L19" s="27">
        <v>43</v>
      </c>
      <c r="M19" s="31">
        <f t="shared" si="6"/>
        <v>0.13953488372093023</v>
      </c>
      <c r="N19" s="27">
        <v>31</v>
      </c>
      <c r="O19" s="32">
        <f t="shared" ref="O19:P19" si="27">D19/7</f>
        <v>0.8571428571428571</v>
      </c>
      <c r="P19" s="32">
        <f t="shared" si="27"/>
        <v>0</v>
      </c>
      <c r="Q19" s="27">
        <f t="shared" si="8"/>
        <v>36</v>
      </c>
      <c r="R19" s="27"/>
      <c r="S19" s="33">
        <v>0.82857142857142796</v>
      </c>
      <c r="T19" s="26">
        <v>0</v>
      </c>
      <c r="U19" s="34" t="s">
        <v>34</v>
      </c>
      <c r="V19" s="35" t="s">
        <v>34</v>
      </c>
      <c r="W19" s="26">
        <v>2</v>
      </c>
      <c r="X19" s="36">
        <f t="shared" si="9"/>
        <v>0.33333333333333331</v>
      </c>
      <c r="Y19" s="37">
        <f t="shared" si="10"/>
        <v>2.4049999999999998</v>
      </c>
      <c r="Z19" s="26">
        <v>0</v>
      </c>
      <c r="AA19" s="26" t="s">
        <v>37</v>
      </c>
      <c r="AB19" s="38">
        <f t="shared" si="11"/>
        <v>-0.69</v>
      </c>
      <c r="AC19" s="39">
        <v>9.1404986111111128E-2</v>
      </c>
      <c r="AD19" s="37">
        <f t="shared" si="12"/>
        <v>-0.75683328500000013</v>
      </c>
      <c r="AE19" s="37">
        <v>-4.9000000000000004</v>
      </c>
      <c r="AF19" s="37">
        <v>-4.3626840909090907</v>
      </c>
      <c r="AG19" s="37">
        <v>0</v>
      </c>
    </row>
    <row r="20" spans="1:33" ht="15.75" customHeight="1" x14ac:dyDescent="0.2">
      <c r="A20" s="26" t="s">
        <v>65</v>
      </c>
      <c r="B20" s="26" t="s">
        <v>596</v>
      </c>
      <c r="C20" s="14">
        <f t="shared" si="4"/>
        <v>9.99</v>
      </c>
      <c r="D20" s="27">
        <v>3</v>
      </c>
      <c r="E20" s="27">
        <v>0</v>
      </c>
      <c r="F20" s="30">
        <v>29.97</v>
      </c>
      <c r="G20" s="28">
        <v>0</v>
      </c>
      <c r="H20" s="29">
        <f t="shared" si="1"/>
        <v>0</v>
      </c>
      <c r="I20" s="29">
        <f t="shared" si="2"/>
        <v>-8.9822119293535979E-2</v>
      </c>
      <c r="J20" s="30">
        <f t="shared" si="5"/>
        <v>-2.6919689152272732</v>
      </c>
      <c r="K20" s="30">
        <f t="shared" si="3"/>
        <v>-0.89732297174242437</v>
      </c>
      <c r="L20" s="27">
        <v>18</v>
      </c>
      <c r="M20" s="31">
        <f t="shared" si="6"/>
        <v>0.16666666666666666</v>
      </c>
      <c r="N20" s="27">
        <v>27</v>
      </c>
      <c r="O20" s="32">
        <f t="shared" ref="O20:P20" si="28">D20/7</f>
        <v>0.42857142857142855</v>
      </c>
      <c r="P20" s="32">
        <f t="shared" si="28"/>
        <v>0</v>
      </c>
      <c r="Q20" s="27">
        <f t="shared" si="8"/>
        <v>63</v>
      </c>
      <c r="R20" s="27"/>
      <c r="S20" s="33">
        <v>0.98412698412698396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9.1404986111111128E-2</v>
      </c>
      <c r="AD20" s="37">
        <f t="shared" si="12"/>
        <v>-0.37841664250000007</v>
      </c>
      <c r="AE20" s="37">
        <v>-4.9000000000000004</v>
      </c>
      <c r="AF20" s="37">
        <v>-4.3626840909090907</v>
      </c>
      <c r="AG20" s="37">
        <v>0</v>
      </c>
    </row>
    <row r="21" spans="1:33" ht="15.75" customHeight="1" x14ac:dyDescent="0.2">
      <c r="A21" s="26" t="s">
        <v>66</v>
      </c>
      <c r="B21" s="26" t="s">
        <v>596</v>
      </c>
      <c r="C21" s="14">
        <f t="shared" si="4"/>
        <v>9.99</v>
      </c>
      <c r="D21" s="27">
        <v>4</v>
      </c>
      <c r="E21" s="27">
        <v>0</v>
      </c>
      <c r="F21" s="30">
        <v>39.96</v>
      </c>
      <c r="G21" s="28">
        <v>0</v>
      </c>
      <c r="H21" s="29">
        <f t="shared" si="1"/>
        <v>0</v>
      </c>
      <c r="I21" s="29">
        <f t="shared" si="2"/>
        <v>-8.9822119293535951E-2</v>
      </c>
      <c r="J21" s="30">
        <f t="shared" si="5"/>
        <v>-3.5892918869696966</v>
      </c>
      <c r="K21" s="30">
        <f t="shared" si="3"/>
        <v>-0.89732297174242415</v>
      </c>
      <c r="L21" s="27">
        <v>22</v>
      </c>
      <c r="M21" s="31">
        <f t="shared" si="6"/>
        <v>0.18181818181818182</v>
      </c>
      <c r="N21" s="27">
        <v>24</v>
      </c>
      <c r="O21" s="32">
        <f t="shared" ref="O21:P21" si="29">D21/7</f>
        <v>0.5714285714285714</v>
      </c>
      <c r="P21" s="32">
        <f t="shared" si="29"/>
        <v>0</v>
      </c>
      <c r="Q21" s="27">
        <f t="shared" si="8"/>
        <v>42</v>
      </c>
      <c r="R21" s="27"/>
      <c r="S21" s="33">
        <v>1.0456431535269699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9.1404986111111128E-2</v>
      </c>
      <c r="AD21" s="37">
        <f t="shared" si="12"/>
        <v>-0.50455552333333342</v>
      </c>
      <c r="AE21" s="37">
        <v>-4.9000000000000004</v>
      </c>
      <c r="AF21" s="37">
        <v>-4.3626840909090907</v>
      </c>
      <c r="AG21" s="37">
        <v>0</v>
      </c>
    </row>
    <row r="22" spans="1:33" ht="15.75" customHeight="1" x14ac:dyDescent="0.2">
      <c r="A22" s="26" t="s">
        <v>67</v>
      </c>
      <c r="B22" s="26" t="s">
        <v>1499</v>
      </c>
      <c r="C22" s="14">
        <f t="shared" si="4"/>
        <v>9.99</v>
      </c>
      <c r="D22" s="27">
        <v>6</v>
      </c>
      <c r="E22" s="27">
        <v>0</v>
      </c>
      <c r="F22" s="28">
        <v>59.94</v>
      </c>
      <c r="G22" s="28">
        <v>0</v>
      </c>
      <c r="H22" s="29">
        <f t="shared" si="1"/>
        <v>0</v>
      </c>
      <c r="I22" s="29">
        <f t="shared" si="2"/>
        <v>-8.9822119293535979E-2</v>
      </c>
      <c r="J22" s="30">
        <f t="shared" si="5"/>
        <v>-5.3839378304545464</v>
      </c>
      <c r="K22" s="30">
        <f t="shared" si="3"/>
        <v>-0.89732297174242437</v>
      </c>
      <c r="L22" s="27">
        <v>30</v>
      </c>
      <c r="M22" s="31">
        <f t="shared" si="6"/>
        <v>0.2</v>
      </c>
      <c r="N22" s="27">
        <v>17</v>
      </c>
      <c r="O22" s="32">
        <f t="shared" ref="O22:P22" si="30">D22/7</f>
        <v>0.8571428571428571</v>
      </c>
      <c r="P22" s="32">
        <f t="shared" si="30"/>
        <v>0</v>
      </c>
      <c r="Q22" s="27">
        <f t="shared" si="8"/>
        <v>19</v>
      </c>
      <c r="R22" s="27"/>
      <c r="S22" s="33">
        <v>1.1911111111111099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9.1404986111111128E-2</v>
      </c>
      <c r="AD22" s="37">
        <f t="shared" si="12"/>
        <v>-0.75683328500000013</v>
      </c>
      <c r="AE22" s="37">
        <v>-4.9000000000000004</v>
      </c>
      <c r="AF22" s="37">
        <v>-4.3626840909090907</v>
      </c>
      <c r="AG22" s="37">
        <v>0</v>
      </c>
    </row>
    <row r="23" spans="1:33" ht="15.75" customHeight="1" x14ac:dyDescent="0.2">
      <c r="A23" s="26" t="s">
        <v>68</v>
      </c>
      <c r="B23" s="26" t="s">
        <v>1500</v>
      </c>
      <c r="C23" s="14">
        <f t="shared" si="4"/>
        <v>10.190000000000001</v>
      </c>
      <c r="D23" s="27">
        <v>5</v>
      </c>
      <c r="E23" s="27">
        <v>0</v>
      </c>
      <c r="F23" s="30">
        <v>50.95</v>
      </c>
      <c r="G23" s="28">
        <v>0</v>
      </c>
      <c r="H23" s="29">
        <f t="shared" si="1"/>
        <v>0</v>
      </c>
      <c r="I23" s="29">
        <f t="shared" si="2"/>
        <v>-9.1003235696017981E-2</v>
      </c>
      <c r="J23" s="30">
        <f t="shared" si="5"/>
        <v>-4.6366148587121163</v>
      </c>
      <c r="K23" s="30">
        <f t="shared" si="3"/>
        <v>-0.92732297174242329</v>
      </c>
      <c r="L23" s="27">
        <v>37</v>
      </c>
      <c r="M23" s="31">
        <f t="shared" si="6"/>
        <v>0.13513513513513514</v>
      </c>
      <c r="N23" s="27">
        <v>12</v>
      </c>
      <c r="O23" s="32">
        <f t="shared" ref="O23:P23" si="31">D23/7</f>
        <v>0.7142857142857143</v>
      </c>
      <c r="P23" s="32">
        <f t="shared" si="31"/>
        <v>0</v>
      </c>
      <c r="Q23" s="27">
        <f t="shared" si="8"/>
        <v>16</v>
      </c>
      <c r="R23" s="27"/>
      <c r="S23" s="33">
        <v>1.36633663366336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9.1404986111111128E-2</v>
      </c>
      <c r="AD23" s="37">
        <f t="shared" si="12"/>
        <v>-0.63069440416666678</v>
      </c>
      <c r="AE23" s="37">
        <v>-4.9000000000000004</v>
      </c>
      <c r="AF23" s="37">
        <v>-4.3626840909090907</v>
      </c>
      <c r="AG23" s="37">
        <v>-1</v>
      </c>
    </row>
    <row r="24" spans="1:33" ht="15.75" customHeight="1" x14ac:dyDescent="0.2">
      <c r="A24" s="26" t="s">
        <v>71</v>
      </c>
      <c r="B24" s="26" t="s">
        <v>1501</v>
      </c>
      <c r="C24" s="14">
        <f t="shared" si="4"/>
        <v>9.99</v>
      </c>
      <c r="D24" s="27">
        <v>6</v>
      </c>
      <c r="E24" s="27">
        <v>0</v>
      </c>
      <c r="F24" s="30">
        <v>59.940000000000005</v>
      </c>
      <c r="G24" s="30">
        <v>-0.88</v>
      </c>
      <c r="H24" s="29">
        <f t="shared" si="1"/>
        <v>1.4681348014681347E-2</v>
      </c>
      <c r="I24" s="29">
        <f t="shared" si="2"/>
        <v>-0.13787016734158394</v>
      </c>
      <c r="J24" s="30">
        <f t="shared" si="5"/>
        <v>-8.2639378304545428</v>
      </c>
      <c r="K24" s="30">
        <f t="shared" si="3"/>
        <v>-1.3773229717424238</v>
      </c>
      <c r="L24" s="27">
        <v>47</v>
      </c>
      <c r="M24" s="31">
        <f t="shared" si="6"/>
        <v>0.1276595744680851</v>
      </c>
      <c r="N24" s="27">
        <v>7</v>
      </c>
      <c r="O24" s="32">
        <f t="shared" ref="O24:P24" si="32">D24/7</f>
        <v>0.8571428571428571</v>
      </c>
      <c r="P24" s="32">
        <f t="shared" si="32"/>
        <v>0</v>
      </c>
      <c r="Q24" s="27">
        <f t="shared" si="8"/>
        <v>8</v>
      </c>
      <c r="R24" s="27"/>
      <c r="S24" s="33">
        <v>1.6629213483145999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9.1404986111111128E-2</v>
      </c>
      <c r="AD24" s="37">
        <f t="shared" si="12"/>
        <v>-0.75683328500000013</v>
      </c>
      <c r="AE24" s="37">
        <v>-4.9000000000000004</v>
      </c>
      <c r="AF24" s="37">
        <v>-4.3626840909090907</v>
      </c>
      <c r="AG24" s="37">
        <v>-2</v>
      </c>
    </row>
    <row r="25" spans="1:33" ht="15.75" customHeight="1" x14ac:dyDescent="0.2">
      <c r="A25" s="40" t="s">
        <v>73</v>
      </c>
      <c r="B25" s="40" t="s">
        <v>76</v>
      </c>
      <c r="C25" s="14">
        <f t="shared" si="4"/>
        <v>9.99</v>
      </c>
      <c r="D25" s="15">
        <v>6</v>
      </c>
      <c r="E25" s="15">
        <v>0</v>
      </c>
      <c r="F25" s="16">
        <v>59.94</v>
      </c>
      <c r="G25" s="16">
        <v>-1.22</v>
      </c>
      <c r="H25" s="29">
        <f t="shared" si="1"/>
        <v>2.0353687020353686E-2</v>
      </c>
      <c r="I25" s="29">
        <f t="shared" si="2"/>
        <v>-0.12659047856189534</v>
      </c>
      <c r="J25" s="30">
        <f t="shared" si="5"/>
        <v>-7.5878332850000065</v>
      </c>
      <c r="K25" s="30">
        <f t="shared" si="3"/>
        <v>-1.2646388808333344</v>
      </c>
      <c r="L25" s="15">
        <v>28</v>
      </c>
      <c r="M25" s="31">
        <f t="shared" si="6"/>
        <v>0.21428571428571427</v>
      </c>
      <c r="N25" s="15">
        <v>0</v>
      </c>
      <c r="O25" s="32">
        <f t="shared" ref="O25:P25" si="33">D25/7</f>
        <v>0.8571428571428571</v>
      </c>
      <c r="P25" s="32">
        <f t="shared" si="33"/>
        <v>0</v>
      </c>
      <c r="Q25" s="27">
        <f t="shared" si="8"/>
        <v>0</v>
      </c>
      <c r="R25" s="27"/>
      <c r="S25" s="41">
        <v>0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9.1404986111111128E-2</v>
      </c>
      <c r="AD25" s="37">
        <f t="shared" si="12"/>
        <v>-0.75683328500000013</v>
      </c>
      <c r="AE25" s="42">
        <v>-4.9000000000000004</v>
      </c>
      <c r="AF25" s="42">
        <v>-4.3600000000000003</v>
      </c>
      <c r="AG25" s="42">
        <v>-1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9.1404986111111128E-2</v>
      </c>
      <c r="AD26" s="37">
        <f t="shared" si="12"/>
        <v>0</v>
      </c>
      <c r="AE26" s="42">
        <v>-4.9000000000000004</v>
      </c>
      <c r="AF26" s="42">
        <v>-4.3626840909090898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9.1404986111111128E-2</v>
      </c>
      <c r="AD27" s="37">
        <f t="shared" si="12"/>
        <v>0</v>
      </c>
      <c r="AE27" s="42">
        <v>-4.9000000000000004</v>
      </c>
      <c r="AF27" s="42">
        <v>-4.3626840909090898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9.1404986111111128E-2</v>
      </c>
      <c r="AD28" s="37">
        <f t="shared" si="12"/>
        <v>0</v>
      </c>
      <c r="AE28" s="42">
        <v>-4.9000000000000004</v>
      </c>
      <c r="AF28" s="42">
        <v>-4.3626840909090898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9.1404986111111128E-2</v>
      </c>
      <c r="AD29" s="37">
        <f t="shared" si="12"/>
        <v>0</v>
      </c>
      <c r="AE29" s="37">
        <v>-4.9000000000000004</v>
      </c>
      <c r="AF29" s="42">
        <v>-4.3626840909090898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120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9.1404986111111128E-2</v>
      </c>
      <c r="AD30" s="37">
        <f t="shared" si="12"/>
        <v>0</v>
      </c>
      <c r="AE30" s="42">
        <v>-4.9000000000000004</v>
      </c>
      <c r="AF30" s="42">
        <v>-4.3081060531249999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>
        <v>120</v>
      </c>
      <c r="U31" s="22" t="s">
        <v>34</v>
      </c>
      <c r="V31" s="1" t="s">
        <v>546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9.1404986111111128E-2</v>
      </c>
      <c r="AD31" s="37">
        <f t="shared" si="12"/>
        <v>0</v>
      </c>
      <c r="AE31" s="45">
        <v>-4.9000000000000004</v>
      </c>
      <c r="AF31" s="45">
        <v>-4.3081060531249999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>
        <f ca="1">IFERROR(__xludf.DUMMYFUNCTION("IFERROR(VLOOKUP($B$2,IMPORTRANGE(""https://docs.google.com/spreadsheets/d/1KiWZV1ko8G7lnRucBRBd29jj3Be6ltMfljMDqzOkQmI/edit#gid=1381463014"",""Lookup!A:D""),4,FALSE),"""")"),120)</f>
        <v>120</v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IFERROR(__xludf.DUMMYFUNCTION("IFERROR(VLOOKUP($B$2,IMPORTRANGE(""https://docs.google.com/spreadsheets/d/1KiWZV1ko8G7lnRucBRBd29jj3Be6ltMfljMDqzOkQmI/edit#gid=1381463014"",""Lookup!A:D""),2,FALSE),"""")"),"No Transit, But 120 At Factory 50-75 days from Earliest Arrival")</f>
        <v>No Transit, But 120 At Factory 50-75 days from Earliest Arrival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9.1404986111111128E-2</v>
      </c>
      <c r="AD32" s="37">
        <f t="shared" si="12"/>
        <v>0</v>
      </c>
      <c r="AE32" s="42">
        <v>-4.9000000000000004</v>
      </c>
      <c r="AF32" s="42">
        <v>-4.3081060531249999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A149" s="40"/>
      <c r="B149" s="40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</row>
    <row r="150" spans="1:33" ht="15.75" customHeight="1" x14ac:dyDescent="0.2">
      <c r="A150" s="40"/>
      <c r="B150" s="40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</row>
    <row r="151" spans="1:33" ht="15.75" customHeight="1" x14ac:dyDescent="0.2">
      <c r="A151" s="40"/>
      <c r="B151" s="40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</row>
    <row r="152" spans="1:33" ht="15.75" customHeight="1" x14ac:dyDescent="0.2">
      <c r="A152" s="40"/>
      <c r="B152" s="40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</row>
    <row r="153" spans="1:33" ht="15.75" customHeight="1" x14ac:dyDescent="0.2">
      <c r="A153" s="40"/>
      <c r="B153" s="40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</row>
    <row r="154" spans="1:33" ht="15.75" customHeight="1" x14ac:dyDescent="0.2">
      <c r="A154" s="40"/>
      <c r="B154" s="40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</row>
    <row r="155" spans="1:33" ht="15.75" customHeight="1" x14ac:dyDescent="0.2">
      <c r="A155" s="40"/>
      <c r="B155" s="40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</row>
    <row r="156" spans="1:33" ht="15.75" customHeight="1" x14ac:dyDescent="0.2">
      <c r="A156" s="40"/>
      <c r="B156" s="40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</row>
    <row r="157" spans="1:33" ht="15.75" customHeight="1" x14ac:dyDescent="0.2">
      <c r="A157" s="40"/>
      <c r="B157" s="40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</row>
    <row r="158" spans="1:33" ht="15.75" customHeight="1" x14ac:dyDescent="0.2">
      <c r="A158" s="40"/>
      <c r="B158" s="40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</row>
    <row r="159" spans="1:33" ht="15.75" customHeight="1" x14ac:dyDescent="0.2">
      <c r="A159" s="40"/>
      <c r="B159" s="40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</row>
    <row r="160" spans="1:33" ht="15.75" customHeight="1" x14ac:dyDescent="0.2">
      <c r="A160" s="40"/>
      <c r="B160" s="40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</row>
    <row r="161" spans="1:33" ht="15.75" customHeight="1" x14ac:dyDescent="0.2">
      <c r="A161" s="40"/>
      <c r="B161" s="40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</row>
    <row r="162" spans="1:33" ht="15.75" customHeight="1" x14ac:dyDescent="0.2">
      <c r="A162" s="40"/>
      <c r="B162" s="40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</row>
    <row r="163" spans="1:33" ht="15.75" customHeight="1" x14ac:dyDescent="0.2">
      <c r="A163" s="40"/>
      <c r="B163" s="40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</row>
    <row r="164" spans="1:33" ht="15.75" customHeight="1" x14ac:dyDescent="0.2">
      <c r="A164" s="40"/>
      <c r="B164" s="40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</row>
    <row r="165" spans="1:33" ht="15.75" customHeight="1" x14ac:dyDescent="0.2">
      <c r="A165" s="40"/>
      <c r="B165" s="40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</row>
    <row r="166" spans="1:33" ht="15.75" customHeight="1" x14ac:dyDescent="0.2">
      <c r="A166" s="40"/>
      <c r="B166" s="40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</row>
    <row r="167" spans="1:33" ht="15.75" customHeight="1" x14ac:dyDescent="0.2">
      <c r="A167" s="40"/>
      <c r="B167" s="40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</row>
    <row r="168" spans="1:33" ht="15.75" customHeight="1" x14ac:dyDescent="0.2">
      <c r="A168" s="40"/>
      <c r="B168" s="40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</row>
    <row r="169" spans="1:33" ht="15.75" customHeight="1" x14ac:dyDescent="0.2">
      <c r="A169" s="40"/>
      <c r="B169" s="40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</row>
    <row r="170" spans="1:33" ht="15.75" customHeight="1" x14ac:dyDescent="0.2">
      <c r="A170" s="40"/>
      <c r="B170" s="40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</row>
    <row r="171" spans="1:33" ht="15.75" customHeight="1" x14ac:dyDescent="0.2">
      <c r="A171" s="40"/>
      <c r="B171" s="40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</row>
    <row r="172" spans="1:33" ht="15.75" customHeight="1" x14ac:dyDescent="0.2">
      <c r="A172" s="40"/>
      <c r="B172" s="40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</row>
    <row r="173" spans="1:33" ht="15.75" customHeight="1" x14ac:dyDescent="0.2">
      <c r="A173" s="40"/>
      <c r="B173" s="40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</row>
    <row r="174" spans="1:33" ht="15.75" customHeight="1" x14ac:dyDescent="0.2">
      <c r="A174" s="40"/>
      <c r="B174" s="40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</row>
    <row r="175" spans="1:33" ht="15.75" customHeight="1" x14ac:dyDescent="0.2">
      <c r="A175" s="40"/>
      <c r="B175" s="40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</row>
    <row r="176" spans="1:33" ht="15.75" customHeight="1" x14ac:dyDescent="0.2">
      <c r="A176" s="40"/>
      <c r="B176" s="40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</row>
    <row r="177" spans="1:33" ht="15.75" customHeight="1" x14ac:dyDescent="0.2">
      <c r="A177" s="40"/>
      <c r="B177" s="40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</row>
    <row r="178" spans="1:33" ht="15.75" customHeight="1" x14ac:dyDescent="0.2">
      <c r="A178" s="40"/>
      <c r="B178" s="40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</row>
    <row r="179" spans="1:33" ht="15.75" customHeight="1" x14ac:dyDescent="0.2">
      <c r="A179" s="40"/>
      <c r="B179" s="40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</row>
    <row r="180" spans="1:33" ht="15.75" customHeight="1" x14ac:dyDescent="0.2">
      <c r="A180" s="40"/>
      <c r="B180" s="40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</row>
    <row r="181" spans="1:33" ht="15.75" customHeight="1" x14ac:dyDescent="0.2">
      <c r="A181" s="40"/>
      <c r="B181" s="40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 ht="15.75" customHeight="1" x14ac:dyDescent="0.2">
      <c r="A182" s="40"/>
      <c r="B182" s="40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</row>
    <row r="183" spans="1:33" ht="15.75" customHeight="1" x14ac:dyDescent="0.2">
      <c r="A183" s="40"/>
      <c r="B183" s="40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</row>
    <row r="184" spans="1:33" ht="15.75" customHeight="1" x14ac:dyDescent="0.2">
      <c r="A184" s="40"/>
      <c r="B184" s="40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</row>
    <row r="185" spans="1:33" ht="15.75" customHeight="1" x14ac:dyDescent="0.2">
      <c r="A185" s="40"/>
      <c r="B185" s="40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</row>
    <row r="186" spans="1:33" ht="15.75" customHeight="1" x14ac:dyDescent="0.2">
      <c r="A186" s="40"/>
      <c r="B186" s="40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</row>
    <row r="187" spans="1:33" ht="15.75" customHeight="1" x14ac:dyDescent="0.2">
      <c r="A187" s="40"/>
      <c r="B187" s="40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</row>
    <row r="188" spans="1:33" ht="15.75" customHeight="1" x14ac:dyDescent="0.2">
      <c r="A188" s="40"/>
      <c r="B188" s="40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</row>
    <row r="189" spans="1:33" ht="15.75" customHeight="1" x14ac:dyDescent="0.2">
      <c r="A189" s="40"/>
      <c r="B189" s="40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</row>
    <row r="190" spans="1:33" ht="15.75" customHeight="1" x14ac:dyDescent="0.2">
      <c r="A190" s="40"/>
      <c r="B190" s="40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</row>
    <row r="191" spans="1:33" ht="15.75" customHeight="1" x14ac:dyDescent="0.2">
      <c r="A191" s="40"/>
      <c r="B191" s="40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 ht="15.75" customHeight="1" x14ac:dyDescent="0.2">
      <c r="A192" s="40"/>
      <c r="B192" s="40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</row>
    <row r="193" spans="1:33" ht="15.75" customHeight="1" x14ac:dyDescent="0.2">
      <c r="A193" s="40"/>
      <c r="B193" s="40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</row>
    <row r="194" spans="1:33" ht="15.75" customHeight="1" x14ac:dyDescent="0.2">
      <c r="A194" s="40"/>
      <c r="B194" s="40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</row>
    <row r="195" spans="1:33" ht="15.75" customHeight="1" x14ac:dyDescent="0.2">
      <c r="A195" s="40"/>
      <c r="B195" s="40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</row>
    <row r="196" spans="1:33" ht="15.75" customHeight="1" x14ac:dyDescent="0.2">
      <c r="A196" s="40"/>
      <c r="B196" s="40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</row>
    <row r="197" spans="1:33" ht="15.75" customHeight="1" x14ac:dyDescent="0.2">
      <c r="A197" s="40"/>
      <c r="B197" s="40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</row>
    <row r="198" spans="1:33" ht="15.75" customHeight="1" x14ac:dyDescent="0.2">
      <c r="A198" s="40"/>
      <c r="B198" s="40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</row>
    <row r="199" spans="1:33" ht="15.75" customHeight="1" x14ac:dyDescent="0.2">
      <c r="A199" s="40"/>
      <c r="B199" s="40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</row>
    <row r="200" spans="1:33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1:33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1:33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1:33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1:33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1:33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1:33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1:33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1:33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4.5" customWidth="1"/>
    <col min="3" max="3" width="8" customWidth="1"/>
    <col min="4" max="4" width="6.5" customWidth="1"/>
    <col min="5" max="5" width="10" customWidth="1"/>
    <col min="6" max="7" width="12.16406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2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Info!B1:BJ5000""),3,FALSE),"""")"),"Office Desk Mat, Dark Blue &amp; Tan, Textured - 47 x 23 Inch Plastic Computer Pad for Desk")</f>
        <v>Office Desk Mat, Dark Blue &amp; Tan, Textured - 47 x 23 Inch Plastic Computer Pad for Desk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Info!B1:BJ5000""),2,FALSE),"""")"),"B07T9NK5J7")</f>
        <v>B07T9NK5J7</v>
      </c>
      <c r="B2" s="3" t="s">
        <v>1502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4.75" customHeight="1" x14ac:dyDescent="0.2">
      <c r="A3" s="68" t="s">
        <v>31</v>
      </c>
      <c r="B3" s="69"/>
      <c r="C3" s="48">
        <f>((AE32+AF32)/0.85)*-1</f>
        <v>15.981423566176469</v>
      </c>
      <c r="D3" s="5">
        <f>SUM(D4:D99767)</f>
        <v>1</v>
      </c>
      <c r="E3" s="5"/>
      <c r="F3" s="6">
        <f t="shared" ref="F3:G3" si="0">SUM(F4:F99767)</f>
        <v>25.99</v>
      </c>
      <c r="G3" s="6">
        <f t="shared" si="0"/>
        <v>-0.08</v>
      </c>
      <c r="H3" s="7">
        <f t="shared" ref="H3:H32" si="1">G3/F3*-1</f>
        <v>3.0781069642170067E-3</v>
      </c>
      <c r="I3" s="8">
        <f t="shared" ref="I3:I32" si="2">J3/F3</f>
        <v>0.33637720158640899</v>
      </c>
      <c r="J3" s="6">
        <f>SUM(J4:J99767)</f>
        <v>8.7424434692307695</v>
      </c>
      <c r="K3" s="6">
        <f t="shared" ref="K3:K32" si="3">J3/D3</f>
        <v>8.7424434692307695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0</v>
      </c>
      <c r="X3" s="7">
        <f>W3/D3</f>
        <v>0</v>
      </c>
      <c r="Y3" s="6"/>
      <c r="Z3" s="5"/>
      <c r="AA3" s="5"/>
      <c r="AB3" s="5"/>
      <c r="AC3" s="5"/>
      <c r="AD3" s="6">
        <f>SUM(AD4:AD99767)</f>
        <v>-4.7401466666666663E-2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Info!B2:BZ3000""),37,FALSE)),"""")*-1"),-4.56421003125)</f>
        <v>-4.56421003125</v>
      </c>
      <c r="AG3" s="6">
        <f>SUM(AG4:AG99767)</f>
        <v>0</v>
      </c>
    </row>
    <row r="4" spans="1:33" ht="16" x14ac:dyDescent="0.2">
      <c r="A4" s="1" t="s">
        <v>32</v>
      </c>
      <c r="B4" s="2"/>
      <c r="C4" s="14" t="str">
        <f t="shared" ref="C4:C32" si="4">IFERROR(F4/D4," - ")</f>
        <v xml:space="preserve"> - </v>
      </c>
      <c r="D4" s="15">
        <v>0</v>
      </c>
      <c r="E4" s="15">
        <v>0</v>
      </c>
      <c r="F4" s="16">
        <v>0</v>
      </c>
      <c r="G4" s="16">
        <v>0</v>
      </c>
      <c r="H4" s="17" t="e">
        <f t="shared" si="1"/>
        <v>#DIV/0!</v>
      </c>
      <c r="I4" s="17" t="e">
        <f t="shared" si="2"/>
        <v>#DIV/0!</v>
      </c>
      <c r="J4" s="16">
        <f t="shared" ref="J4:J32" si="5">F4*0.85+G4+AF4*D4+D4*AE4+AG4+AD4</f>
        <v>0</v>
      </c>
      <c r="K4" s="16" t="e">
        <f t="shared" si="3"/>
        <v>#DIV/0!</v>
      </c>
      <c r="L4" s="15">
        <v>0</v>
      </c>
      <c r="M4" s="18" t="str">
        <f t="shared" ref="M4:M32" si="6">IFERROR(D4/L4,"-")</f>
        <v>-</v>
      </c>
      <c r="N4" s="15">
        <v>0</v>
      </c>
      <c r="O4" s="19">
        <f t="shared" ref="O4:P4" si="7">D4/7</f>
        <v>0</v>
      </c>
      <c r="P4" s="19">
        <f t="shared" si="7"/>
        <v>0</v>
      </c>
      <c r="Q4" s="15" t="e">
        <f t="shared" ref="Q4:Q32" si="8">ROUNDDOWN(N4/(O4+P4),0)</f>
        <v>#DIV/0!</v>
      </c>
      <c r="R4" s="15"/>
      <c r="S4" s="20">
        <v>0.57142857142857095</v>
      </c>
      <c r="T4" s="2">
        <v>108</v>
      </c>
      <c r="U4" s="2" t="s">
        <v>34</v>
      </c>
      <c r="V4" s="21" t="s">
        <v>1503</v>
      </c>
      <c r="W4" s="22">
        <v>0</v>
      </c>
      <c r="X4" s="23">
        <f t="shared" ref="X4:X32" si="9">IFERROR(W4/D4,0)</f>
        <v>0</v>
      </c>
      <c r="Y4" s="24">
        <f t="shared" ref="Y4:Y32" si="10">IFERROR(G4/(W4+Z4)*-1,0)</f>
        <v>0</v>
      </c>
      <c r="Z4" s="22">
        <v>0</v>
      </c>
      <c r="AA4" s="2" t="e">
        <v>#N/A</v>
      </c>
      <c r="AB4" s="24" t="e">
        <f t="shared" ref="AB4:AB32" si="11">IF(OR(AA4="UsLargeStandardSize",AA4="UsSmallStandardSize"),-0.69,-0.48)</f>
        <v>#N/A</v>
      </c>
      <c r="AC4" s="25" t="e">
        <v>#N/A</v>
      </c>
      <c r="AD4" s="24">
        <f t="shared" ref="AD4:AD32" si="12">IFERROR(AB4*AC4*D4*2,0)</f>
        <v>0</v>
      </c>
      <c r="AE4" s="24">
        <v>0</v>
      </c>
      <c r="AF4" s="24">
        <v>-4.0859499358974354</v>
      </c>
      <c r="AG4" s="24">
        <v>0</v>
      </c>
    </row>
    <row r="5" spans="1:33" ht="15.75" customHeight="1" x14ac:dyDescent="0.2">
      <c r="A5" s="26" t="s">
        <v>35</v>
      </c>
      <c r="B5" s="26"/>
      <c r="C5" s="14" t="str">
        <f t="shared" si="4"/>
        <v xml:space="preserve"> - </v>
      </c>
      <c r="D5" s="27">
        <v>0</v>
      </c>
      <c r="E5" s="27">
        <v>0</v>
      </c>
      <c r="F5" s="28">
        <v>0</v>
      </c>
      <c r="G5" s="28">
        <v>0</v>
      </c>
      <c r="H5" s="29" t="e">
        <f t="shared" si="1"/>
        <v>#DIV/0!</v>
      </c>
      <c r="I5" s="29" t="e">
        <f t="shared" si="2"/>
        <v>#DIV/0!</v>
      </c>
      <c r="J5" s="30">
        <f t="shared" si="5"/>
        <v>0</v>
      </c>
      <c r="K5" s="30" t="e">
        <f t="shared" si="3"/>
        <v>#DIV/0!</v>
      </c>
      <c r="L5" s="27">
        <v>0</v>
      </c>
      <c r="M5" s="31" t="str">
        <f t="shared" si="6"/>
        <v>-</v>
      </c>
      <c r="N5" s="27">
        <v>0</v>
      </c>
      <c r="O5" s="32">
        <f t="shared" ref="O5:P5" si="13">D5/7</f>
        <v>0</v>
      </c>
      <c r="P5" s="32">
        <f t="shared" si="13"/>
        <v>0</v>
      </c>
      <c r="Q5" s="27" t="e">
        <f t="shared" si="8"/>
        <v>#DIV/0!</v>
      </c>
      <c r="R5" s="27"/>
      <c r="S5" s="33">
        <v>3.55555555555555</v>
      </c>
      <c r="T5" s="26">
        <v>108</v>
      </c>
      <c r="U5" s="34" t="s">
        <v>34</v>
      </c>
      <c r="V5" s="35" t="s">
        <v>1503</v>
      </c>
      <c r="W5" s="26">
        <v>0</v>
      </c>
      <c r="X5" s="36">
        <f t="shared" si="9"/>
        <v>0</v>
      </c>
      <c r="Y5" s="37">
        <f t="shared" si="10"/>
        <v>0</v>
      </c>
      <c r="Z5" s="26">
        <v>0</v>
      </c>
      <c r="AA5" s="26" t="e">
        <v>#N/A</v>
      </c>
      <c r="AB5" s="38" t="e">
        <f t="shared" si="11"/>
        <v>#N/A</v>
      </c>
      <c r="AC5" s="39" t="e">
        <v>#N/A</v>
      </c>
      <c r="AD5" s="37">
        <f t="shared" si="12"/>
        <v>0</v>
      </c>
      <c r="AE5" s="37">
        <v>0</v>
      </c>
      <c r="AF5" s="37">
        <v>-4.0859499358974354</v>
      </c>
      <c r="AG5" s="37">
        <v>0</v>
      </c>
    </row>
    <row r="6" spans="1:33" ht="15.75" customHeight="1" x14ac:dyDescent="0.2">
      <c r="A6" s="26" t="s">
        <v>38</v>
      </c>
      <c r="B6" s="26"/>
      <c r="C6" s="14" t="str">
        <f t="shared" si="4"/>
        <v xml:space="preserve"> - </v>
      </c>
      <c r="D6" s="27">
        <v>0</v>
      </c>
      <c r="E6" s="27">
        <v>0</v>
      </c>
      <c r="F6" s="28">
        <v>0</v>
      </c>
      <c r="G6" s="28">
        <v>0</v>
      </c>
      <c r="H6" s="29" t="e">
        <f t="shared" si="1"/>
        <v>#DIV/0!</v>
      </c>
      <c r="I6" s="29" t="e">
        <f t="shared" si="2"/>
        <v>#DIV/0!</v>
      </c>
      <c r="J6" s="30">
        <f t="shared" si="5"/>
        <v>0</v>
      </c>
      <c r="K6" s="30" t="e">
        <f t="shared" si="3"/>
        <v>#DIV/0!</v>
      </c>
      <c r="L6" s="27">
        <v>0</v>
      </c>
      <c r="M6" s="31" t="str">
        <f t="shared" si="6"/>
        <v>-</v>
      </c>
      <c r="N6" s="27">
        <v>0</v>
      </c>
      <c r="O6" s="32">
        <f t="shared" ref="O6:P6" si="14">D6/7</f>
        <v>0</v>
      </c>
      <c r="P6" s="32">
        <f t="shared" si="14"/>
        <v>0</v>
      </c>
      <c r="Q6" s="27" t="e">
        <f t="shared" si="8"/>
        <v>#DIV/0!</v>
      </c>
      <c r="R6" s="27"/>
      <c r="S6" s="33">
        <v>3.7647058823529398</v>
      </c>
      <c r="T6" s="26">
        <v>108</v>
      </c>
      <c r="U6" s="34">
        <v>54</v>
      </c>
      <c r="V6" s="49" t="s">
        <v>1504</v>
      </c>
      <c r="W6" s="26">
        <v>0</v>
      </c>
      <c r="X6" s="36">
        <f t="shared" si="9"/>
        <v>0</v>
      </c>
      <c r="Y6" s="37">
        <f t="shared" si="10"/>
        <v>0</v>
      </c>
      <c r="Z6" s="26">
        <v>0</v>
      </c>
      <c r="AA6" s="26" t="e">
        <v>#N/A</v>
      </c>
      <c r="AB6" s="38" t="e">
        <f t="shared" si="11"/>
        <v>#N/A</v>
      </c>
      <c r="AC6" s="39" t="e">
        <v>#N/A</v>
      </c>
      <c r="AD6" s="37">
        <f t="shared" si="12"/>
        <v>0</v>
      </c>
      <c r="AE6" s="37">
        <v>0</v>
      </c>
      <c r="AF6" s="37">
        <v>-4.0859499358974354</v>
      </c>
      <c r="AG6" s="37">
        <v>0</v>
      </c>
    </row>
    <row r="7" spans="1:33" ht="15.75" customHeight="1" x14ac:dyDescent="0.2">
      <c r="A7" s="26" t="s">
        <v>41</v>
      </c>
      <c r="B7" s="26"/>
      <c r="C7" s="14" t="str">
        <f t="shared" si="4"/>
        <v xml:space="preserve"> - </v>
      </c>
      <c r="D7" s="27">
        <v>0</v>
      </c>
      <c r="E7" s="27">
        <v>0</v>
      </c>
      <c r="F7" s="28">
        <v>0</v>
      </c>
      <c r="G7" s="28">
        <v>0</v>
      </c>
      <c r="H7" s="29" t="e">
        <f t="shared" si="1"/>
        <v>#DIV/0!</v>
      </c>
      <c r="I7" s="29" t="e">
        <f t="shared" si="2"/>
        <v>#DIV/0!</v>
      </c>
      <c r="J7" s="30">
        <f t="shared" si="5"/>
        <v>0</v>
      </c>
      <c r="K7" s="30" t="e">
        <f t="shared" si="3"/>
        <v>#DIV/0!</v>
      </c>
      <c r="L7" s="27">
        <v>0</v>
      </c>
      <c r="M7" s="31" t="str">
        <f t="shared" si="6"/>
        <v>-</v>
      </c>
      <c r="N7" s="27">
        <v>0</v>
      </c>
      <c r="O7" s="32">
        <f t="shared" ref="O7:P7" si="15">D7/7</f>
        <v>0</v>
      </c>
      <c r="P7" s="32">
        <f t="shared" si="15"/>
        <v>0</v>
      </c>
      <c r="Q7" s="27" t="e">
        <f t="shared" si="8"/>
        <v>#DIV/0!</v>
      </c>
      <c r="R7" s="27"/>
      <c r="S7" s="33" t="e">
        <v>#N/A</v>
      </c>
      <c r="T7" s="26">
        <v>108</v>
      </c>
      <c r="U7" s="34">
        <v>54</v>
      </c>
      <c r="V7" s="49" t="s">
        <v>1504</v>
      </c>
      <c r="W7" s="26">
        <v>0</v>
      </c>
      <c r="X7" s="36">
        <f t="shared" si="9"/>
        <v>0</v>
      </c>
      <c r="Y7" s="37">
        <f t="shared" si="10"/>
        <v>0</v>
      </c>
      <c r="Z7" s="26">
        <v>0</v>
      </c>
      <c r="AA7" s="26" t="e">
        <v>#N/A</v>
      </c>
      <c r="AB7" s="38" t="e">
        <f t="shared" si="11"/>
        <v>#N/A</v>
      </c>
      <c r="AC7" s="39" t="e">
        <v>#N/A</v>
      </c>
      <c r="AD7" s="37">
        <f t="shared" si="12"/>
        <v>0</v>
      </c>
      <c r="AE7" s="37">
        <v>0</v>
      </c>
      <c r="AF7" s="37">
        <v>-4.0859499358974354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 t="e">
        <v>#N/A</v>
      </c>
      <c r="T8" s="26">
        <v>36</v>
      </c>
      <c r="U8" s="34">
        <v>36</v>
      </c>
      <c r="V8" s="35" t="s">
        <v>1505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e">
        <v>#N/A</v>
      </c>
      <c r="AB8" s="38" t="e">
        <f t="shared" si="11"/>
        <v>#N/A</v>
      </c>
      <c r="AC8" s="39" t="e">
        <v>#N/A</v>
      </c>
      <c r="AD8" s="37">
        <f t="shared" si="12"/>
        <v>0</v>
      </c>
      <c r="AE8" s="37">
        <v>0</v>
      </c>
      <c r="AF8" s="37">
        <v>-4.09</v>
      </c>
      <c r="AG8" s="37">
        <v>0</v>
      </c>
    </row>
    <row r="9" spans="1:33" ht="15.75" customHeight="1" x14ac:dyDescent="0.2">
      <c r="A9" s="26" t="s">
        <v>45</v>
      </c>
      <c r="B9" s="26" t="s">
        <v>1247</v>
      </c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-0.08</v>
      </c>
      <c r="H9" s="29" t="e">
        <f t="shared" si="1"/>
        <v>#DIV/0!</v>
      </c>
      <c r="I9" s="29" t="e">
        <f t="shared" si="2"/>
        <v>#DIV/0!</v>
      </c>
      <c r="J9" s="30">
        <f t="shared" si="5"/>
        <v>-0.08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1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>
        <v>1.7777777777777699</v>
      </c>
      <c r="T9" s="26">
        <v>36</v>
      </c>
      <c r="U9" s="34">
        <v>36</v>
      </c>
      <c r="V9" s="35" t="s">
        <v>1506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250</v>
      </c>
      <c r="AB9" s="38">
        <f t="shared" si="11"/>
        <v>-0.48</v>
      </c>
      <c r="AC9" s="39">
        <v>4.9376527777777776E-2</v>
      </c>
      <c r="AD9" s="37">
        <f t="shared" si="12"/>
        <v>0</v>
      </c>
      <c r="AE9" s="37">
        <v>-9.02</v>
      </c>
      <c r="AF9" s="37">
        <v>-4.2016550641025603</v>
      </c>
      <c r="AG9" s="37">
        <v>0</v>
      </c>
    </row>
    <row r="10" spans="1:33" ht="15.75" customHeight="1" x14ac:dyDescent="0.2">
      <c r="A10" s="26" t="s">
        <v>48</v>
      </c>
      <c r="B10" s="26" t="s">
        <v>461</v>
      </c>
      <c r="C10" s="14">
        <f t="shared" si="4"/>
        <v>25.99</v>
      </c>
      <c r="D10" s="27">
        <v>1</v>
      </c>
      <c r="E10" s="27">
        <v>0</v>
      </c>
      <c r="F10" s="28">
        <v>25.99</v>
      </c>
      <c r="G10" s="28">
        <v>0</v>
      </c>
      <c r="H10" s="29">
        <f t="shared" si="1"/>
        <v>0</v>
      </c>
      <c r="I10" s="29">
        <f t="shared" si="2"/>
        <v>0.339455308550626</v>
      </c>
      <c r="J10" s="30">
        <f t="shared" si="5"/>
        <v>8.8224434692307696</v>
      </c>
      <c r="K10" s="30">
        <f t="shared" si="3"/>
        <v>8.8224434692307696</v>
      </c>
      <c r="L10" s="27">
        <v>45</v>
      </c>
      <c r="M10" s="31">
        <f t="shared" si="6"/>
        <v>2.2222222222222223E-2</v>
      </c>
      <c r="N10" s="27">
        <v>0</v>
      </c>
      <c r="O10" s="32">
        <f t="shared" ref="O10:P10" si="18">D10/7</f>
        <v>0.14285714285714285</v>
      </c>
      <c r="P10" s="32">
        <f t="shared" si="18"/>
        <v>0</v>
      </c>
      <c r="Q10" s="27">
        <f t="shared" si="8"/>
        <v>0</v>
      </c>
      <c r="R10" s="27"/>
      <c r="S10" s="33" t="e">
        <v>#N/A</v>
      </c>
      <c r="T10" s="26">
        <v>36</v>
      </c>
      <c r="U10" s="34">
        <v>36</v>
      </c>
      <c r="V10" s="35" t="s">
        <v>1507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250</v>
      </c>
      <c r="AB10" s="38">
        <f t="shared" si="11"/>
        <v>-0.48</v>
      </c>
      <c r="AC10" s="39">
        <v>4.9376527777777776E-2</v>
      </c>
      <c r="AD10" s="37">
        <f t="shared" si="12"/>
        <v>-4.7401466666666663E-2</v>
      </c>
      <c r="AE10" s="37">
        <v>-9.02</v>
      </c>
      <c r="AF10" s="37">
        <v>-4.2016550641025603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36</v>
      </c>
      <c r="U11" s="34">
        <v>36</v>
      </c>
      <c r="V11" s="35" t="s">
        <v>1507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250</v>
      </c>
      <c r="AB11" s="38">
        <f t="shared" si="11"/>
        <v>-0.48</v>
      </c>
      <c r="AC11" s="39">
        <v>4.9376527777777776E-2</v>
      </c>
      <c r="AD11" s="37">
        <f t="shared" si="12"/>
        <v>0</v>
      </c>
      <c r="AE11" s="37">
        <v>-9.02</v>
      </c>
      <c r="AF11" s="37">
        <v>-4.2016550641025603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#DIV/0!</v>
      </c>
      <c r="J12" s="30">
        <f t="shared" si="5"/>
        <v>0</v>
      </c>
      <c r="K12" s="30" t="e">
        <f t="shared" si="3"/>
        <v>#DIV/0!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36</v>
      </c>
      <c r="U12" s="34">
        <v>36</v>
      </c>
      <c r="V12" s="35" t="s">
        <v>1507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250</v>
      </c>
      <c r="AB12" s="38">
        <f t="shared" si="11"/>
        <v>-0.48</v>
      </c>
      <c r="AC12" s="39">
        <v>4.9376527777777776E-2</v>
      </c>
      <c r="AD12" s="37">
        <f t="shared" si="12"/>
        <v>0</v>
      </c>
      <c r="AE12" s="37">
        <v>-9.02</v>
      </c>
      <c r="AF12" s="37">
        <v>-4.2016550641025603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#DIV/0!</v>
      </c>
      <c r="J13" s="30">
        <f t="shared" si="5"/>
        <v>0</v>
      </c>
      <c r="K13" s="30" t="e">
        <f t="shared" si="3"/>
        <v>#DIV/0!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36</v>
      </c>
      <c r="U13" s="34">
        <v>36</v>
      </c>
      <c r="V13" s="35" t="s">
        <v>1507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250</v>
      </c>
      <c r="AB13" s="38">
        <f t="shared" si="11"/>
        <v>-0.48</v>
      </c>
      <c r="AC13" s="39">
        <v>4.9376527777777776E-2</v>
      </c>
      <c r="AD13" s="37">
        <f t="shared" si="12"/>
        <v>0</v>
      </c>
      <c r="AE13" s="37">
        <v>-9.02</v>
      </c>
      <c r="AF13" s="37">
        <v>-4.2625525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#DIV/0!</v>
      </c>
      <c r="J14" s="30">
        <f t="shared" si="5"/>
        <v>0</v>
      </c>
      <c r="K14" s="30" t="e">
        <f t="shared" si="3"/>
        <v>#DIV/0!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36</v>
      </c>
      <c r="U14" s="34">
        <v>36</v>
      </c>
      <c r="V14" s="35" t="s">
        <v>1508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250</v>
      </c>
      <c r="AB14" s="38">
        <f t="shared" si="11"/>
        <v>-0.48</v>
      </c>
      <c r="AC14" s="39">
        <v>4.9376527777777776E-2</v>
      </c>
      <c r="AD14" s="37">
        <f t="shared" si="12"/>
        <v>0</v>
      </c>
      <c r="AE14" s="37">
        <v>-9.02</v>
      </c>
      <c r="AF14" s="37">
        <v>-4.2625525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#DIV/0!</v>
      </c>
      <c r="J15" s="30">
        <f t="shared" si="5"/>
        <v>0</v>
      </c>
      <c r="K15" s="30" t="e">
        <f t="shared" si="3"/>
        <v>#DIV/0!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36</v>
      </c>
      <c r="U15" s="34">
        <v>36</v>
      </c>
      <c r="V15" s="35" t="s">
        <v>1506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250</v>
      </c>
      <c r="AB15" s="38">
        <f t="shared" si="11"/>
        <v>-0.48</v>
      </c>
      <c r="AC15" s="39">
        <v>4.9376527777777776E-2</v>
      </c>
      <c r="AD15" s="37">
        <f t="shared" si="12"/>
        <v>0</v>
      </c>
      <c r="AE15" s="37">
        <v>-9.02</v>
      </c>
      <c r="AF15" s="37">
        <v>-4.2625525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#DIV/0!</v>
      </c>
      <c r="J16" s="30">
        <f t="shared" si="5"/>
        <v>0</v>
      </c>
      <c r="K16" s="30" t="e">
        <f t="shared" si="3"/>
        <v>#DIV/0!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250</v>
      </c>
      <c r="AB16" s="38">
        <f t="shared" si="11"/>
        <v>-0.48</v>
      </c>
      <c r="AC16" s="39">
        <v>4.9376527777777776E-2</v>
      </c>
      <c r="AD16" s="37">
        <f t="shared" si="12"/>
        <v>0</v>
      </c>
      <c r="AE16" s="37">
        <v>-9.02</v>
      </c>
      <c r="AF16" s="37">
        <v>-4.2625525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#DIV/0!</v>
      </c>
      <c r="J17" s="30">
        <f t="shared" si="5"/>
        <v>0</v>
      </c>
      <c r="K17" s="30" t="e">
        <f t="shared" si="3"/>
        <v>#DIV/0!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250</v>
      </c>
      <c r="AB17" s="38">
        <f t="shared" si="11"/>
        <v>-0.48</v>
      </c>
      <c r="AC17" s="39">
        <v>4.9376527777777776E-2</v>
      </c>
      <c r="AD17" s="37">
        <f t="shared" si="12"/>
        <v>0</v>
      </c>
      <c r="AE17" s="37">
        <v>-9.02</v>
      </c>
      <c r="AF17" s="37">
        <v>-4.2625525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#DIV/0!</v>
      </c>
      <c r="J18" s="30">
        <f t="shared" si="5"/>
        <v>0</v>
      </c>
      <c r="K18" s="30" t="e">
        <f t="shared" si="3"/>
        <v>#DIV/0!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250</v>
      </c>
      <c r="AB18" s="38">
        <f t="shared" si="11"/>
        <v>-0.48</v>
      </c>
      <c r="AC18" s="39">
        <v>4.9376527777777776E-2</v>
      </c>
      <c r="AD18" s="37">
        <f t="shared" si="12"/>
        <v>0</v>
      </c>
      <c r="AE18" s="37">
        <v>-9.02</v>
      </c>
      <c r="AF18" s="37">
        <v>-4.2625525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250</v>
      </c>
      <c r="AB19" s="38">
        <f t="shared" si="11"/>
        <v>-0.48</v>
      </c>
      <c r="AC19" s="39">
        <v>4.9376527777777776E-2</v>
      </c>
      <c r="AD19" s="37">
        <f t="shared" si="12"/>
        <v>0</v>
      </c>
      <c r="AE19" s="37">
        <v>-9.02</v>
      </c>
      <c r="AF19" s="37">
        <v>-4.2625525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250</v>
      </c>
      <c r="AB20" s="38">
        <f t="shared" si="11"/>
        <v>-0.48</v>
      </c>
      <c r="AC20" s="39">
        <v>4.9376527777777776E-2</v>
      </c>
      <c r="AD20" s="37">
        <f t="shared" si="12"/>
        <v>0</v>
      </c>
      <c r="AE20" s="37">
        <v>-9.02</v>
      </c>
      <c r="AF20" s="37">
        <v>-4.2625525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250</v>
      </c>
      <c r="AB21" s="38">
        <f t="shared" si="11"/>
        <v>-0.48</v>
      </c>
      <c r="AC21" s="39">
        <v>4.9376527777777776E-2</v>
      </c>
      <c r="AD21" s="37">
        <f t="shared" si="12"/>
        <v>0</v>
      </c>
      <c r="AE21" s="37">
        <v>-9.02</v>
      </c>
      <c r="AF21" s="37">
        <v>-4.2625525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250</v>
      </c>
      <c r="AB22" s="38">
        <f t="shared" si="11"/>
        <v>-0.48</v>
      </c>
      <c r="AC22" s="39">
        <v>4.9376527777777776E-2</v>
      </c>
      <c r="AD22" s="37">
        <f t="shared" si="12"/>
        <v>0</v>
      </c>
      <c r="AE22" s="37">
        <v>-9.02</v>
      </c>
      <c r="AF22" s="37">
        <v>-4.2625525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250</v>
      </c>
      <c r="AB23" s="38">
        <f t="shared" si="11"/>
        <v>-0.48</v>
      </c>
      <c r="AC23" s="39">
        <v>4.9376527777777776E-2</v>
      </c>
      <c r="AD23" s="37">
        <f t="shared" si="12"/>
        <v>0</v>
      </c>
      <c r="AE23" s="37">
        <v>-9.02</v>
      </c>
      <c r="AF23" s="37">
        <v>-4.2625525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250</v>
      </c>
      <c r="AB24" s="38">
        <f t="shared" si="11"/>
        <v>-0.48</v>
      </c>
      <c r="AC24" s="39">
        <v>4.9376527777777776E-2</v>
      </c>
      <c r="AD24" s="37">
        <f t="shared" si="12"/>
        <v>0</v>
      </c>
      <c r="AE24" s="37">
        <v>-9.02</v>
      </c>
      <c r="AF24" s="37">
        <v>-4.2625525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250</v>
      </c>
      <c r="AB25" s="38">
        <f t="shared" si="11"/>
        <v>-0.48</v>
      </c>
      <c r="AC25" s="39">
        <v>4.9376527777777776E-2</v>
      </c>
      <c r="AD25" s="37">
        <f t="shared" si="12"/>
        <v>0</v>
      </c>
      <c r="AE25" s="42">
        <v>-9.02</v>
      </c>
      <c r="AF25" s="42">
        <v>-4.26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250</v>
      </c>
      <c r="AB26" s="38">
        <f t="shared" si="11"/>
        <v>-0.48</v>
      </c>
      <c r="AC26" s="40">
        <v>4.9376527777777776E-2</v>
      </c>
      <c r="AD26" s="37">
        <f t="shared" si="12"/>
        <v>0</v>
      </c>
      <c r="AE26" s="42">
        <v>-9.02</v>
      </c>
      <c r="AF26" s="42">
        <v>-4.2625525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250</v>
      </c>
      <c r="AB27" s="38">
        <f t="shared" si="11"/>
        <v>-0.48</v>
      </c>
      <c r="AC27" s="39">
        <v>4.9376527777777776E-2</v>
      </c>
      <c r="AD27" s="37">
        <f t="shared" si="12"/>
        <v>0</v>
      </c>
      <c r="AE27" s="42">
        <v>-9.02</v>
      </c>
      <c r="AF27" s="42">
        <v>-4.2625525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34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250</v>
      </c>
      <c r="AB28" s="38">
        <f t="shared" si="11"/>
        <v>-0.48</v>
      </c>
      <c r="AC28" s="39">
        <v>4.9376527777777776E-2</v>
      </c>
      <c r="AD28" s="37">
        <f t="shared" si="12"/>
        <v>0</v>
      </c>
      <c r="AE28" s="42">
        <v>-9.02</v>
      </c>
      <c r="AF28" s="42">
        <v>-4.2625525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250</v>
      </c>
      <c r="AB29" s="38">
        <f t="shared" si="11"/>
        <v>-0.48</v>
      </c>
      <c r="AC29" s="39">
        <v>4.9376527777777776E-2</v>
      </c>
      <c r="AD29" s="37">
        <f t="shared" si="12"/>
        <v>0</v>
      </c>
      <c r="AE29" s="37">
        <v>-9.02</v>
      </c>
      <c r="AF29" s="42">
        <v>-4.2625525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250</v>
      </c>
      <c r="AB30" s="38">
        <f t="shared" si="11"/>
        <v>-0.48</v>
      </c>
      <c r="AC30" s="39">
        <v>4.9376527777777776E-2</v>
      </c>
      <c r="AD30" s="37">
        <f t="shared" si="12"/>
        <v>0</v>
      </c>
      <c r="AE30" s="42">
        <v>-9.02</v>
      </c>
      <c r="AF30" s="42">
        <v>-4.56421003125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 t="s">
        <v>34</v>
      </c>
      <c r="V31" s="1" t="s">
        <v>34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250</v>
      </c>
      <c r="AB31" s="38">
        <f t="shared" si="11"/>
        <v>-0.48</v>
      </c>
      <c r="AC31" s="44">
        <v>4.9376527777777776E-2</v>
      </c>
      <c r="AD31" s="37">
        <f t="shared" si="12"/>
        <v>0</v>
      </c>
      <c r="AE31" s="45">
        <v>-9.02</v>
      </c>
      <c r="AF31" s="45">
        <v>-4.56421003125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250</v>
      </c>
      <c r="AB32" s="38">
        <f t="shared" si="11"/>
        <v>-0.48</v>
      </c>
      <c r="AC32" s="44">
        <v>4.9376527777777776E-2</v>
      </c>
      <c r="AD32" s="37">
        <f t="shared" si="12"/>
        <v>0</v>
      </c>
      <c r="AE32" s="42">
        <v>-9.02</v>
      </c>
      <c r="AF32" s="42">
        <v>-4.56421003125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A142" s="40"/>
      <c r="B142" s="40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</row>
    <row r="143" spans="1:33" ht="15.75" customHeight="1" x14ac:dyDescent="0.2">
      <c r="A143" s="40"/>
      <c r="B143" s="40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</row>
    <row r="144" spans="1:33" ht="15.75" customHeight="1" x14ac:dyDescent="0.2">
      <c r="A144" s="40"/>
      <c r="B144" s="40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</row>
    <row r="145" spans="1:33" ht="15.75" customHeight="1" x14ac:dyDescent="0.2">
      <c r="A145" s="40"/>
      <c r="B145" s="40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</row>
    <row r="146" spans="1:33" ht="15.75" customHeight="1" x14ac:dyDescent="0.2">
      <c r="A146" s="40"/>
      <c r="B146" s="40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</row>
    <row r="147" spans="1:33" ht="15.75" customHeight="1" x14ac:dyDescent="0.2">
      <c r="A147" s="40"/>
      <c r="B147" s="40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</row>
    <row r="148" spans="1:33" ht="15.75" customHeight="1" x14ac:dyDescent="0.2">
      <c r="A148" s="40"/>
      <c r="B148" s="40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</row>
    <row r="149" spans="1:33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1:33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1:33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1:33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1:33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1:33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1:33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1:33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1:33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1:33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1:33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1:33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Info!B1:BJ5000""),3,FALSE),"""")"),"Metal Flower Vase 3 Pack with Tray - Rustic Farmhouse Galvanized Bucket Planter Pots")</f>
        <v>Metal Flower Vase 3 Pack with Tray - Rustic Farmhouse Galvanized Bucket Planter Pots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Info!B1:BJ5000""),2,FALSE),"""")"),"B07SSGG27F")</f>
        <v>B07SSGG27F</v>
      </c>
      <c r="B2" s="3" t="s">
        <v>1509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78" customHeight="1" x14ac:dyDescent="0.2">
      <c r="A3" s="68" t="s">
        <v>31</v>
      </c>
      <c r="B3" s="69"/>
      <c r="C3" s="48">
        <f>((AE32+AF32)/0.85)*-1</f>
        <v>14.297242161764705</v>
      </c>
      <c r="D3" s="5">
        <f>SUM(D4:D99767)</f>
        <v>76</v>
      </c>
      <c r="E3" s="5"/>
      <c r="F3" s="6">
        <f t="shared" ref="F3:G3" si="0">SUM(F4:F99767)</f>
        <v>1055.2500000000002</v>
      </c>
      <c r="G3" s="6">
        <f t="shared" si="0"/>
        <v>-6.52</v>
      </c>
      <c r="H3" s="7">
        <f t="shared" ref="H3:H32" si="1">G3/F3*-1</f>
        <v>6.178630656242595E-3</v>
      </c>
      <c r="I3" s="8" t="e">
        <f t="shared" ref="I3:I32" si="2">J3/F3</f>
        <v>#N/A</v>
      </c>
      <c r="J3" s="6" t="e">
        <f>SUM(J4:J99767)</f>
        <v>#N/A</v>
      </c>
      <c r="K3" s="6" t="e">
        <f t="shared" ref="K3:K32" si="3"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12</v>
      </c>
      <c r="X3" s="7">
        <f>W3/D3</f>
        <v>0.15789473684210525</v>
      </c>
      <c r="Y3" s="6"/>
      <c r="Z3" s="5"/>
      <c r="AA3" s="5"/>
      <c r="AB3" s="5"/>
      <c r="AC3" s="5"/>
      <c r="AD3" s="6">
        <f>SUM(AD4:AD99767)</f>
        <v>-26.455304658169176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Info!B2:BZ3000""),37,FALSE)),"""")*-1"),-6.3526558375)</f>
        <v>-6.3526558375000004</v>
      </c>
      <c r="AG3" s="6">
        <f>SUM(AG4:AG99767)</f>
        <v>0</v>
      </c>
    </row>
    <row r="4" spans="1:33" x14ac:dyDescent="0.2">
      <c r="A4" s="1" t="s">
        <v>32</v>
      </c>
      <c r="B4" s="1" t="s">
        <v>1510</v>
      </c>
      <c r="C4" s="14">
        <f t="shared" ref="C4:C32" si="4">IFERROR(F4/D4," - ")</f>
        <v>13.990000000000004</v>
      </c>
      <c r="D4" s="15">
        <v>22</v>
      </c>
      <c r="E4" s="15">
        <v>0</v>
      </c>
      <c r="F4" s="16">
        <v>307.78000000000009</v>
      </c>
      <c r="G4" s="16">
        <v>-2.29</v>
      </c>
      <c r="H4" s="17">
        <f t="shared" si="1"/>
        <v>7.4403794918448223E-3</v>
      </c>
      <c r="I4" s="17">
        <f t="shared" si="2"/>
        <v>1.7569838845928984E-2</v>
      </c>
      <c r="J4" s="16">
        <f t="shared" ref="J4:J32" si="5">F4*0.85+G4+AF4*D4+D4*AE4+AG4+AD4</f>
        <v>5.4076450000000245</v>
      </c>
      <c r="K4" s="16">
        <f t="shared" si="3"/>
        <v>0.24580204545454656</v>
      </c>
      <c r="L4" s="15">
        <v>41</v>
      </c>
      <c r="M4" s="18">
        <f t="shared" ref="M4:M32" si="6">IFERROR(D4/L4,"-")</f>
        <v>0.53658536585365857</v>
      </c>
      <c r="N4" s="15">
        <v>66</v>
      </c>
      <c r="O4" s="19">
        <f t="shared" ref="O4:P4" si="7">D4/7</f>
        <v>3.1428571428571428</v>
      </c>
      <c r="P4" s="19">
        <f t="shared" si="7"/>
        <v>0</v>
      </c>
      <c r="Q4" s="15">
        <f t="shared" ref="Q4:Q32" si="8">ROUNDDOWN(N4/(O4+P4),0)</f>
        <v>21</v>
      </c>
      <c r="R4" s="15"/>
      <c r="S4" s="20">
        <v>1.1881188118811801</v>
      </c>
      <c r="T4" s="2">
        <v>0</v>
      </c>
      <c r="U4" s="2" t="s">
        <v>34</v>
      </c>
      <c r="V4" s="21" t="s">
        <v>34</v>
      </c>
      <c r="W4" s="22">
        <v>4</v>
      </c>
      <c r="X4" s="23">
        <f t="shared" ref="X4:X32" si="9">IFERROR(W4/D4,0)</f>
        <v>0.18181818181818182</v>
      </c>
      <c r="Y4" s="24">
        <f t="shared" ref="Y4:Y32" si="10">IFERROR(G4/(W4+Z4)*-1,0)</f>
        <v>0.57250000000000001</v>
      </c>
      <c r="Z4" s="22">
        <v>0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0.25216666666666665</v>
      </c>
      <c r="AD4" s="24">
        <f t="shared" ref="AD4:AD32" si="12">IFERROR(AB4*AC4*D4*2,0)</f>
        <v>-7.6557799999999991</v>
      </c>
      <c r="AE4" s="24">
        <v>-5.8</v>
      </c>
      <c r="AF4" s="24">
        <v>-5.3936170454545458</v>
      </c>
      <c r="AG4" s="24">
        <v>0</v>
      </c>
    </row>
    <row r="5" spans="1:33" ht="15.75" customHeight="1" x14ac:dyDescent="0.2">
      <c r="A5" s="26" t="s">
        <v>35</v>
      </c>
      <c r="B5" s="1" t="s">
        <v>1510</v>
      </c>
      <c r="C5" s="14">
        <f t="shared" si="4"/>
        <v>13.990000000000004</v>
      </c>
      <c r="D5" s="27">
        <v>20</v>
      </c>
      <c r="E5" s="27">
        <v>0</v>
      </c>
      <c r="F5" s="28">
        <v>279.80000000000007</v>
      </c>
      <c r="G5" s="28">
        <v>-1.2000000000000002</v>
      </c>
      <c r="H5" s="29">
        <f t="shared" si="1"/>
        <v>4.2887776983559682E-3</v>
      </c>
      <c r="I5" s="29">
        <f t="shared" si="2"/>
        <v>2.0692617701000542E-2</v>
      </c>
      <c r="J5" s="30">
        <f t="shared" si="5"/>
        <v>5.7897944327399529</v>
      </c>
      <c r="K5" s="30">
        <f t="shared" si="3"/>
        <v>0.28948972163699765</v>
      </c>
      <c r="L5" s="27">
        <v>77</v>
      </c>
      <c r="M5" s="31">
        <f t="shared" si="6"/>
        <v>0.25974025974025972</v>
      </c>
      <c r="N5" s="27">
        <v>42</v>
      </c>
      <c r="O5" s="32">
        <f t="shared" ref="O5:P5" si="13">D5/7</f>
        <v>2.8571428571428572</v>
      </c>
      <c r="P5" s="32">
        <f t="shared" si="13"/>
        <v>0</v>
      </c>
      <c r="Q5" s="27">
        <f t="shared" si="8"/>
        <v>14</v>
      </c>
      <c r="R5" s="27"/>
      <c r="S5" s="33">
        <v>1.44625407166123</v>
      </c>
      <c r="T5" s="26">
        <v>0</v>
      </c>
      <c r="U5" s="34" t="s">
        <v>34</v>
      </c>
      <c r="V5" s="35"/>
      <c r="W5" s="26">
        <v>1</v>
      </c>
      <c r="X5" s="36">
        <f t="shared" si="9"/>
        <v>0.05</v>
      </c>
      <c r="Y5" s="37">
        <f t="shared" si="10"/>
        <v>1.2000000000000002</v>
      </c>
      <c r="Z5" s="26">
        <v>0</v>
      </c>
      <c r="AA5" s="26" t="s">
        <v>37</v>
      </c>
      <c r="AB5" s="38">
        <f t="shared" si="11"/>
        <v>-0.69</v>
      </c>
      <c r="AC5" s="39">
        <v>0.25245886442641946</v>
      </c>
      <c r="AD5" s="37">
        <f t="shared" si="12"/>
        <v>-6.9678646581691766</v>
      </c>
      <c r="AE5" s="37">
        <v>-5.8</v>
      </c>
      <c r="AF5" s="37">
        <v>-5.3936170454545458</v>
      </c>
      <c r="AG5" s="37">
        <v>0</v>
      </c>
    </row>
    <row r="6" spans="1:33" ht="15.75" customHeight="1" x14ac:dyDescent="0.2">
      <c r="A6" s="26" t="s">
        <v>38</v>
      </c>
      <c r="B6" s="26" t="s">
        <v>1511</v>
      </c>
      <c r="C6" s="14">
        <f t="shared" si="4"/>
        <v>13.430400000000004</v>
      </c>
      <c r="D6" s="27">
        <v>25</v>
      </c>
      <c r="E6" s="27">
        <v>0</v>
      </c>
      <c r="F6" s="28">
        <v>335.7600000000001</v>
      </c>
      <c r="G6" s="28">
        <v>-1.8400000000000003</v>
      </c>
      <c r="H6" s="29">
        <f t="shared" si="1"/>
        <v>5.4801048367881808E-3</v>
      </c>
      <c r="I6" s="29">
        <f t="shared" si="2"/>
        <v>-1.4844460734940279E-2</v>
      </c>
      <c r="J6" s="30">
        <f t="shared" si="5"/>
        <v>-4.9841761363635495</v>
      </c>
      <c r="K6" s="30">
        <f t="shared" si="3"/>
        <v>-0.19936704545454198</v>
      </c>
      <c r="L6" s="27">
        <v>105</v>
      </c>
      <c r="M6" s="31">
        <f t="shared" si="6"/>
        <v>0.23809523809523808</v>
      </c>
      <c r="N6" s="27">
        <v>12</v>
      </c>
      <c r="O6" s="32">
        <f t="shared" ref="O6:P6" si="14">D6/7</f>
        <v>3.5714285714285716</v>
      </c>
      <c r="P6" s="32">
        <f t="shared" si="14"/>
        <v>0</v>
      </c>
      <c r="Q6" s="27">
        <f t="shared" si="8"/>
        <v>3</v>
      </c>
      <c r="R6" s="27"/>
      <c r="S6" s="33">
        <v>1.7523809523809499</v>
      </c>
      <c r="T6" s="26">
        <v>0</v>
      </c>
      <c r="U6" s="34" t="s">
        <v>34</v>
      </c>
      <c r="V6" s="35"/>
      <c r="W6" s="26">
        <v>6</v>
      </c>
      <c r="X6" s="36">
        <f t="shared" si="9"/>
        <v>0.24</v>
      </c>
      <c r="Y6" s="37">
        <f t="shared" si="10"/>
        <v>0.3066666666666667</v>
      </c>
      <c r="Z6" s="26">
        <v>0</v>
      </c>
      <c r="AA6" s="26" t="s">
        <v>37</v>
      </c>
      <c r="AB6" s="38">
        <f t="shared" si="11"/>
        <v>-0.69</v>
      </c>
      <c r="AC6" s="39">
        <v>0.25216666666666665</v>
      </c>
      <c r="AD6" s="37">
        <f t="shared" si="12"/>
        <v>-8.6997499999999999</v>
      </c>
      <c r="AE6" s="37">
        <v>-5.8</v>
      </c>
      <c r="AF6" s="37">
        <v>-5.3936170454545458</v>
      </c>
      <c r="AG6" s="37">
        <v>0</v>
      </c>
    </row>
    <row r="7" spans="1:33" ht="15.75" customHeight="1" x14ac:dyDescent="0.2">
      <c r="A7" s="26" t="s">
        <v>41</v>
      </c>
      <c r="B7" s="26" t="s">
        <v>461</v>
      </c>
      <c r="C7" s="14">
        <f t="shared" si="4"/>
        <v>14.656666666666666</v>
      </c>
      <c r="D7" s="27">
        <v>9</v>
      </c>
      <c r="E7" s="27">
        <v>0</v>
      </c>
      <c r="F7" s="28">
        <v>131.91</v>
      </c>
      <c r="G7" s="28">
        <v>-1.19</v>
      </c>
      <c r="H7" s="29">
        <f t="shared" si="1"/>
        <v>9.0213024031536651E-3</v>
      </c>
      <c r="I7" s="29">
        <f t="shared" si="2"/>
        <v>5.3514036774384703E-2</v>
      </c>
      <c r="J7" s="30">
        <f t="shared" si="5"/>
        <v>7.059036590909086</v>
      </c>
      <c r="K7" s="30">
        <f t="shared" si="3"/>
        <v>0.7843373989898984</v>
      </c>
      <c r="L7" s="27">
        <v>64</v>
      </c>
      <c r="M7" s="31">
        <f t="shared" si="6"/>
        <v>0.140625</v>
      </c>
      <c r="N7" s="27">
        <v>0</v>
      </c>
      <c r="O7" s="32">
        <f t="shared" ref="O7:P7" si="15">D7/7</f>
        <v>1.2857142857142858</v>
      </c>
      <c r="P7" s="32">
        <f t="shared" si="15"/>
        <v>0</v>
      </c>
      <c r="Q7" s="27">
        <f t="shared" si="8"/>
        <v>0</v>
      </c>
      <c r="R7" s="27"/>
      <c r="S7" s="33">
        <v>1.9357601713062</v>
      </c>
      <c r="T7" s="26">
        <v>0</v>
      </c>
      <c r="U7" s="34" t="s">
        <v>34</v>
      </c>
      <c r="V7" s="35"/>
      <c r="W7" s="26">
        <v>1</v>
      </c>
      <c r="X7" s="36">
        <f t="shared" si="9"/>
        <v>0.1111111111111111</v>
      </c>
      <c r="Y7" s="37">
        <f t="shared" si="10"/>
        <v>1.19</v>
      </c>
      <c r="Z7" s="26">
        <v>0</v>
      </c>
      <c r="AA7" s="26" t="s">
        <v>37</v>
      </c>
      <c r="AB7" s="38">
        <f t="shared" si="11"/>
        <v>-0.69</v>
      </c>
      <c r="AC7" s="39">
        <v>0.25216666666666665</v>
      </c>
      <c r="AD7" s="37">
        <f t="shared" si="12"/>
        <v>-3.1319099999999995</v>
      </c>
      <c r="AE7" s="37">
        <v>-5.8</v>
      </c>
      <c r="AF7" s="37">
        <v>-5.3936170454545458</v>
      </c>
      <c r="AG7" s="37">
        <v>0</v>
      </c>
    </row>
    <row r="8" spans="1:33" ht="15.75" customHeight="1" x14ac:dyDescent="0.2">
      <c r="A8" s="26" t="s">
        <v>43</v>
      </c>
      <c r="B8" s="26"/>
      <c r="C8" s="14" t="str">
        <f t="shared" si="4"/>
        <v xml:space="preserve"> - </v>
      </c>
      <c r="D8" s="27">
        <v>0</v>
      </c>
      <c r="E8" s="27">
        <v>0</v>
      </c>
      <c r="F8" s="28">
        <v>0</v>
      </c>
      <c r="G8" s="28">
        <v>0</v>
      </c>
      <c r="H8" s="29" t="e">
        <f t="shared" si="1"/>
        <v>#DIV/0!</v>
      </c>
      <c r="I8" s="29" t="e">
        <f t="shared" si="2"/>
        <v>#DIV/0!</v>
      </c>
      <c r="J8" s="30">
        <f t="shared" si="5"/>
        <v>0</v>
      </c>
      <c r="K8" s="30" t="e">
        <f t="shared" si="3"/>
        <v>#DIV/0!</v>
      </c>
      <c r="L8" s="27">
        <v>0</v>
      </c>
      <c r="M8" s="31" t="str">
        <f t="shared" si="6"/>
        <v>-</v>
      </c>
      <c r="N8" s="27">
        <v>0</v>
      </c>
      <c r="O8" s="32">
        <f t="shared" ref="O8:P8" si="16">D8/7</f>
        <v>0</v>
      </c>
      <c r="P8" s="32">
        <f t="shared" si="16"/>
        <v>0</v>
      </c>
      <c r="Q8" s="27" t="e">
        <f t="shared" si="8"/>
        <v>#DIV/0!</v>
      </c>
      <c r="R8" s="27"/>
      <c r="S8" s="33">
        <v>2</v>
      </c>
      <c r="T8" s="26">
        <v>0</v>
      </c>
      <c r="U8" s="34" t="s">
        <v>34</v>
      </c>
      <c r="V8" s="35"/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0.25216666666666665</v>
      </c>
      <c r="AD8" s="37">
        <f t="shared" si="12"/>
        <v>0</v>
      </c>
      <c r="AE8" s="37">
        <v>-5.8</v>
      </c>
      <c r="AF8" s="37">
        <v>-5.39</v>
      </c>
      <c r="AG8" s="37">
        <v>0</v>
      </c>
    </row>
    <row r="9" spans="1:33" ht="15.75" customHeight="1" x14ac:dyDescent="0.2">
      <c r="A9" s="26" t="s">
        <v>45</v>
      </c>
      <c r="B9" s="26"/>
      <c r="C9" s="14" t="str">
        <f t="shared" si="4"/>
        <v xml:space="preserve"> - </v>
      </c>
      <c r="D9" s="27">
        <v>0</v>
      </c>
      <c r="E9" s="27">
        <v>0</v>
      </c>
      <c r="F9" s="28">
        <v>0</v>
      </c>
      <c r="G9" s="28">
        <v>0</v>
      </c>
      <c r="H9" s="29" t="e">
        <f t="shared" si="1"/>
        <v>#DIV/0!</v>
      </c>
      <c r="I9" s="29" t="e">
        <f t="shared" si="2"/>
        <v>#DIV/0!</v>
      </c>
      <c r="J9" s="30">
        <f t="shared" si="5"/>
        <v>0</v>
      </c>
      <c r="K9" s="30" t="e">
        <f t="shared" si="3"/>
        <v>#DIV/0!</v>
      </c>
      <c r="L9" s="27">
        <v>0</v>
      </c>
      <c r="M9" s="31" t="str">
        <f t="shared" si="6"/>
        <v>-</v>
      </c>
      <c r="N9" s="27">
        <v>0</v>
      </c>
      <c r="O9" s="32">
        <f t="shared" ref="O9:P9" si="17">D9/7</f>
        <v>0</v>
      </c>
      <c r="P9" s="32">
        <f t="shared" si="17"/>
        <v>0</v>
      </c>
      <c r="Q9" s="27" t="e">
        <f t="shared" si="8"/>
        <v>#DIV/0!</v>
      </c>
      <c r="R9" s="27"/>
      <c r="S9" s="33">
        <v>2.0974212034383899</v>
      </c>
      <c r="T9" s="26">
        <v>0</v>
      </c>
      <c r="U9" s="34" t="s">
        <v>34</v>
      </c>
      <c r="V9" s="35" t="s">
        <v>34</v>
      </c>
      <c r="W9" s="26">
        <v>0</v>
      </c>
      <c r="X9" s="36">
        <f t="shared" si="9"/>
        <v>0</v>
      </c>
      <c r="Y9" s="37">
        <f t="shared" si="10"/>
        <v>0</v>
      </c>
      <c r="Z9" s="26">
        <v>0</v>
      </c>
      <c r="AA9" s="26" t="s">
        <v>37</v>
      </c>
      <c r="AB9" s="38">
        <f t="shared" si="11"/>
        <v>-0.69</v>
      </c>
      <c r="AC9" s="39">
        <v>0.25216666666666665</v>
      </c>
      <c r="AD9" s="37">
        <f t="shared" si="12"/>
        <v>0</v>
      </c>
      <c r="AE9" s="37">
        <v>-5.8</v>
      </c>
      <c r="AF9" s="37">
        <v>-5.61788181818181</v>
      </c>
      <c r="AG9" s="37">
        <v>0</v>
      </c>
    </row>
    <row r="10" spans="1:33" ht="15.75" customHeight="1" x14ac:dyDescent="0.2">
      <c r="A10" s="26" t="s">
        <v>48</v>
      </c>
      <c r="B10" s="26"/>
      <c r="C10" s="14" t="str">
        <f t="shared" si="4"/>
        <v xml:space="preserve"> - </v>
      </c>
      <c r="D10" s="27">
        <v>0</v>
      </c>
      <c r="E10" s="27">
        <v>0</v>
      </c>
      <c r="F10" s="28">
        <v>0</v>
      </c>
      <c r="G10" s="28">
        <v>0</v>
      </c>
      <c r="H10" s="29" t="e">
        <f t="shared" si="1"/>
        <v>#DIV/0!</v>
      </c>
      <c r="I10" s="29" t="e">
        <f t="shared" si="2"/>
        <v>#DIV/0!</v>
      </c>
      <c r="J10" s="30">
        <f t="shared" si="5"/>
        <v>0</v>
      </c>
      <c r="K10" s="30" t="e">
        <f t="shared" si="3"/>
        <v>#DIV/0!</v>
      </c>
      <c r="L10" s="27">
        <v>0</v>
      </c>
      <c r="M10" s="31" t="str">
        <f t="shared" si="6"/>
        <v>-</v>
      </c>
      <c r="N10" s="27">
        <v>0</v>
      </c>
      <c r="O10" s="32">
        <f t="shared" ref="O10:P10" si="18">D10/7</f>
        <v>0</v>
      </c>
      <c r="P10" s="32">
        <f t="shared" si="18"/>
        <v>0</v>
      </c>
      <c r="Q10" s="27" t="e">
        <f t="shared" si="8"/>
        <v>#DIV/0!</v>
      </c>
      <c r="R10" s="27"/>
      <c r="S10" s="33" t="e">
        <v>#N/A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0.25216666666666665</v>
      </c>
      <c r="AD10" s="37">
        <f t="shared" si="12"/>
        <v>0</v>
      </c>
      <c r="AE10" s="37">
        <v>-5.8</v>
      </c>
      <c r="AF10" s="37">
        <v>-5.61788181818181</v>
      </c>
      <c r="AG10" s="37">
        <v>0</v>
      </c>
    </row>
    <row r="11" spans="1:33" ht="15.75" customHeight="1" x14ac:dyDescent="0.2">
      <c r="A11" s="26" t="s">
        <v>50</v>
      </c>
      <c r="B11" s="26"/>
      <c r="C11" s="14" t="str">
        <f t="shared" si="4"/>
        <v xml:space="preserve"> - </v>
      </c>
      <c r="D11" s="27">
        <v>0</v>
      </c>
      <c r="E11" s="27">
        <v>0</v>
      </c>
      <c r="F11" s="28">
        <v>0</v>
      </c>
      <c r="G11" s="28">
        <v>0</v>
      </c>
      <c r="H11" s="29" t="e">
        <f t="shared" si="1"/>
        <v>#DIV/0!</v>
      </c>
      <c r="I11" s="29" t="e">
        <f t="shared" si="2"/>
        <v>#DIV/0!</v>
      </c>
      <c r="J11" s="30">
        <f t="shared" si="5"/>
        <v>0</v>
      </c>
      <c r="K11" s="30" t="e">
        <f t="shared" si="3"/>
        <v>#DIV/0!</v>
      </c>
      <c r="L11" s="27">
        <v>0</v>
      </c>
      <c r="M11" s="31" t="str">
        <f t="shared" si="6"/>
        <v>-</v>
      </c>
      <c r="N11" s="27">
        <v>0</v>
      </c>
      <c r="O11" s="32">
        <f t="shared" ref="O11:P11" si="19">D11/7</f>
        <v>0</v>
      </c>
      <c r="P11" s="32">
        <f t="shared" si="19"/>
        <v>0</v>
      </c>
      <c r="Q11" s="27" t="e">
        <f t="shared" si="8"/>
        <v>#DIV/0!</v>
      </c>
      <c r="R11" s="27"/>
      <c r="S11" s="33" t="e">
        <v>#N/A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0.25216666666666665</v>
      </c>
      <c r="AD11" s="37">
        <f t="shared" si="12"/>
        <v>0</v>
      </c>
      <c r="AE11" s="37">
        <v>-5.8</v>
      </c>
      <c r="AF11" s="37">
        <v>-5.61788181818181</v>
      </c>
      <c r="AG11" s="37">
        <v>0</v>
      </c>
    </row>
    <row r="12" spans="1:33" ht="15.75" customHeight="1" x14ac:dyDescent="0.2">
      <c r="A12" s="26" t="s">
        <v>52</v>
      </c>
      <c r="B12" s="26"/>
      <c r="C12" s="14" t="str">
        <f t="shared" si="4"/>
        <v xml:space="preserve"> - </v>
      </c>
      <c r="D12" s="27">
        <v>0</v>
      </c>
      <c r="E12" s="27">
        <v>0</v>
      </c>
      <c r="F12" s="28">
        <v>0</v>
      </c>
      <c r="G12" s="28">
        <v>0</v>
      </c>
      <c r="H12" s="29" t="e">
        <f t="shared" si="1"/>
        <v>#DIV/0!</v>
      </c>
      <c r="I12" s="29" t="e">
        <f t="shared" si="2"/>
        <v>#N/A</v>
      </c>
      <c r="J12" s="30" t="e">
        <f t="shared" si="5"/>
        <v>#N/A</v>
      </c>
      <c r="K12" s="30" t="e">
        <f t="shared" si="3"/>
        <v>#N/A</v>
      </c>
      <c r="L12" s="27">
        <v>0</v>
      </c>
      <c r="M12" s="31" t="str">
        <f t="shared" si="6"/>
        <v>-</v>
      </c>
      <c r="N12" s="27">
        <v>0</v>
      </c>
      <c r="O12" s="32">
        <f t="shared" ref="O12:P12" si="20">D12/7</f>
        <v>0</v>
      </c>
      <c r="P12" s="32">
        <f t="shared" si="20"/>
        <v>0</v>
      </c>
      <c r="Q12" s="27" t="e">
        <f t="shared" si="8"/>
        <v>#DIV/0!</v>
      </c>
      <c r="R12" s="27"/>
      <c r="S12" s="33" t="e">
        <v>#N/A</v>
      </c>
      <c r="T12" s="26">
        <v>0</v>
      </c>
      <c r="U12" s="34" t="s">
        <v>34</v>
      </c>
      <c r="V12" s="35" t="s">
        <v>34</v>
      </c>
      <c r="W12" s="26">
        <v>0</v>
      </c>
      <c r="X12" s="36">
        <f t="shared" si="9"/>
        <v>0</v>
      </c>
      <c r="Y12" s="37">
        <f t="shared" si="10"/>
        <v>0</v>
      </c>
      <c r="Z12" s="26">
        <v>0</v>
      </c>
      <c r="AA12" s="26" t="s">
        <v>37</v>
      </c>
      <c r="AB12" s="38">
        <f t="shared" si="11"/>
        <v>-0.69</v>
      </c>
      <c r="AC12" s="39">
        <v>0.25216666666666665</v>
      </c>
      <c r="AD12" s="37">
        <f t="shared" si="12"/>
        <v>0</v>
      </c>
      <c r="AE12" s="37">
        <v>-5.8</v>
      </c>
      <c r="AF12" s="37" t="e">
        <v>#N/A</v>
      </c>
      <c r="AG12" s="37">
        <v>0</v>
      </c>
    </row>
    <row r="13" spans="1:33" ht="15.75" customHeight="1" x14ac:dyDescent="0.2">
      <c r="A13" s="26" t="s">
        <v>54</v>
      </c>
      <c r="B13" s="26"/>
      <c r="C13" s="14" t="str">
        <f t="shared" si="4"/>
        <v xml:space="preserve"> - </v>
      </c>
      <c r="D13" s="27">
        <v>0</v>
      </c>
      <c r="E13" s="27">
        <v>0</v>
      </c>
      <c r="F13" s="30">
        <v>0</v>
      </c>
      <c r="G13" s="28">
        <v>0</v>
      </c>
      <c r="H13" s="29" t="e">
        <f t="shared" si="1"/>
        <v>#DIV/0!</v>
      </c>
      <c r="I13" s="29" t="e">
        <f t="shared" si="2"/>
        <v>#N/A</v>
      </c>
      <c r="J13" s="30" t="e">
        <f t="shared" si="5"/>
        <v>#N/A</v>
      </c>
      <c r="K13" s="30" t="e">
        <f t="shared" si="3"/>
        <v>#N/A</v>
      </c>
      <c r="L13" s="27">
        <v>0</v>
      </c>
      <c r="M13" s="31" t="str">
        <f t="shared" si="6"/>
        <v>-</v>
      </c>
      <c r="N13" s="27">
        <v>0</v>
      </c>
      <c r="O13" s="32">
        <f t="shared" ref="O13:P13" si="21">D13/7</f>
        <v>0</v>
      </c>
      <c r="P13" s="32">
        <f t="shared" si="21"/>
        <v>0</v>
      </c>
      <c r="Q13" s="27" t="e">
        <f t="shared" si="8"/>
        <v>#DIV/0!</v>
      </c>
      <c r="R13" s="27"/>
      <c r="S13" s="33" t="e">
        <v>#N/A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0.25216666666666665</v>
      </c>
      <c r="AD13" s="37">
        <f t="shared" si="12"/>
        <v>0</v>
      </c>
      <c r="AE13" s="37">
        <v>-5.8</v>
      </c>
      <c r="AF13" s="37" t="e">
        <v>#N/A</v>
      </c>
      <c r="AG13" s="37">
        <v>0</v>
      </c>
    </row>
    <row r="14" spans="1:33" ht="15.75" customHeight="1" x14ac:dyDescent="0.2">
      <c r="A14" s="26" t="s">
        <v>56</v>
      </c>
      <c r="B14" s="26"/>
      <c r="C14" s="14" t="str">
        <f t="shared" si="4"/>
        <v xml:space="preserve"> - </v>
      </c>
      <c r="D14" s="27">
        <v>0</v>
      </c>
      <c r="E14" s="27">
        <v>0</v>
      </c>
      <c r="F14" s="30">
        <v>0</v>
      </c>
      <c r="G14" s="28">
        <v>0</v>
      </c>
      <c r="H14" s="29" t="e">
        <f t="shared" si="1"/>
        <v>#DIV/0!</v>
      </c>
      <c r="I14" s="29" t="e">
        <f t="shared" si="2"/>
        <v>#N/A</v>
      </c>
      <c r="J14" s="30" t="e">
        <f t="shared" si="5"/>
        <v>#N/A</v>
      </c>
      <c r="K14" s="30" t="e">
        <f t="shared" si="3"/>
        <v>#N/A</v>
      </c>
      <c r="L14" s="27">
        <v>0</v>
      </c>
      <c r="M14" s="31" t="str">
        <f t="shared" si="6"/>
        <v>-</v>
      </c>
      <c r="N14" s="27">
        <v>0</v>
      </c>
      <c r="O14" s="32">
        <f t="shared" ref="O14:P14" si="22">D14/7</f>
        <v>0</v>
      </c>
      <c r="P14" s="32">
        <f t="shared" si="22"/>
        <v>0</v>
      </c>
      <c r="Q14" s="27" t="e">
        <f t="shared" si="8"/>
        <v>#DIV/0!</v>
      </c>
      <c r="R14" s="27"/>
      <c r="S14" s="33" t="e">
        <v>#N/A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0.25216666666666665</v>
      </c>
      <c r="AD14" s="37">
        <f t="shared" si="12"/>
        <v>0</v>
      </c>
      <c r="AE14" s="37">
        <v>-5.8</v>
      </c>
      <c r="AF14" s="37" t="e">
        <v>#N/A</v>
      </c>
      <c r="AG14" s="37">
        <v>0</v>
      </c>
    </row>
    <row r="15" spans="1:33" ht="15.75" customHeight="1" x14ac:dyDescent="0.2">
      <c r="A15" s="26" t="s">
        <v>58</v>
      </c>
      <c r="B15" s="26"/>
      <c r="C15" s="14" t="str">
        <f t="shared" si="4"/>
        <v xml:space="preserve"> - </v>
      </c>
      <c r="D15" s="27">
        <v>0</v>
      </c>
      <c r="E15" s="27">
        <v>0</v>
      </c>
      <c r="F15" s="30">
        <v>0</v>
      </c>
      <c r="G15" s="28">
        <v>0</v>
      </c>
      <c r="H15" s="29" t="e">
        <f t="shared" si="1"/>
        <v>#DIV/0!</v>
      </c>
      <c r="I15" s="29" t="e">
        <f t="shared" si="2"/>
        <v>#N/A</v>
      </c>
      <c r="J15" s="30" t="e">
        <f t="shared" si="5"/>
        <v>#N/A</v>
      </c>
      <c r="K15" s="30" t="e">
        <f t="shared" si="3"/>
        <v>#N/A</v>
      </c>
      <c r="L15" s="27">
        <v>0</v>
      </c>
      <c r="M15" s="31" t="str">
        <f t="shared" si="6"/>
        <v>-</v>
      </c>
      <c r="N15" s="27">
        <v>0</v>
      </c>
      <c r="O15" s="32">
        <f t="shared" ref="O15:P15" si="23">D15/7</f>
        <v>0</v>
      </c>
      <c r="P15" s="32">
        <f t="shared" si="23"/>
        <v>0</v>
      </c>
      <c r="Q15" s="27" t="e">
        <f t="shared" si="8"/>
        <v>#DIV/0!</v>
      </c>
      <c r="R15" s="27"/>
      <c r="S15" s="33" t="e">
        <v>#N/A</v>
      </c>
      <c r="T15" s="26">
        <v>0</v>
      </c>
      <c r="U15" s="34" t="s">
        <v>34</v>
      </c>
      <c r="V15" s="35" t="s">
        <v>34</v>
      </c>
      <c r="W15" s="26">
        <v>0</v>
      </c>
      <c r="X15" s="36">
        <f t="shared" si="9"/>
        <v>0</v>
      </c>
      <c r="Y15" s="37">
        <f t="shared" si="10"/>
        <v>0</v>
      </c>
      <c r="Z15" s="26">
        <v>0</v>
      </c>
      <c r="AA15" s="26" t="s">
        <v>37</v>
      </c>
      <c r="AB15" s="38">
        <f t="shared" si="11"/>
        <v>-0.69</v>
      </c>
      <c r="AC15" s="39">
        <v>0.25216666666666665</v>
      </c>
      <c r="AD15" s="37">
        <f t="shared" si="12"/>
        <v>0</v>
      </c>
      <c r="AE15" s="37">
        <v>-5.8</v>
      </c>
      <c r="AF15" s="37" t="e">
        <v>#N/A</v>
      </c>
      <c r="AG15" s="37">
        <v>0</v>
      </c>
    </row>
    <row r="16" spans="1:33" ht="15.75" customHeight="1" x14ac:dyDescent="0.2">
      <c r="A16" s="26" t="s">
        <v>60</v>
      </c>
      <c r="B16" s="26"/>
      <c r="C16" s="14" t="str">
        <f t="shared" si="4"/>
        <v xml:space="preserve"> - </v>
      </c>
      <c r="D16" s="27">
        <v>0</v>
      </c>
      <c r="E16" s="27">
        <v>0</v>
      </c>
      <c r="F16" s="30">
        <v>0</v>
      </c>
      <c r="G16" s="28">
        <v>0</v>
      </c>
      <c r="H16" s="29" t="e">
        <f t="shared" si="1"/>
        <v>#DIV/0!</v>
      </c>
      <c r="I16" s="29" t="e">
        <f t="shared" si="2"/>
        <v>#N/A</v>
      </c>
      <c r="J16" s="30" t="e">
        <f t="shared" si="5"/>
        <v>#N/A</v>
      </c>
      <c r="K16" s="30" t="e">
        <f t="shared" si="3"/>
        <v>#N/A</v>
      </c>
      <c r="L16" s="27">
        <v>0</v>
      </c>
      <c r="M16" s="31" t="str">
        <f t="shared" si="6"/>
        <v>-</v>
      </c>
      <c r="N16" s="27">
        <v>0</v>
      </c>
      <c r="O16" s="32">
        <f t="shared" ref="O16:P16" si="24">D16/7</f>
        <v>0</v>
      </c>
      <c r="P16" s="32">
        <f t="shared" si="24"/>
        <v>0</v>
      </c>
      <c r="Q16" s="27" t="e">
        <f t="shared" si="8"/>
        <v>#DIV/0!</v>
      </c>
      <c r="R16" s="27"/>
      <c r="S16" s="33" t="e">
        <v>#N/A</v>
      </c>
      <c r="T16" s="26">
        <v>0</v>
      </c>
      <c r="U16" s="34" t="s">
        <v>34</v>
      </c>
      <c r="V16" s="35" t="s">
        <v>34</v>
      </c>
      <c r="W16" s="26">
        <v>0</v>
      </c>
      <c r="X16" s="36">
        <f t="shared" si="9"/>
        <v>0</v>
      </c>
      <c r="Y16" s="37">
        <f t="shared" si="10"/>
        <v>0</v>
      </c>
      <c r="Z16" s="26">
        <v>0</v>
      </c>
      <c r="AA16" s="26" t="s">
        <v>37</v>
      </c>
      <c r="AB16" s="38">
        <f t="shared" si="11"/>
        <v>-0.69</v>
      </c>
      <c r="AC16" s="39">
        <v>0.25216666666666665</v>
      </c>
      <c r="AD16" s="37">
        <f t="shared" si="12"/>
        <v>0</v>
      </c>
      <c r="AE16" s="37">
        <v>-5.8</v>
      </c>
      <c r="AF16" s="37" t="e">
        <v>#N/A</v>
      </c>
      <c r="AG16" s="37">
        <v>0</v>
      </c>
    </row>
    <row r="17" spans="1:33" ht="15.75" customHeight="1" x14ac:dyDescent="0.2">
      <c r="A17" s="26" t="s">
        <v>61</v>
      </c>
      <c r="B17" s="26"/>
      <c r="C17" s="14" t="str">
        <f t="shared" si="4"/>
        <v xml:space="preserve"> - </v>
      </c>
      <c r="D17" s="27">
        <v>0</v>
      </c>
      <c r="E17" s="27">
        <v>0</v>
      </c>
      <c r="F17" s="30">
        <v>0</v>
      </c>
      <c r="G17" s="28">
        <v>0</v>
      </c>
      <c r="H17" s="29" t="e">
        <f t="shared" si="1"/>
        <v>#DIV/0!</v>
      </c>
      <c r="I17" s="29" t="e">
        <f t="shared" si="2"/>
        <v>#N/A</v>
      </c>
      <c r="J17" s="30" t="e">
        <f t="shared" si="5"/>
        <v>#N/A</v>
      </c>
      <c r="K17" s="30" t="e">
        <f t="shared" si="3"/>
        <v>#N/A</v>
      </c>
      <c r="L17" s="27">
        <v>0</v>
      </c>
      <c r="M17" s="31" t="str">
        <f t="shared" si="6"/>
        <v>-</v>
      </c>
      <c r="N17" s="27">
        <v>0</v>
      </c>
      <c r="O17" s="32">
        <f t="shared" ref="O17:P17" si="25">D17/7</f>
        <v>0</v>
      </c>
      <c r="P17" s="32">
        <f t="shared" si="25"/>
        <v>0</v>
      </c>
      <c r="Q17" s="27" t="e">
        <f t="shared" si="8"/>
        <v>#DIV/0!</v>
      </c>
      <c r="R17" s="27"/>
      <c r="S17" s="33" t="e">
        <v>#N/A</v>
      </c>
      <c r="T17" s="26">
        <v>0</v>
      </c>
      <c r="U17" s="34" t="s">
        <v>34</v>
      </c>
      <c r="V17" s="35" t="s">
        <v>34</v>
      </c>
      <c r="W17" s="26">
        <v>0</v>
      </c>
      <c r="X17" s="36">
        <f t="shared" si="9"/>
        <v>0</v>
      </c>
      <c r="Y17" s="37">
        <f t="shared" si="10"/>
        <v>0</v>
      </c>
      <c r="Z17" s="26">
        <v>0</v>
      </c>
      <c r="AA17" s="26" t="s">
        <v>37</v>
      </c>
      <c r="AB17" s="38">
        <f t="shared" si="11"/>
        <v>-0.69</v>
      </c>
      <c r="AC17" s="39">
        <v>0.25216666666666665</v>
      </c>
      <c r="AD17" s="37">
        <f t="shared" si="12"/>
        <v>0</v>
      </c>
      <c r="AE17" s="37">
        <v>-5.8</v>
      </c>
      <c r="AF17" s="37" t="e">
        <v>#N/A</v>
      </c>
      <c r="AG17" s="37">
        <v>0</v>
      </c>
    </row>
    <row r="18" spans="1:33" ht="15.75" customHeight="1" x14ac:dyDescent="0.2">
      <c r="A18" s="26" t="s">
        <v>62</v>
      </c>
      <c r="B18" s="26"/>
      <c r="C18" s="14" t="str">
        <f t="shared" si="4"/>
        <v xml:space="preserve"> - </v>
      </c>
      <c r="D18" s="27">
        <v>0</v>
      </c>
      <c r="E18" s="27">
        <v>0</v>
      </c>
      <c r="F18" s="30">
        <v>0</v>
      </c>
      <c r="G18" s="28">
        <v>0</v>
      </c>
      <c r="H18" s="29" t="e">
        <f t="shared" si="1"/>
        <v>#DIV/0!</v>
      </c>
      <c r="I18" s="29" t="e">
        <f t="shared" si="2"/>
        <v>#N/A</v>
      </c>
      <c r="J18" s="30" t="e">
        <f t="shared" si="5"/>
        <v>#N/A</v>
      </c>
      <c r="K18" s="30" t="e">
        <f t="shared" si="3"/>
        <v>#N/A</v>
      </c>
      <c r="L18" s="27">
        <v>0</v>
      </c>
      <c r="M18" s="31" t="str">
        <f t="shared" si="6"/>
        <v>-</v>
      </c>
      <c r="N18" s="27">
        <v>0</v>
      </c>
      <c r="O18" s="32">
        <f t="shared" ref="O18:P18" si="26">D18/7</f>
        <v>0</v>
      </c>
      <c r="P18" s="32">
        <f t="shared" si="26"/>
        <v>0</v>
      </c>
      <c r="Q18" s="27" t="e">
        <f t="shared" si="8"/>
        <v>#DIV/0!</v>
      </c>
      <c r="R18" s="27"/>
      <c r="S18" s="33" t="e">
        <v>#N/A</v>
      </c>
      <c r="T18" s="26">
        <v>0</v>
      </c>
      <c r="U18" s="34" t="s">
        <v>34</v>
      </c>
      <c r="V18" s="35" t="s">
        <v>34</v>
      </c>
      <c r="W18" s="26">
        <v>0</v>
      </c>
      <c r="X18" s="36">
        <f t="shared" si="9"/>
        <v>0</v>
      </c>
      <c r="Y18" s="37">
        <f t="shared" si="10"/>
        <v>0</v>
      </c>
      <c r="Z18" s="26">
        <v>0</v>
      </c>
      <c r="AA18" s="26" t="s">
        <v>37</v>
      </c>
      <c r="AB18" s="38">
        <f t="shared" si="11"/>
        <v>-0.69</v>
      </c>
      <c r="AC18" s="39">
        <v>0.25216666666666665</v>
      </c>
      <c r="AD18" s="37">
        <f t="shared" si="12"/>
        <v>0</v>
      </c>
      <c r="AE18" s="37">
        <v>-5.8</v>
      </c>
      <c r="AF18" s="37" t="e">
        <v>#N/A</v>
      </c>
      <c r="AG18" s="37">
        <v>0</v>
      </c>
    </row>
    <row r="19" spans="1:33" ht="15.75" customHeight="1" x14ac:dyDescent="0.2">
      <c r="A19" s="26" t="s">
        <v>64</v>
      </c>
      <c r="B19" s="26"/>
      <c r="C19" s="14" t="str">
        <f t="shared" si="4"/>
        <v xml:space="preserve"> - </v>
      </c>
      <c r="D19" s="27">
        <v>0</v>
      </c>
      <c r="E19" s="27">
        <v>0</v>
      </c>
      <c r="F19" s="30">
        <v>0</v>
      </c>
      <c r="G19" s="28">
        <v>0</v>
      </c>
      <c r="H19" s="29" t="e">
        <f t="shared" si="1"/>
        <v>#DIV/0!</v>
      </c>
      <c r="I19" s="29" t="e">
        <f t="shared" si="2"/>
        <v>#DIV/0!</v>
      </c>
      <c r="J19" s="30">
        <f t="shared" si="5"/>
        <v>0</v>
      </c>
      <c r="K19" s="30" t="e">
        <f t="shared" si="3"/>
        <v>#DIV/0!</v>
      </c>
      <c r="L19" s="27">
        <v>0</v>
      </c>
      <c r="M19" s="31" t="str">
        <f t="shared" si="6"/>
        <v>-</v>
      </c>
      <c r="N19" s="27">
        <v>0</v>
      </c>
      <c r="O19" s="32">
        <f t="shared" ref="O19:P19" si="27">D19/7</f>
        <v>0</v>
      </c>
      <c r="P19" s="32">
        <f t="shared" si="27"/>
        <v>0</v>
      </c>
      <c r="Q19" s="27" t="e">
        <f t="shared" si="8"/>
        <v>#DIV/0!</v>
      </c>
      <c r="R19" s="27"/>
      <c r="S19" s="33" t="e">
        <v>#N/A</v>
      </c>
      <c r="T19" s="26">
        <v>0</v>
      </c>
      <c r="U19" s="34" t="s">
        <v>34</v>
      </c>
      <c r="V19" s="35" t="s">
        <v>34</v>
      </c>
      <c r="W19" s="26">
        <v>0</v>
      </c>
      <c r="X19" s="36">
        <f t="shared" si="9"/>
        <v>0</v>
      </c>
      <c r="Y19" s="37">
        <f t="shared" si="10"/>
        <v>0</v>
      </c>
      <c r="Z19" s="26">
        <v>0</v>
      </c>
      <c r="AA19" s="26" t="s">
        <v>37</v>
      </c>
      <c r="AB19" s="38">
        <f t="shared" si="11"/>
        <v>-0.69</v>
      </c>
      <c r="AC19" s="39">
        <v>0.25216666666666665</v>
      </c>
      <c r="AD19" s="37">
        <f t="shared" si="12"/>
        <v>0</v>
      </c>
      <c r="AE19" s="37">
        <v>-5.8</v>
      </c>
      <c r="AF19" s="37">
        <v>-5.7359159090909095</v>
      </c>
      <c r="AG19" s="37">
        <v>0</v>
      </c>
    </row>
    <row r="20" spans="1:33" ht="15.75" customHeight="1" x14ac:dyDescent="0.2">
      <c r="A20" s="26" t="s">
        <v>65</v>
      </c>
      <c r="B20" s="26"/>
      <c r="C20" s="14" t="str">
        <f t="shared" si="4"/>
        <v xml:space="preserve"> - </v>
      </c>
      <c r="D20" s="27">
        <v>0</v>
      </c>
      <c r="E20" s="27">
        <v>0</v>
      </c>
      <c r="F20" s="30">
        <v>0</v>
      </c>
      <c r="G20" s="28">
        <v>0</v>
      </c>
      <c r="H20" s="29" t="e">
        <f t="shared" si="1"/>
        <v>#DIV/0!</v>
      </c>
      <c r="I20" s="29" t="e">
        <f t="shared" si="2"/>
        <v>#DIV/0!</v>
      </c>
      <c r="J20" s="30">
        <f t="shared" si="5"/>
        <v>0</v>
      </c>
      <c r="K20" s="30" t="e">
        <f t="shared" si="3"/>
        <v>#DIV/0!</v>
      </c>
      <c r="L20" s="27">
        <v>0</v>
      </c>
      <c r="M20" s="31" t="str">
        <f t="shared" si="6"/>
        <v>-</v>
      </c>
      <c r="N20" s="27">
        <v>0</v>
      </c>
      <c r="O20" s="32">
        <f t="shared" ref="O20:P20" si="28">D20/7</f>
        <v>0</v>
      </c>
      <c r="P20" s="32">
        <f t="shared" si="28"/>
        <v>0</v>
      </c>
      <c r="Q20" s="27" t="e">
        <f t="shared" si="8"/>
        <v>#DIV/0!</v>
      </c>
      <c r="R20" s="27"/>
      <c r="S20" s="33" t="e">
        <v>#N/A</v>
      </c>
      <c r="T20" s="26">
        <v>0</v>
      </c>
      <c r="U20" s="34" t="s">
        <v>34</v>
      </c>
      <c r="V20" s="35" t="s">
        <v>34</v>
      </c>
      <c r="W20" s="26">
        <v>0</v>
      </c>
      <c r="X20" s="36">
        <f t="shared" si="9"/>
        <v>0</v>
      </c>
      <c r="Y20" s="37">
        <f t="shared" si="10"/>
        <v>0</v>
      </c>
      <c r="Z20" s="26">
        <v>0</v>
      </c>
      <c r="AA20" s="26" t="s">
        <v>37</v>
      </c>
      <c r="AB20" s="38">
        <f t="shared" si="11"/>
        <v>-0.69</v>
      </c>
      <c r="AC20" s="39">
        <v>0.25216666666666665</v>
      </c>
      <c r="AD20" s="37">
        <f t="shared" si="12"/>
        <v>0</v>
      </c>
      <c r="AE20" s="37">
        <v>-5.8</v>
      </c>
      <c r="AF20" s="37">
        <v>-5.7359159090909095</v>
      </c>
      <c r="AG20" s="37">
        <v>0</v>
      </c>
    </row>
    <row r="21" spans="1:33" ht="15.75" customHeight="1" x14ac:dyDescent="0.2">
      <c r="A21" s="26" t="s">
        <v>66</v>
      </c>
      <c r="B21" s="26"/>
      <c r="C21" s="14" t="str">
        <f t="shared" si="4"/>
        <v xml:space="preserve"> - </v>
      </c>
      <c r="D21" s="27">
        <v>0</v>
      </c>
      <c r="E21" s="27">
        <v>0</v>
      </c>
      <c r="F21" s="30">
        <v>0</v>
      </c>
      <c r="G21" s="28">
        <v>0</v>
      </c>
      <c r="H21" s="29" t="e">
        <f t="shared" si="1"/>
        <v>#DIV/0!</v>
      </c>
      <c r="I21" s="29" t="e">
        <f t="shared" si="2"/>
        <v>#DIV/0!</v>
      </c>
      <c r="J21" s="30">
        <f t="shared" si="5"/>
        <v>0</v>
      </c>
      <c r="K21" s="30" t="e">
        <f t="shared" si="3"/>
        <v>#DIV/0!</v>
      </c>
      <c r="L21" s="27">
        <v>0</v>
      </c>
      <c r="M21" s="31" t="str">
        <f t="shared" si="6"/>
        <v>-</v>
      </c>
      <c r="N21" s="27">
        <v>0</v>
      </c>
      <c r="O21" s="32">
        <f t="shared" ref="O21:P21" si="29">D21/7</f>
        <v>0</v>
      </c>
      <c r="P21" s="32">
        <f t="shared" si="29"/>
        <v>0</v>
      </c>
      <c r="Q21" s="27" t="e">
        <f t="shared" si="8"/>
        <v>#DIV/0!</v>
      </c>
      <c r="R21" s="27"/>
      <c r="S21" s="33" t="e">
        <v>#N/A</v>
      </c>
      <c r="T21" s="26" t="s">
        <v>34</v>
      </c>
      <c r="U21" s="34" t="s">
        <v>34</v>
      </c>
      <c r="V21" s="35" t="s">
        <v>34</v>
      </c>
      <c r="W21" s="26">
        <v>0</v>
      </c>
      <c r="X21" s="36">
        <f t="shared" si="9"/>
        <v>0</v>
      </c>
      <c r="Y21" s="37">
        <f t="shared" si="10"/>
        <v>0</v>
      </c>
      <c r="Z21" s="26">
        <v>0</v>
      </c>
      <c r="AA21" s="26" t="s">
        <v>37</v>
      </c>
      <c r="AB21" s="38">
        <f t="shared" si="11"/>
        <v>-0.69</v>
      </c>
      <c r="AC21" s="39">
        <v>0.25216666666666665</v>
      </c>
      <c r="AD21" s="37">
        <f t="shared" si="12"/>
        <v>0</v>
      </c>
      <c r="AE21" s="37">
        <v>-5.8</v>
      </c>
      <c r="AF21" s="37">
        <v>-5.7359159090909095</v>
      </c>
      <c r="AG21" s="37">
        <v>0</v>
      </c>
    </row>
    <row r="22" spans="1:33" ht="15.75" customHeight="1" x14ac:dyDescent="0.2">
      <c r="A22" s="26" t="s">
        <v>67</v>
      </c>
      <c r="B22" s="26"/>
      <c r="C22" s="14" t="str">
        <f t="shared" si="4"/>
        <v xml:space="preserve"> - </v>
      </c>
      <c r="D22" s="27">
        <v>0</v>
      </c>
      <c r="E22" s="27">
        <v>0</v>
      </c>
      <c r="F22" s="28">
        <v>0</v>
      </c>
      <c r="G22" s="28">
        <v>0</v>
      </c>
      <c r="H22" s="29" t="e">
        <f t="shared" si="1"/>
        <v>#DIV/0!</v>
      </c>
      <c r="I22" s="29" t="e">
        <f t="shared" si="2"/>
        <v>#DIV/0!</v>
      </c>
      <c r="J22" s="30">
        <f t="shared" si="5"/>
        <v>0</v>
      </c>
      <c r="K22" s="30" t="e">
        <f t="shared" si="3"/>
        <v>#DIV/0!</v>
      </c>
      <c r="L22" s="27">
        <v>0</v>
      </c>
      <c r="M22" s="31" t="str">
        <f t="shared" si="6"/>
        <v>-</v>
      </c>
      <c r="N22" s="27">
        <v>0</v>
      </c>
      <c r="O22" s="32">
        <f t="shared" ref="O22:P22" si="30">D22/7</f>
        <v>0</v>
      </c>
      <c r="P22" s="32">
        <f t="shared" si="30"/>
        <v>0</v>
      </c>
      <c r="Q22" s="27" t="e">
        <f t="shared" si="8"/>
        <v>#DIV/0!</v>
      </c>
      <c r="R22" s="27"/>
      <c r="S22" s="33" t="e">
        <v>#N/A</v>
      </c>
      <c r="T22" s="26" t="s">
        <v>34</v>
      </c>
      <c r="U22" s="34" t="s">
        <v>34</v>
      </c>
      <c r="V22" s="35" t="s">
        <v>34</v>
      </c>
      <c r="W22" s="26">
        <v>0</v>
      </c>
      <c r="X22" s="36">
        <f t="shared" si="9"/>
        <v>0</v>
      </c>
      <c r="Y22" s="37">
        <f t="shared" si="10"/>
        <v>0</v>
      </c>
      <c r="Z22" s="26">
        <v>0</v>
      </c>
      <c r="AA22" s="26" t="s">
        <v>37</v>
      </c>
      <c r="AB22" s="38">
        <f t="shared" si="11"/>
        <v>-0.69</v>
      </c>
      <c r="AC22" s="39">
        <v>0.25216666666666665</v>
      </c>
      <c r="AD22" s="37">
        <f t="shared" si="12"/>
        <v>0</v>
      </c>
      <c r="AE22" s="37">
        <v>-5.8</v>
      </c>
      <c r="AF22" s="37">
        <v>-5.7359159090909095</v>
      </c>
      <c r="AG22" s="37">
        <v>0</v>
      </c>
    </row>
    <row r="23" spans="1:33" ht="15.75" customHeight="1" x14ac:dyDescent="0.2">
      <c r="A23" s="26" t="s">
        <v>68</v>
      </c>
      <c r="B23" s="26"/>
      <c r="C23" s="14" t="str">
        <f t="shared" si="4"/>
        <v xml:space="preserve"> - </v>
      </c>
      <c r="D23" s="27">
        <v>0</v>
      </c>
      <c r="E23" s="27">
        <v>0</v>
      </c>
      <c r="F23" s="30">
        <v>0</v>
      </c>
      <c r="G23" s="28">
        <v>0</v>
      </c>
      <c r="H23" s="29" t="e">
        <f t="shared" si="1"/>
        <v>#DIV/0!</v>
      </c>
      <c r="I23" s="29" t="e">
        <f t="shared" si="2"/>
        <v>#DIV/0!</v>
      </c>
      <c r="J23" s="30">
        <f t="shared" si="5"/>
        <v>0</v>
      </c>
      <c r="K23" s="30" t="e">
        <f t="shared" si="3"/>
        <v>#DIV/0!</v>
      </c>
      <c r="L23" s="27">
        <v>0</v>
      </c>
      <c r="M23" s="31" t="str">
        <f t="shared" si="6"/>
        <v>-</v>
      </c>
      <c r="N23" s="27">
        <v>0</v>
      </c>
      <c r="O23" s="32">
        <f t="shared" ref="O23:P23" si="31">D23/7</f>
        <v>0</v>
      </c>
      <c r="P23" s="32">
        <f t="shared" si="31"/>
        <v>0</v>
      </c>
      <c r="Q23" s="27" t="e">
        <f t="shared" si="8"/>
        <v>#DIV/0!</v>
      </c>
      <c r="R23" s="27"/>
      <c r="S23" s="33" t="e">
        <v>#N/A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0.25216666666666665</v>
      </c>
      <c r="AD23" s="37">
        <f t="shared" si="12"/>
        <v>0</v>
      </c>
      <c r="AE23" s="37">
        <v>-5.8</v>
      </c>
      <c r="AF23" s="37">
        <v>-5.7359159090909095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0.25216666666666665</v>
      </c>
      <c r="AD24" s="37">
        <f t="shared" si="12"/>
        <v>0</v>
      </c>
      <c r="AE24" s="37">
        <v>-5.8</v>
      </c>
      <c r="AF24" s="37">
        <v>-5.7359159090909095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0.25216666666666665</v>
      </c>
      <c r="AD25" s="37">
        <f t="shared" si="12"/>
        <v>0</v>
      </c>
      <c r="AE25" s="42">
        <v>-5.8</v>
      </c>
      <c r="AF25" s="42">
        <v>-5.74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0.25216666666666665</v>
      </c>
      <c r="AD26" s="37">
        <f t="shared" si="12"/>
        <v>0</v>
      </c>
      <c r="AE26" s="42">
        <v>-5.8</v>
      </c>
      <c r="AF26" s="42">
        <v>-5.7359159090908998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0.25216666666666665</v>
      </c>
      <c r="AD27" s="37">
        <f t="shared" si="12"/>
        <v>0</v>
      </c>
      <c r="AE27" s="42">
        <v>-5.8</v>
      </c>
      <c r="AF27" s="42">
        <v>-5.7359159090908998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0.25216666666666665</v>
      </c>
      <c r="AD28" s="37">
        <f t="shared" si="12"/>
        <v>0</v>
      </c>
      <c r="AE28" s="42">
        <v>-5.8</v>
      </c>
      <c r="AF28" s="42">
        <v>-5.7359159090908998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0.25216666666666665</v>
      </c>
      <c r="AD29" s="37">
        <f t="shared" si="12"/>
        <v>0</v>
      </c>
      <c r="AE29" s="37">
        <v>-5.8</v>
      </c>
      <c r="AF29" s="42">
        <v>-5.7359159090908998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0.25216666666666665</v>
      </c>
      <c r="AD30" s="37">
        <f t="shared" si="12"/>
        <v>0</v>
      </c>
      <c r="AE30" s="42">
        <v>-5.8</v>
      </c>
      <c r="AF30" s="42">
        <v>-6.3526558375000004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 t="s">
        <v>34</v>
      </c>
      <c r="V31" s="1" t="s">
        <v>34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0.25216666666666665</v>
      </c>
      <c r="AD31" s="37">
        <f t="shared" si="12"/>
        <v>0</v>
      </c>
      <c r="AE31" s="45">
        <v>-5.8</v>
      </c>
      <c r="AF31" s="45">
        <v>-6.3526558375000004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0.25216666666666665</v>
      </c>
      <c r="AD32" s="37">
        <f t="shared" si="12"/>
        <v>0</v>
      </c>
      <c r="AE32" s="42">
        <v>-5.8</v>
      </c>
      <c r="AF32" s="42">
        <v>-6.3526558375000004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0000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7.6640625" customWidth="1"/>
    <col min="3" max="3" width="8" customWidth="1"/>
    <col min="4" max="4" width="6.5" customWidth="1"/>
    <col min="5" max="5" width="10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" customWidth="1"/>
    <col min="16" max="16" width="11" customWidth="1"/>
    <col min="17" max="18" width="8.5" customWidth="1"/>
    <col min="19" max="19" width="8.33203125" customWidth="1"/>
    <col min="20" max="20" width="12.832031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59" t="str">
        <f ca="1">IFERROR(__xludf.DUMMYFUNCTION("IFERROR(VLOOKUP(B2,IMPORTRANGE(""https://docs.google.com/spreadsheets/d/1x0DhHglkXKoEBOD2MBsuK_EyIr1ouxD2ftIpqOYFa-k/edit?usp=sharing"",""Ubiquitty-SKU-Specific Info!B1:BJ5000""),3,FALSE),"""")"),"Galvanized Hanging Wall Planter 2 Pack - 16"" Metal Wall Vases for Flowers")</f>
        <v>Galvanized Hanging Wall Planter 2 Pack - 16" Metal Wall Vases for Flowers</v>
      </c>
      <c r="B1" s="60"/>
      <c r="C1" s="61" t="s">
        <v>0</v>
      </c>
      <c r="D1" s="63" t="s">
        <v>1</v>
      </c>
      <c r="E1" s="63" t="s">
        <v>2</v>
      </c>
      <c r="F1" s="65" t="s">
        <v>3</v>
      </c>
      <c r="G1" s="65" t="s">
        <v>4</v>
      </c>
      <c r="H1" s="66" t="s">
        <v>5</v>
      </c>
      <c r="I1" s="63" t="s">
        <v>6</v>
      </c>
      <c r="J1" s="63" t="s">
        <v>7</v>
      </c>
      <c r="K1" s="63" t="s">
        <v>8</v>
      </c>
      <c r="L1" s="63" t="s">
        <v>9</v>
      </c>
      <c r="M1" s="70" t="s">
        <v>10</v>
      </c>
      <c r="N1" s="71" t="s">
        <v>11</v>
      </c>
      <c r="O1" s="63" t="s">
        <v>12</v>
      </c>
      <c r="P1" s="63" t="s">
        <v>13</v>
      </c>
      <c r="Q1" s="63" t="s">
        <v>14</v>
      </c>
      <c r="R1" s="63" t="s">
        <v>15</v>
      </c>
      <c r="S1" s="72" t="s">
        <v>16</v>
      </c>
      <c r="T1" s="74" t="s">
        <v>1522</v>
      </c>
      <c r="U1" s="74" t="s">
        <v>17</v>
      </c>
      <c r="V1" s="74" t="s">
        <v>18</v>
      </c>
      <c r="W1" s="74" t="s">
        <v>19</v>
      </c>
      <c r="X1" s="74" t="s">
        <v>20</v>
      </c>
      <c r="Y1" s="74" t="s">
        <v>21</v>
      </c>
      <c r="Z1" s="74" t="s">
        <v>22</v>
      </c>
      <c r="AA1" s="74" t="s">
        <v>23</v>
      </c>
      <c r="AB1" s="74" t="s">
        <v>24</v>
      </c>
      <c r="AC1" s="74" t="s">
        <v>25</v>
      </c>
      <c r="AD1" s="76" t="s">
        <v>26</v>
      </c>
      <c r="AE1" s="77" t="s">
        <v>27</v>
      </c>
      <c r="AF1" s="78" t="s">
        <v>28</v>
      </c>
      <c r="AG1" s="77" t="s">
        <v>29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Info!B1:BJ5000""),2,FALSE),"""")"),"B07STJJNQG")</f>
        <v>B07STJJNQG</v>
      </c>
      <c r="B2" s="3" t="s">
        <v>1512</v>
      </c>
      <c r="C2" s="62"/>
      <c r="D2" s="62"/>
      <c r="E2" s="64"/>
      <c r="F2" s="62"/>
      <c r="G2" s="62"/>
      <c r="H2" s="67"/>
      <c r="I2" s="62"/>
      <c r="J2" s="62"/>
      <c r="K2" s="67"/>
      <c r="L2" s="67"/>
      <c r="M2" s="67"/>
      <c r="N2" s="62"/>
      <c r="O2" s="62"/>
      <c r="P2" s="64"/>
      <c r="Q2" s="62"/>
      <c r="R2" s="62"/>
      <c r="S2" s="73"/>
      <c r="T2" s="60"/>
      <c r="U2" s="75"/>
      <c r="V2" s="75"/>
      <c r="W2" s="60"/>
      <c r="X2" s="60"/>
      <c r="Y2" s="60"/>
      <c r="Z2" s="60"/>
      <c r="AA2" s="75"/>
      <c r="AB2" s="75"/>
      <c r="AC2" s="75"/>
      <c r="AD2" s="75"/>
      <c r="AE2" s="60"/>
      <c r="AF2" s="60"/>
      <c r="AG2" s="60"/>
    </row>
    <row r="3" spans="1:33" ht="83.25" customHeight="1" x14ac:dyDescent="0.2">
      <c r="A3" s="68" t="s">
        <v>31</v>
      </c>
      <c r="B3" s="69"/>
      <c r="C3" s="48">
        <f>((AE32+AF32)/0.85)*-1</f>
        <v>16.406600386948529</v>
      </c>
      <c r="D3" s="5">
        <f>SUM(D4:D99767)</f>
        <v>211</v>
      </c>
      <c r="E3" s="5"/>
      <c r="F3" s="6">
        <f t="shared" ref="F3:G3" si="0">SUM(F4:F99767)</f>
        <v>3560.4100000000003</v>
      </c>
      <c r="G3" s="6">
        <f t="shared" si="0"/>
        <v>-422.82</v>
      </c>
      <c r="H3" s="7">
        <f t="shared" ref="H3:H32" si="1">G3/F3*-1</f>
        <v>0.11875598596790818</v>
      </c>
      <c r="I3" s="8">
        <f t="shared" ref="I3:I32" si="2">J3/F3</f>
        <v>-0.12806078558288572</v>
      </c>
      <c r="J3" s="6">
        <f>SUM(J4:J99767)</f>
        <v>-455.94890159716215</v>
      </c>
      <c r="K3" s="6">
        <f t="shared" ref="K3:K32" si="3">J3/D3</f>
        <v>-2.1608952682329958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Sheet!a1:g5000""),2,FALSE),"""")"),"disc. - March
disc. - April
disc. - May
disc. - June
disc. - July
disc. - Aug
disc. - Sept
disc. - Oct
disc. - Nov
disc. - Dec
disc. - Jan
disc. - Feb")</f>
        <v>disc. - March
disc. - April
disc. - May
disc. - June
disc. - July
disc. - Aug
disc. - Sept
disc. - Oct
disc. - Nov
disc. - Dec
disc. - Jan
disc.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SUM(W4:W99767)</f>
        <v>68</v>
      </c>
      <c r="X3" s="7">
        <f>W3/D3</f>
        <v>0.32227488151658767</v>
      </c>
      <c r="Y3" s="6"/>
      <c r="Z3" s="5"/>
      <c r="AA3" s="5"/>
      <c r="AB3" s="5"/>
      <c r="AC3" s="5"/>
      <c r="AD3" s="6">
        <f>SUM(AD4:AD99767)</f>
        <v>-121.4353087941322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Info!B2:BZ3000""),37,FALSE)),"""")*-1"),-7.38561032890625)</f>
        <v>-7.3856103289062496</v>
      </c>
      <c r="AG3" s="6">
        <f>SUM(AG4:AG99767)</f>
        <v>0</v>
      </c>
    </row>
    <row r="4" spans="1:33" x14ac:dyDescent="0.2">
      <c r="A4" s="1" t="s">
        <v>32</v>
      </c>
      <c r="B4" s="1" t="s">
        <v>1513</v>
      </c>
      <c r="C4" s="14">
        <f t="shared" ref="C4:C32" si="4">IFERROR(F4/D4," - ")</f>
        <v>18.469090909090912</v>
      </c>
      <c r="D4" s="15">
        <v>11</v>
      </c>
      <c r="E4" s="15">
        <v>0</v>
      </c>
      <c r="F4" s="16">
        <v>203.16000000000003</v>
      </c>
      <c r="G4" s="16">
        <v>-37.270000000000003</v>
      </c>
      <c r="H4" s="17">
        <f t="shared" si="1"/>
        <v>0.18345146682417798</v>
      </c>
      <c r="I4" s="17">
        <f t="shared" si="2"/>
        <v>-0.10113009604498914</v>
      </c>
      <c r="J4" s="16">
        <f t="shared" ref="J4:J32" si="5">F4*0.85+G4+AF4*D4+D4*AE4+AG4+AD4</f>
        <v>-20.545590312499996</v>
      </c>
      <c r="K4" s="16">
        <f t="shared" si="3"/>
        <v>-1.8677809374999996</v>
      </c>
      <c r="L4" s="15">
        <v>21</v>
      </c>
      <c r="M4" s="18">
        <f t="shared" ref="M4:M32" si="6">IFERROR(D4/L4,"-")</f>
        <v>0.52380952380952384</v>
      </c>
      <c r="N4" s="15">
        <v>256</v>
      </c>
      <c r="O4" s="19">
        <f t="shared" ref="O4:P4" si="7">D4/7</f>
        <v>1.5714285714285714</v>
      </c>
      <c r="P4" s="19">
        <f t="shared" si="7"/>
        <v>0</v>
      </c>
      <c r="Q4" s="15">
        <f t="shared" ref="Q4:Q32" si="8">ROUNDDOWN(N4/(O4+P4),0)</f>
        <v>162</v>
      </c>
      <c r="R4" s="15"/>
      <c r="S4" s="20">
        <v>0.47679324894514702</v>
      </c>
      <c r="T4" s="2">
        <v>0</v>
      </c>
      <c r="U4" s="2" t="s">
        <v>34</v>
      </c>
      <c r="V4" s="21" t="s">
        <v>34</v>
      </c>
      <c r="W4" s="22">
        <v>5</v>
      </c>
      <c r="X4" s="23">
        <f t="shared" ref="X4:X32" si="9">IFERROR(W4/D4,0)</f>
        <v>0.45454545454545453</v>
      </c>
      <c r="Y4" s="24">
        <f t="shared" ref="Y4:Y32" si="10">IFERROR(G4/(W4+Z4)*-1,0)</f>
        <v>5.3242857142857147</v>
      </c>
      <c r="Z4" s="22">
        <v>2</v>
      </c>
      <c r="AA4" s="2" t="s">
        <v>37</v>
      </c>
      <c r="AB4" s="24">
        <f t="shared" ref="AB4:AB32" si="11">IF(OR(AA4="UsLargeStandardSize",AA4="UsSmallStandardSize"),-0.69,-0.48)</f>
        <v>-0.69</v>
      </c>
      <c r="AC4" s="25">
        <v>0.40336631944444445</v>
      </c>
      <c r="AD4" s="24">
        <f t="shared" ref="AD4:AD32" si="12">IFERROR(AB4*AC4*D4*2,0)</f>
        <v>-6.1231007291666666</v>
      </c>
      <c r="AE4" s="24">
        <v>-6.56</v>
      </c>
      <c r="AF4" s="24">
        <v>-7.0616808712121211</v>
      </c>
      <c r="AG4" s="24">
        <v>0</v>
      </c>
    </row>
    <row r="5" spans="1:33" ht="15.75" customHeight="1" x14ac:dyDescent="0.2">
      <c r="A5" s="26" t="s">
        <v>35</v>
      </c>
      <c r="B5" s="26" t="s">
        <v>1514</v>
      </c>
      <c r="C5" s="14">
        <f t="shared" si="4"/>
        <v>17.990000000000002</v>
      </c>
      <c r="D5" s="27">
        <v>10</v>
      </c>
      <c r="E5" s="27">
        <v>0</v>
      </c>
      <c r="F5" s="28">
        <v>179.9</v>
      </c>
      <c r="G5" s="28">
        <v>-47.92</v>
      </c>
      <c r="H5" s="29">
        <f t="shared" si="1"/>
        <v>0.26637020566981656</v>
      </c>
      <c r="I5" s="29">
        <f t="shared" si="2"/>
        <v>-0.20452870507150947</v>
      </c>
      <c r="J5" s="30">
        <f t="shared" si="5"/>
        <v>-36.794714042364554</v>
      </c>
      <c r="K5" s="30">
        <f t="shared" si="3"/>
        <v>-3.6794714042364554</v>
      </c>
      <c r="L5" s="27">
        <v>70</v>
      </c>
      <c r="M5" s="31">
        <f t="shared" si="6"/>
        <v>0.14285714285714285</v>
      </c>
      <c r="N5" s="27">
        <v>246</v>
      </c>
      <c r="O5" s="32">
        <f t="shared" ref="O5:P5" si="13">D5/7</f>
        <v>1.4285714285714286</v>
      </c>
      <c r="P5" s="32">
        <f t="shared" si="13"/>
        <v>0</v>
      </c>
      <c r="Q5" s="27">
        <f t="shared" si="8"/>
        <v>172</v>
      </c>
      <c r="R5" s="27"/>
      <c r="S5" s="33">
        <v>0.45703493862133998</v>
      </c>
      <c r="T5" s="26">
        <v>0</v>
      </c>
      <c r="U5" s="34" t="s">
        <v>34</v>
      </c>
      <c r="V5" s="35" t="s">
        <v>34</v>
      </c>
      <c r="W5" s="26">
        <v>4</v>
      </c>
      <c r="X5" s="36">
        <f t="shared" si="9"/>
        <v>0.4</v>
      </c>
      <c r="Y5" s="37">
        <f t="shared" si="10"/>
        <v>5.99</v>
      </c>
      <c r="Z5" s="26">
        <v>4</v>
      </c>
      <c r="AA5" s="26" t="s">
        <v>37</v>
      </c>
      <c r="AB5" s="38">
        <f t="shared" si="11"/>
        <v>-0.69</v>
      </c>
      <c r="AC5" s="39">
        <v>0.40383371958285053</v>
      </c>
      <c r="AD5" s="37">
        <f t="shared" si="12"/>
        <v>-5.5729053302433371</v>
      </c>
      <c r="AE5" s="37">
        <v>-6.56</v>
      </c>
      <c r="AF5" s="37">
        <v>-7.0616808712121211</v>
      </c>
      <c r="AG5" s="37">
        <v>0</v>
      </c>
    </row>
    <row r="6" spans="1:33" ht="15.75" customHeight="1" x14ac:dyDescent="0.2">
      <c r="A6" s="26" t="s">
        <v>38</v>
      </c>
      <c r="B6" s="26" t="s">
        <v>1515</v>
      </c>
      <c r="C6" s="14">
        <f t="shared" si="4"/>
        <v>16.35956521739131</v>
      </c>
      <c r="D6" s="27">
        <v>23</v>
      </c>
      <c r="E6" s="27">
        <v>0</v>
      </c>
      <c r="F6" s="28">
        <v>376.2700000000001</v>
      </c>
      <c r="G6" s="28">
        <v>-52.760000000000005</v>
      </c>
      <c r="H6" s="29">
        <f t="shared" si="1"/>
        <v>0.14021846014829775</v>
      </c>
      <c r="I6" s="29">
        <f t="shared" si="2"/>
        <v>-0.15688736018562568</v>
      </c>
      <c r="J6" s="30">
        <f t="shared" si="5"/>
        <v>-59.032007017045395</v>
      </c>
      <c r="K6" s="30">
        <f t="shared" si="3"/>
        <v>-2.5666090007411042</v>
      </c>
      <c r="L6" s="27">
        <v>72</v>
      </c>
      <c r="M6" s="31">
        <f t="shared" si="6"/>
        <v>0.31944444444444442</v>
      </c>
      <c r="N6" s="27">
        <v>216</v>
      </c>
      <c r="O6" s="32">
        <f t="shared" ref="O6:P6" si="14">D6/7</f>
        <v>3.2857142857142856</v>
      </c>
      <c r="P6" s="32">
        <f t="shared" si="14"/>
        <v>0</v>
      </c>
      <c r="Q6" s="27">
        <f t="shared" si="8"/>
        <v>65</v>
      </c>
      <c r="R6" s="27"/>
      <c r="S6" s="33">
        <v>0.44169611307420398</v>
      </c>
      <c r="T6" s="26">
        <v>0</v>
      </c>
      <c r="U6" s="34" t="s">
        <v>34</v>
      </c>
      <c r="V6" s="35"/>
      <c r="W6" s="26">
        <v>11</v>
      </c>
      <c r="X6" s="36">
        <f t="shared" si="9"/>
        <v>0.47826086956521741</v>
      </c>
      <c r="Y6" s="37">
        <f t="shared" si="10"/>
        <v>4.0584615384615388</v>
      </c>
      <c r="Z6" s="26">
        <v>2</v>
      </c>
      <c r="AA6" s="26" t="s">
        <v>37</v>
      </c>
      <c r="AB6" s="38">
        <f t="shared" si="11"/>
        <v>-0.69</v>
      </c>
      <c r="AC6" s="39">
        <v>0.40336631944444445</v>
      </c>
      <c r="AD6" s="37">
        <f t="shared" si="12"/>
        <v>-12.802846979166667</v>
      </c>
      <c r="AE6" s="37">
        <v>-6.56</v>
      </c>
      <c r="AF6" s="37">
        <v>-7.0616808712121211</v>
      </c>
      <c r="AG6" s="37">
        <v>0</v>
      </c>
    </row>
    <row r="7" spans="1:33" ht="15.75" customHeight="1" x14ac:dyDescent="0.2">
      <c r="A7" s="26" t="s">
        <v>41</v>
      </c>
      <c r="B7" s="26" t="s">
        <v>1516</v>
      </c>
      <c r="C7" s="14">
        <f t="shared" si="4"/>
        <v>16.035384615384618</v>
      </c>
      <c r="D7" s="27">
        <v>26</v>
      </c>
      <c r="E7" s="27">
        <v>0</v>
      </c>
      <c r="F7" s="28">
        <v>416.92000000000007</v>
      </c>
      <c r="G7" s="28">
        <v>-57.929999999999993</v>
      </c>
      <c r="H7" s="29">
        <f t="shared" si="1"/>
        <v>0.13894751990789594</v>
      </c>
      <c r="I7" s="29">
        <f t="shared" si="2"/>
        <v>-0.17522108170595893</v>
      </c>
      <c r="J7" s="30">
        <f t="shared" si="5"/>
        <v>-73.053173384848407</v>
      </c>
      <c r="K7" s="30">
        <f t="shared" si="3"/>
        <v>-2.8097374378787849</v>
      </c>
      <c r="L7" s="27">
        <v>97</v>
      </c>
      <c r="M7" s="31">
        <f t="shared" si="6"/>
        <v>0.26804123711340205</v>
      </c>
      <c r="N7" s="27">
        <v>186</v>
      </c>
      <c r="O7" s="32">
        <f t="shared" ref="O7:P7" si="15">D7/7</f>
        <v>3.7142857142857144</v>
      </c>
      <c r="P7" s="32">
        <f t="shared" si="15"/>
        <v>0</v>
      </c>
      <c r="Q7" s="27">
        <f t="shared" si="8"/>
        <v>50</v>
      </c>
      <c r="R7" s="27"/>
      <c r="S7" s="33">
        <v>0.50793650793650702</v>
      </c>
      <c r="T7" s="26">
        <v>0</v>
      </c>
      <c r="U7" s="34" t="s">
        <v>34</v>
      </c>
      <c r="V7" s="35"/>
      <c r="W7" s="26">
        <v>8</v>
      </c>
      <c r="X7" s="36">
        <f t="shared" si="9"/>
        <v>0.30769230769230771</v>
      </c>
      <c r="Y7" s="37">
        <f t="shared" si="10"/>
        <v>6.4366666666666656</v>
      </c>
      <c r="Z7" s="26">
        <v>1</v>
      </c>
      <c r="AA7" s="26" t="s">
        <v>37</v>
      </c>
      <c r="AB7" s="38">
        <f t="shared" si="11"/>
        <v>-0.69</v>
      </c>
      <c r="AC7" s="39">
        <v>0.42757722222222222</v>
      </c>
      <c r="AD7" s="37">
        <f t="shared" si="12"/>
        <v>-15.341470733333331</v>
      </c>
      <c r="AE7" s="37">
        <v>-6.56</v>
      </c>
      <c r="AF7" s="37">
        <v>-7.0616808712121211</v>
      </c>
      <c r="AG7" s="37">
        <v>0</v>
      </c>
    </row>
    <row r="8" spans="1:33" ht="15.75" customHeight="1" x14ac:dyDescent="0.2">
      <c r="A8" s="26" t="s">
        <v>43</v>
      </c>
      <c r="B8" s="26" t="s">
        <v>460</v>
      </c>
      <c r="C8" s="14">
        <f t="shared" si="4"/>
        <v>16.266249999999999</v>
      </c>
      <c r="D8" s="27">
        <v>16</v>
      </c>
      <c r="E8" s="27">
        <v>4</v>
      </c>
      <c r="F8" s="28">
        <v>260.26</v>
      </c>
      <c r="G8" s="28">
        <v>-0.59000000000000008</v>
      </c>
      <c r="H8" s="29">
        <f t="shared" si="1"/>
        <v>2.2669638054253444E-3</v>
      </c>
      <c r="I8" s="29">
        <f t="shared" si="2"/>
        <v>-2.585839186454577E-2</v>
      </c>
      <c r="J8" s="30">
        <f t="shared" si="5"/>
        <v>-6.7299050666666815</v>
      </c>
      <c r="K8" s="30">
        <f t="shared" si="3"/>
        <v>-0.4206190666666676</v>
      </c>
      <c r="L8" s="27">
        <v>58</v>
      </c>
      <c r="M8" s="31">
        <f t="shared" si="6"/>
        <v>0.27586206896551724</v>
      </c>
      <c r="N8" s="27">
        <v>161</v>
      </c>
      <c r="O8" s="32">
        <f t="shared" ref="O8:P8" si="16">D8/7</f>
        <v>2.2857142857142856</v>
      </c>
      <c r="P8" s="32">
        <f t="shared" si="16"/>
        <v>0.5714285714285714</v>
      </c>
      <c r="Q8" s="27">
        <f t="shared" si="8"/>
        <v>56</v>
      </c>
      <c r="R8" s="27"/>
      <c r="S8" s="33">
        <v>0.58215962441314495</v>
      </c>
      <c r="T8" s="26">
        <v>0</v>
      </c>
      <c r="U8" s="34" t="s">
        <v>34</v>
      </c>
      <c r="V8" s="35" t="s">
        <v>34</v>
      </c>
      <c r="W8" s="26">
        <v>0</v>
      </c>
      <c r="X8" s="36">
        <f t="shared" si="9"/>
        <v>0</v>
      </c>
      <c r="Y8" s="37">
        <f t="shared" si="10"/>
        <v>0</v>
      </c>
      <c r="Z8" s="26">
        <v>0</v>
      </c>
      <c r="AA8" s="26" t="s">
        <v>37</v>
      </c>
      <c r="AB8" s="38">
        <f t="shared" si="11"/>
        <v>-0.69</v>
      </c>
      <c r="AC8" s="39">
        <v>0.42757722222222222</v>
      </c>
      <c r="AD8" s="37">
        <f t="shared" si="12"/>
        <v>-9.4409050666666658</v>
      </c>
      <c r="AE8" s="37">
        <v>-6.56</v>
      </c>
      <c r="AF8" s="37">
        <v>-7.06</v>
      </c>
      <c r="AG8" s="37">
        <v>0</v>
      </c>
    </row>
    <row r="9" spans="1:33" ht="15.75" customHeight="1" x14ac:dyDescent="0.2">
      <c r="A9" s="26" t="s">
        <v>45</v>
      </c>
      <c r="B9" s="26" t="s">
        <v>835</v>
      </c>
      <c r="C9" s="14">
        <f t="shared" si="4"/>
        <v>16.739999999999998</v>
      </c>
      <c r="D9" s="27">
        <v>8</v>
      </c>
      <c r="E9" s="27">
        <v>0</v>
      </c>
      <c r="F9" s="28">
        <v>133.91999999999999</v>
      </c>
      <c r="G9" s="28">
        <v>-0.48000000000000004</v>
      </c>
      <c r="H9" s="29">
        <f t="shared" si="1"/>
        <v>3.584229390681004E-3</v>
      </c>
      <c r="I9" s="29">
        <f t="shared" si="2"/>
        <v>-2.416864288041691E-2</v>
      </c>
      <c r="J9" s="30">
        <f t="shared" si="5"/>
        <v>-3.2366646545454323</v>
      </c>
      <c r="K9" s="30">
        <f t="shared" si="3"/>
        <v>-0.40458308181817904</v>
      </c>
      <c r="L9" s="27">
        <v>42</v>
      </c>
      <c r="M9" s="31">
        <f t="shared" si="6"/>
        <v>0.19047619047619047</v>
      </c>
      <c r="N9" s="27">
        <v>149</v>
      </c>
      <c r="O9" s="32">
        <f t="shared" ref="O9:P9" si="17">D9/7</f>
        <v>1.1428571428571428</v>
      </c>
      <c r="P9" s="32">
        <f t="shared" si="17"/>
        <v>0</v>
      </c>
      <c r="Q9" s="27">
        <f t="shared" si="8"/>
        <v>130</v>
      </c>
      <c r="R9" s="27"/>
      <c r="S9" s="33">
        <v>0.60117878192534302</v>
      </c>
      <c r="T9" s="26">
        <v>0</v>
      </c>
      <c r="U9" s="34" t="s">
        <v>34</v>
      </c>
      <c r="V9" s="35" t="s">
        <v>34</v>
      </c>
      <c r="W9" s="26">
        <v>1</v>
      </c>
      <c r="X9" s="36">
        <f t="shared" si="9"/>
        <v>0.125</v>
      </c>
      <c r="Y9" s="37">
        <f t="shared" si="10"/>
        <v>0.48000000000000004</v>
      </c>
      <c r="Z9" s="26">
        <v>0</v>
      </c>
      <c r="AA9" s="26" t="s">
        <v>37</v>
      </c>
      <c r="AB9" s="38">
        <f t="shared" si="11"/>
        <v>-0.69</v>
      </c>
      <c r="AC9" s="39">
        <v>0.42757722222222222</v>
      </c>
      <c r="AD9" s="37">
        <f t="shared" si="12"/>
        <v>-4.7204525333333329</v>
      </c>
      <c r="AE9" s="37">
        <v>-6.56</v>
      </c>
      <c r="AF9" s="37">
        <v>-7.4235265151515097</v>
      </c>
      <c r="AG9" s="37">
        <v>0</v>
      </c>
    </row>
    <row r="10" spans="1:33" ht="15.75" customHeight="1" x14ac:dyDescent="0.2">
      <c r="A10" s="26" t="s">
        <v>48</v>
      </c>
      <c r="B10" s="26" t="s">
        <v>102</v>
      </c>
      <c r="C10" s="14">
        <f t="shared" si="4"/>
        <v>16.989999999999998</v>
      </c>
      <c r="D10" s="27">
        <v>3</v>
      </c>
      <c r="E10" s="27">
        <v>2</v>
      </c>
      <c r="F10" s="28">
        <v>50.97</v>
      </c>
      <c r="G10" s="28">
        <v>-0.87999999999999989</v>
      </c>
      <c r="H10" s="29">
        <f t="shared" si="1"/>
        <v>1.7265057877182653E-2</v>
      </c>
      <c r="I10" s="29">
        <f t="shared" si="2"/>
        <v>-2.5039223964185457E-2</v>
      </c>
      <c r="J10" s="30">
        <f t="shared" si="5"/>
        <v>-1.2762492454545327</v>
      </c>
      <c r="K10" s="30">
        <f t="shared" si="3"/>
        <v>-0.42541641515151091</v>
      </c>
      <c r="L10" s="27">
        <v>42</v>
      </c>
      <c r="M10" s="31">
        <f t="shared" si="6"/>
        <v>7.1428571428571425E-2</v>
      </c>
      <c r="N10" s="27">
        <v>139</v>
      </c>
      <c r="O10" s="32">
        <f t="shared" ref="O10:P10" si="18">D10/7</f>
        <v>0.42857142857142855</v>
      </c>
      <c r="P10" s="32">
        <f t="shared" si="18"/>
        <v>0.2857142857142857</v>
      </c>
      <c r="Q10" s="27">
        <f t="shared" si="8"/>
        <v>194</v>
      </c>
      <c r="R10" s="27"/>
      <c r="S10" s="33">
        <v>0.61885245901639296</v>
      </c>
      <c r="T10" s="26">
        <v>0</v>
      </c>
      <c r="U10" s="34" t="s">
        <v>34</v>
      </c>
      <c r="V10" s="35" t="s">
        <v>34</v>
      </c>
      <c r="W10" s="26">
        <v>0</v>
      </c>
      <c r="X10" s="36">
        <f t="shared" si="9"/>
        <v>0</v>
      </c>
      <c r="Y10" s="37">
        <f t="shared" si="10"/>
        <v>0</v>
      </c>
      <c r="Z10" s="26">
        <v>0</v>
      </c>
      <c r="AA10" s="26" t="s">
        <v>37</v>
      </c>
      <c r="AB10" s="38">
        <f t="shared" si="11"/>
        <v>-0.69</v>
      </c>
      <c r="AC10" s="39">
        <v>0.42757722222222222</v>
      </c>
      <c r="AD10" s="37">
        <f t="shared" si="12"/>
        <v>-1.7701696999999998</v>
      </c>
      <c r="AE10" s="37">
        <v>-6.56</v>
      </c>
      <c r="AF10" s="37">
        <v>-7.4235265151515097</v>
      </c>
      <c r="AG10" s="37">
        <v>0</v>
      </c>
    </row>
    <row r="11" spans="1:33" ht="15.75" customHeight="1" x14ac:dyDescent="0.2">
      <c r="A11" s="26" t="s">
        <v>50</v>
      </c>
      <c r="B11" s="26" t="s">
        <v>102</v>
      </c>
      <c r="C11" s="14">
        <f t="shared" si="4"/>
        <v>16.990000000000002</v>
      </c>
      <c r="D11" s="27">
        <v>10</v>
      </c>
      <c r="E11" s="27">
        <v>1</v>
      </c>
      <c r="F11" s="28">
        <v>169.9</v>
      </c>
      <c r="G11" s="28">
        <v>-0.79999999999999993</v>
      </c>
      <c r="H11" s="29">
        <f t="shared" si="1"/>
        <v>4.7086521483225424E-3</v>
      </c>
      <c r="I11" s="29">
        <f t="shared" si="2"/>
        <v>-1.248281823532533E-2</v>
      </c>
      <c r="J11" s="30">
        <f t="shared" si="5"/>
        <v>-2.1208308181817737</v>
      </c>
      <c r="K11" s="30">
        <f t="shared" si="3"/>
        <v>-0.21208308181817737</v>
      </c>
      <c r="L11" s="27">
        <v>28</v>
      </c>
      <c r="M11" s="31">
        <f t="shared" si="6"/>
        <v>0.35714285714285715</v>
      </c>
      <c r="N11" s="27">
        <v>124</v>
      </c>
      <c r="O11" s="32">
        <f t="shared" ref="O11:P11" si="19">D11/7</f>
        <v>1.4285714285714286</v>
      </c>
      <c r="P11" s="32">
        <f t="shared" si="19"/>
        <v>0.14285714285714285</v>
      </c>
      <c r="Q11" s="27">
        <f t="shared" si="8"/>
        <v>78</v>
      </c>
      <c r="R11" s="27"/>
      <c r="S11" s="33">
        <v>0.64686468646864603</v>
      </c>
      <c r="T11" s="26">
        <v>0</v>
      </c>
      <c r="U11" s="34" t="s">
        <v>34</v>
      </c>
      <c r="V11" s="35" t="s">
        <v>34</v>
      </c>
      <c r="W11" s="26">
        <v>0</v>
      </c>
      <c r="X11" s="36">
        <f t="shared" si="9"/>
        <v>0</v>
      </c>
      <c r="Y11" s="37">
        <f t="shared" si="10"/>
        <v>0</v>
      </c>
      <c r="Z11" s="26">
        <v>0</v>
      </c>
      <c r="AA11" s="26" t="s">
        <v>37</v>
      </c>
      <c r="AB11" s="38">
        <f t="shared" si="11"/>
        <v>-0.69</v>
      </c>
      <c r="AC11" s="39">
        <v>0.42757722222222222</v>
      </c>
      <c r="AD11" s="37">
        <f t="shared" si="12"/>
        <v>-5.9005656666666662</v>
      </c>
      <c r="AE11" s="37">
        <v>-6.56</v>
      </c>
      <c r="AF11" s="37">
        <v>-7.4235265151515097</v>
      </c>
      <c r="AG11" s="37">
        <v>0</v>
      </c>
    </row>
    <row r="12" spans="1:33" ht="15.75" customHeight="1" x14ac:dyDescent="0.2">
      <c r="A12" s="26" t="s">
        <v>52</v>
      </c>
      <c r="B12" s="26" t="s">
        <v>102</v>
      </c>
      <c r="C12" s="14">
        <f t="shared" si="4"/>
        <v>16.989999999999998</v>
      </c>
      <c r="D12" s="27">
        <v>6</v>
      </c>
      <c r="E12" s="27">
        <v>2</v>
      </c>
      <c r="F12" s="28">
        <v>101.93999999999998</v>
      </c>
      <c r="G12" s="28">
        <v>-1.1200000000000001</v>
      </c>
      <c r="H12" s="29">
        <f t="shared" si="1"/>
        <v>1.0986855012752603E-2</v>
      </c>
      <c r="I12" s="29">
        <f t="shared" si="2"/>
        <v>-1.8761021099755536E-2</v>
      </c>
      <c r="J12" s="30">
        <f t="shared" si="5"/>
        <v>-1.912498490909079</v>
      </c>
      <c r="K12" s="30">
        <f t="shared" si="3"/>
        <v>-0.3187497484848465</v>
      </c>
      <c r="L12" s="27">
        <v>28</v>
      </c>
      <c r="M12" s="31">
        <f t="shared" si="6"/>
        <v>0.21428571428571427</v>
      </c>
      <c r="N12" s="27">
        <v>114</v>
      </c>
      <c r="O12" s="32">
        <f t="shared" ref="O12:P12" si="20">D12/7</f>
        <v>0.8571428571428571</v>
      </c>
      <c r="P12" s="32">
        <f t="shared" si="20"/>
        <v>0.2857142857142857</v>
      </c>
      <c r="Q12" s="27">
        <f t="shared" si="8"/>
        <v>99</v>
      </c>
      <c r="R12" s="27"/>
      <c r="S12" s="33">
        <v>0.67373380447585396</v>
      </c>
      <c r="T12" s="26">
        <v>0</v>
      </c>
      <c r="U12" s="34" t="s">
        <v>34</v>
      </c>
      <c r="V12" s="35" t="s">
        <v>34</v>
      </c>
      <c r="W12" s="26">
        <v>1</v>
      </c>
      <c r="X12" s="36">
        <f t="shared" si="9"/>
        <v>0.16666666666666666</v>
      </c>
      <c r="Y12" s="37">
        <f t="shared" si="10"/>
        <v>1.1200000000000001</v>
      </c>
      <c r="Z12" s="26">
        <v>0</v>
      </c>
      <c r="AA12" s="26" t="s">
        <v>37</v>
      </c>
      <c r="AB12" s="38">
        <f t="shared" si="11"/>
        <v>-0.69</v>
      </c>
      <c r="AC12" s="39">
        <v>0.42757722222222222</v>
      </c>
      <c r="AD12" s="37">
        <f t="shared" si="12"/>
        <v>-3.5403393999999997</v>
      </c>
      <c r="AE12" s="37">
        <v>-6.56</v>
      </c>
      <c r="AF12" s="37">
        <v>-7.4235265151515097</v>
      </c>
      <c r="AG12" s="37">
        <v>0</v>
      </c>
    </row>
    <row r="13" spans="1:33" ht="15.75" customHeight="1" x14ac:dyDescent="0.2">
      <c r="A13" s="26" t="s">
        <v>54</v>
      </c>
      <c r="B13" s="26" t="s">
        <v>652</v>
      </c>
      <c r="C13" s="14">
        <f t="shared" si="4"/>
        <v>16.989999999999998</v>
      </c>
      <c r="D13" s="27">
        <v>4</v>
      </c>
      <c r="E13" s="27">
        <v>0</v>
      </c>
      <c r="F13" s="30">
        <v>67.959999999999994</v>
      </c>
      <c r="G13" s="28">
        <v>-0.6</v>
      </c>
      <c r="H13" s="29">
        <f t="shared" si="1"/>
        <v>8.8287227781047688E-3</v>
      </c>
      <c r="I13" s="29">
        <f t="shared" si="2"/>
        <v>-2.7812134053899869E-2</v>
      </c>
      <c r="J13" s="30">
        <f t="shared" si="5"/>
        <v>-1.8901126303030349</v>
      </c>
      <c r="K13" s="30">
        <f t="shared" si="3"/>
        <v>-0.47252815757575872</v>
      </c>
      <c r="L13" s="27">
        <v>20</v>
      </c>
      <c r="M13" s="31">
        <f t="shared" si="6"/>
        <v>0.2</v>
      </c>
      <c r="N13" s="27">
        <v>107</v>
      </c>
      <c r="O13" s="32">
        <f t="shared" ref="O13:P13" si="21">D13/7</f>
        <v>0.5714285714285714</v>
      </c>
      <c r="P13" s="32">
        <f t="shared" si="21"/>
        <v>0</v>
      </c>
      <c r="Q13" s="27">
        <f t="shared" si="8"/>
        <v>187</v>
      </c>
      <c r="R13" s="27"/>
      <c r="S13" s="33">
        <v>0.69772998805256803</v>
      </c>
      <c r="T13" s="26">
        <v>0</v>
      </c>
      <c r="U13" s="34" t="s">
        <v>34</v>
      </c>
      <c r="V13" s="35" t="s">
        <v>34</v>
      </c>
      <c r="W13" s="26">
        <v>0</v>
      </c>
      <c r="X13" s="36">
        <f t="shared" si="9"/>
        <v>0</v>
      </c>
      <c r="Y13" s="37">
        <f t="shared" si="10"/>
        <v>0</v>
      </c>
      <c r="Z13" s="26">
        <v>0</v>
      </c>
      <c r="AA13" s="26" t="s">
        <v>37</v>
      </c>
      <c r="AB13" s="38">
        <f t="shared" si="11"/>
        <v>-0.69</v>
      </c>
      <c r="AC13" s="39">
        <v>0.42757722222222222</v>
      </c>
      <c r="AD13" s="37">
        <f t="shared" si="12"/>
        <v>-2.3602262666666665</v>
      </c>
      <c r="AE13" s="37">
        <v>-6.56</v>
      </c>
      <c r="AF13" s="37">
        <v>-7.6139715909090899</v>
      </c>
      <c r="AG13" s="37">
        <v>0</v>
      </c>
    </row>
    <row r="14" spans="1:33" ht="15.75" customHeight="1" x14ac:dyDescent="0.2">
      <c r="A14" s="26" t="s">
        <v>56</v>
      </c>
      <c r="B14" s="26" t="s">
        <v>1517</v>
      </c>
      <c r="C14" s="14">
        <f t="shared" si="4"/>
        <v>16.989999999999998</v>
      </c>
      <c r="D14" s="27">
        <v>3</v>
      </c>
      <c r="E14" s="27">
        <v>0</v>
      </c>
      <c r="F14" s="30">
        <v>50.97</v>
      </c>
      <c r="G14" s="28">
        <v>-11.61</v>
      </c>
      <c r="H14" s="29">
        <f t="shared" si="1"/>
        <v>0.22778104767510299</v>
      </c>
      <c r="I14" s="29">
        <f t="shared" si="2"/>
        <v>-0.24576074532850573</v>
      </c>
      <c r="J14" s="30">
        <f t="shared" si="5"/>
        <v>-12.526425189393937</v>
      </c>
      <c r="K14" s="30">
        <f t="shared" si="3"/>
        <v>-4.1754750631313122</v>
      </c>
      <c r="L14" s="27">
        <v>37</v>
      </c>
      <c r="M14" s="31">
        <f t="shared" si="6"/>
        <v>8.1081081081081086E-2</v>
      </c>
      <c r="N14" s="27">
        <v>102</v>
      </c>
      <c r="O14" s="32">
        <f t="shared" ref="O14:P14" si="22">D14/7</f>
        <v>0.42857142857142855</v>
      </c>
      <c r="P14" s="32">
        <f t="shared" si="22"/>
        <v>0</v>
      </c>
      <c r="Q14" s="27">
        <f t="shared" si="8"/>
        <v>238</v>
      </c>
      <c r="R14" s="27"/>
      <c r="S14" s="33">
        <v>0.74935400516795803</v>
      </c>
      <c r="T14" s="26">
        <v>0</v>
      </c>
      <c r="U14" s="34" t="s">
        <v>34</v>
      </c>
      <c r="V14" s="35" t="s">
        <v>34</v>
      </c>
      <c r="W14" s="26">
        <v>0</v>
      </c>
      <c r="X14" s="36">
        <f t="shared" si="9"/>
        <v>0</v>
      </c>
      <c r="Y14" s="37">
        <f t="shared" si="10"/>
        <v>0</v>
      </c>
      <c r="Z14" s="26">
        <v>0</v>
      </c>
      <c r="AA14" s="26" t="s">
        <v>37</v>
      </c>
      <c r="AB14" s="38">
        <f t="shared" si="11"/>
        <v>-0.69</v>
      </c>
      <c r="AC14" s="39">
        <v>0.41521990740740738</v>
      </c>
      <c r="AD14" s="37">
        <f t="shared" si="12"/>
        <v>-1.7190104166666664</v>
      </c>
      <c r="AE14" s="37">
        <v>-6.56</v>
      </c>
      <c r="AF14" s="37">
        <v>-7.6139715909090899</v>
      </c>
      <c r="AG14" s="37">
        <v>0</v>
      </c>
    </row>
    <row r="15" spans="1:33" ht="15.75" customHeight="1" x14ac:dyDescent="0.2">
      <c r="A15" s="26" t="s">
        <v>58</v>
      </c>
      <c r="B15" s="26" t="s">
        <v>46</v>
      </c>
      <c r="C15" s="14">
        <f t="shared" si="4"/>
        <v>15.990000000000004</v>
      </c>
      <c r="D15" s="27">
        <v>14</v>
      </c>
      <c r="E15" s="27">
        <v>1</v>
      </c>
      <c r="F15" s="30">
        <v>223.86000000000004</v>
      </c>
      <c r="G15" s="28">
        <v>-38.58</v>
      </c>
      <c r="H15" s="29">
        <f t="shared" si="1"/>
        <v>0.17233985526668449</v>
      </c>
      <c r="I15" s="29">
        <f t="shared" si="2"/>
        <v>-0.2446022106845275</v>
      </c>
      <c r="J15" s="30">
        <f t="shared" si="5"/>
        <v>-54.75665088383834</v>
      </c>
      <c r="K15" s="30">
        <f t="shared" si="3"/>
        <v>-3.9111893488455958</v>
      </c>
      <c r="L15" s="27">
        <v>57</v>
      </c>
      <c r="M15" s="31">
        <f t="shared" si="6"/>
        <v>0.24561403508771928</v>
      </c>
      <c r="N15" s="27">
        <v>90</v>
      </c>
      <c r="O15" s="32">
        <f t="shared" ref="O15:P15" si="23">D15/7</f>
        <v>2</v>
      </c>
      <c r="P15" s="32">
        <f t="shared" si="23"/>
        <v>0.14285714285714285</v>
      </c>
      <c r="Q15" s="27">
        <f t="shared" si="8"/>
        <v>42</v>
      </c>
      <c r="R15" s="27"/>
      <c r="S15" s="33">
        <v>0.81907433380084105</v>
      </c>
      <c r="T15" s="26">
        <v>0</v>
      </c>
      <c r="U15" s="34" t="s">
        <v>34</v>
      </c>
      <c r="V15" s="35" t="s">
        <v>34</v>
      </c>
      <c r="W15" s="26">
        <v>9</v>
      </c>
      <c r="X15" s="36">
        <f t="shared" si="9"/>
        <v>0.6428571428571429</v>
      </c>
      <c r="Y15" s="37">
        <f t="shared" si="10"/>
        <v>3.8579999999999997</v>
      </c>
      <c r="Z15" s="26">
        <v>1</v>
      </c>
      <c r="AA15" s="26" t="s">
        <v>37</v>
      </c>
      <c r="AB15" s="38">
        <f t="shared" si="11"/>
        <v>-0.69</v>
      </c>
      <c r="AC15" s="39">
        <v>0.41521990740740738</v>
      </c>
      <c r="AD15" s="37">
        <f t="shared" si="12"/>
        <v>-8.02204861111111</v>
      </c>
      <c r="AE15" s="37">
        <v>-6.56</v>
      </c>
      <c r="AF15" s="37">
        <v>-7.6139715909090899</v>
      </c>
      <c r="AG15" s="37">
        <v>0</v>
      </c>
    </row>
    <row r="16" spans="1:33" ht="15.75" customHeight="1" x14ac:dyDescent="0.2">
      <c r="A16" s="26" t="s">
        <v>60</v>
      </c>
      <c r="B16" s="26" t="s">
        <v>1518</v>
      </c>
      <c r="C16" s="14">
        <f t="shared" si="4"/>
        <v>15.990000000000002</v>
      </c>
      <c r="D16" s="27">
        <v>17</v>
      </c>
      <c r="E16" s="27">
        <v>2</v>
      </c>
      <c r="F16" s="30">
        <v>271.83000000000004</v>
      </c>
      <c r="G16" s="28">
        <v>-53.900000000000006</v>
      </c>
      <c r="H16" s="29">
        <f t="shared" si="1"/>
        <v>0.19828569326417245</v>
      </c>
      <c r="I16" s="29">
        <f t="shared" si="2"/>
        <v>-0.27054804868201554</v>
      </c>
      <c r="J16" s="30">
        <f t="shared" si="5"/>
        <v>-73.543076073232299</v>
      </c>
      <c r="K16" s="30">
        <f t="shared" si="3"/>
        <v>-4.3260632984254297</v>
      </c>
      <c r="L16" s="27">
        <v>62</v>
      </c>
      <c r="M16" s="31">
        <f t="shared" si="6"/>
        <v>0.27419354838709675</v>
      </c>
      <c r="N16" s="27">
        <v>68</v>
      </c>
      <c r="O16" s="32">
        <f t="shared" ref="O16:P16" si="24">D16/7</f>
        <v>2.4285714285714284</v>
      </c>
      <c r="P16" s="32">
        <f t="shared" si="24"/>
        <v>0.2857142857142857</v>
      </c>
      <c r="Q16" s="27">
        <f t="shared" si="8"/>
        <v>25</v>
      </c>
      <c r="R16" s="27"/>
      <c r="S16" s="33">
        <v>0.99530516431924798</v>
      </c>
      <c r="T16" s="26">
        <v>0</v>
      </c>
      <c r="U16" s="34" t="s">
        <v>34</v>
      </c>
      <c r="V16" s="35" t="s">
        <v>34</v>
      </c>
      <c r="W16" s="26">
        <v>7</v>
      </c>
      <c r="X16" s="36">
        <f t="shared" si="9"/>
        <v>0.41176470588235292</v>
      </c>
      <c r="Y16" s="37">
        <f t="shared" si="10"/>
        <v>6.7375000000000007</v>
      </c>
      <c r="Z16" s="26">
        <v>1</v>
      </c>
      <c r="AA16" s="26" t="s">
        <v>37</v>
      </c>
      <c r="AB16" s="38">
        <f t="shared" si="11"/>
        <v>-0.69</v>
      </c>
      <c r="AC16" s="39">
        <v>0.41521990740740738</v>
      </c>
      <c r="AD16" s="37">
        <f t="shared" si="12"/>
        <v>-9.7410590277777764</v>
      </c>
      <c r="AE16" s="37">
        <v>-6.56</v>
      </c>
      <c r="AF16" s="37">
        <v>-7.6139715909090899</v>
      </c>
      <c r="AG16" s="37">
        <v>0</v>
      </c>
    </row>
    <row r="17" spans="1:33" ht="15.75" customHeight="1" x14ac:dyDescent="0.2">
      <c r="A17" s="26" t="s">
        <v>61</v>
      </c>
      <c r="B17" s="26" t="s">
        <v>1519</v>
      </c>
      <c r="C17" s="14">
        <f t="shared" si="4"/>
        <v>16.010000000000002</v>
      </c>
      <c r="D17" s="27">
        <v>15</v>
      </c>
      <c r="E17" s="27">
        <v>0</v>
      </c>
      <c r="F17" s="30">
        <v>240.15000000000003</v>
      </c>
      <c r="G17" s="28">
        <v>-38.06</v>
      </c>
      <c r="H17" s="29">
        <f t="shared" si="1"/>
        <v>0.15848428065792211</v>
      </c>
      <c r="I17" s="29">
        <f t="shared" si="2"/>
        <v>-0.22959452819891585</v>
      </c>
      <c r="J17" s="30">
        <f t="shared" si="5"/>
        <v>-55.137125946969647</v>
      </c>
      <c r="K17" s="30">
        <f t="shared" si="3"/>
        <v>-3.6758083964646433</v>
      </c>
      <c r="L17" s="27">
        <v>74</v>
      </c>
      <c r="M17" s="31">
        <f t="shared" si="6"/>
        <v>0.20270270270270271</v>
      </c>
      <c r="N17" s="27">
        <v>51</v>
      </c>
      <c r="O17" s="32">
        <f t="shared" ref="O17:P17" si="25">D17/7</f>
        <v>2.1428571428571428</v>
      </c>
      <c r="P17" s="32">
        <f t="shared" si="25"/>
        <v>0</v>
      </c>
      <c r="Q17" s="27">
        <f t="shared" si="8"/>
        <v>23</v>
      </c>
      <c r="R17" s="27"/>
      <c r="S17" s="33">
        <v>1.15151515151515</v>
      </c>
      <c r="T17" s="26">
        <v>0</v>
      </c>
      <c r="U17" s="34" t="s">
        <v>34</v>
      </c>
      <c r="V17" s="35" t="s">
        <v>34</v>
      </c>
      <c r="W17" s="26">
        <v>8</v>
      </c>
      <c r="X17" s="36">
        <f t="shared" si="9"/>
        <v>0.53333333333333333</v>
      </c>
      <c r="Y17" s="37">
        <f t="shared" si="10"/>
        <v>4.7575000000000003</v>
      </c>
      <c r="Z17" s="26">
        <v>0</v>
      </c>
      <c r="AA17" s="26" t="s">
        <v>37</v>
      </c>
      <c r="AB17" s="38">
        <f t="shared" si="11"/>
        <v>-0.69</v>
      </c>
      <c r="AC17" s="39">
        <v>0.41521990740740738</v>
      </c>
      <c r="AD17" s="37">
        <f t="shared" si="12"/>
        <v>-8.5950520833333321</v>
      </c>
      <c r="AE17" s="37">
        <v>-6.56</v>
      </c>
      <c r="AF17" s="37">
        <v>-7.6139715909090899</v>
      </c>
      <c r="AG17" s="37">
        <v>0</v>
      </c>
    </row>
    <row r="18" spans="1:33" ht="15.75" customHeight="1" x14ac:dyDescent="0.2">
      <c r="A18" s="26" t="s">
        <v>62</v>
      </c>
      <c r="B18" s="26" t="s">
        <v>727</v>
      </c>
      <c r="C18" s="14">
        <f t="shared" si="4"/>
        <v>16.545555555555559</v>
      </c>
      <c r="D18" s="27">
        <v>18</v>
      </c>
      <c r="E18" s="27">
        <v>0</v>
      </c>
      <c r="F18" s="30">
        <v>297.82000000000005</v>
      </c>
      <c r="G18" s="28">
        <v>-25.1</v>
      </c>
      <c r="H18" s="29">
        <f t="shared" si="1"/>
        <v>8.4279094755221259E-2</v>
      </c>
      <c r="I18" s="29">
        <f t="shared" si="2"/>
        <v>-0.12557434402109849</v>
      </c>
      <c r="J18" s="30">
        <f t="shared" si="5"/>
        <v>-37.398551136363558</v>
      </c>
      <c r="K18" s="30">
        <f t="shared" si="3"/>
        <v>-2.0776972853535312</v>
      </c>
      <c r="L18" s="27">
        <v>52</v>
      </c>
      <c r="M18" s="31">
        <f t="shared" si="6"/>
        <v>0.34615384615384615</v>
      </c>
      <c r="N18" s="27">
        <v>33</v>
      </c>
      <c r="O18" s="32">
        <f t="shared" ref="O18:P18" si="26">D18/7</f>
        <v>2.5714285714285716</v>
      </c>
      <c r="P18" s="32">
        <f t="shared" si="26"/>
        <v>0</v>
      </c>
      <c r="Q18" s="27">
        <f t="shared" si="8"/>
        <v>12</v>
      </c>
      <c r="R18" s="27"/>
      <c r="S18" s="33">
        <v>1.2891344383057</v>
      </c>
      <c r="T18" s="26">
        <v>0</v>
      </c>
      <c r="U18" s="34" t="s">
        <v>34</v>
      </c>
      <c r="V18" s="35" t="s">
        <v>34</v>
      </c>
      <c r="W18" s="26">
        <v>8</v>
      </c>
      <c r="X18" s="36">
        <f t="shared" si="9"/>
        <v>0.44444444444444442</v>
      </c>
      <c r="Y18" s="37">
        <f t="shared" si="10"/>
        <v>2.7888888888888892</v>
      </c>
      <c r="Z18" s="26">
        <v>1</v>
      </c>
      <c r="AA18" s="26" t="s">
        <v>37</v>
      </c>
      <c r="AB18" s="38">
        <f t="shared" si="11"/>
        <v>-0.69</v>
      </c>
      <c r="AC18" s="39">
        <v>0.41521990740740738</v>
      </c>
      <c r="AD18" s="37">
        <f t="shared" si="12"/>
        <v>-10.314062499999999</v>
      </c>
      <c r="AE18" s="37">
        <v>-6.56</v>
      </c>
      <c r="AF18" s="37">
        <v>-7.6139715909090899</v>
      </c>
      <c r="AG18" s="37">
        <v>0</v>
      </c>
    </row>
    <row r="19" spans="1:33" ht="15.75" customHeight="1" x14ac:dyDescent="0.2">
      <c r="A19" s="26" t="s">
        <v>64</v>
      </c>
      <c r="B19" s="26" t="s">
        <v>1520</v>
      </c>
      <c r="C19" s="14">
        <f t="shared" si="4"/>
        <v>18.989999999999998</v>
      </c>
      <c r="D19" s="27">
        <v>5</v>
      </c>
      <c r="E19" s="27">
        <v>0</v>
      </c>
      <c r="F19" s="30">
        <v>94.949999999999989</v>
      </c>
      <c r="G19" s="28">
        <v>-29.730000000000004</v>
      </c>
      <c r="H19" s="29">
        <f t="shared" si="1"/>
        <v>0.31311216429699851</v>
      </c>
      <c r="I19" s="29">
        <f t="shared" si="2"/>
        <v>-0.23967746514646221</v>
      </c>
      <c r="J19" s="30">
        <f t="shared" si="5"/>
        <v>-22.757375315656585</v>
      </c>
      <c r="K19" s="30">
        <f t="shared" si="3"/>
        <v>-4.551475063131317</v>
      </c>
      <c r="L19" s="27">
        <v>53</v>
      </c>
      <c r="M19" s="31">
        <f t="shared" si="6"/>
        <v>9.4339622641509441E-2</v>
      </c>
      <c r="N19" s="27">
        <v>27</v>
      </c>
      <c r="O19" s="32">
        <f t="shared" ref="O19:P19" si="27">D19/7</f>
        <v>0.7142857142857143</v>
      </c>
      <c r="P19" s="32">
        <f t="shared" si="27"/>
        <v>0</v>
      </c>
      <c r="Q19" s="27">
        <f t="shared" si="8"/>
        <v>37</v>
      </c>
      <c r="R19" s="27"/>
      <c r="S19" s="33">
        <v>1.3073929961089401</v>
      </c>
      <c r="T19" s="26">
        <v>0</v>
      </c>
      <c r="U19" s="34" t="s">
        <v>34</v>
      </c>
      <c r="V19" s="35" t="s">
        <v>34</v>
      </c>
      <c r="W19" s="26">
        <v>2</v>
      </c>
      <c r="X19" s="36">
        <f t="shared" si="9"/>
        <v>0.4</v>
      </c>
      <c r="Y19" s="37">
        <f t="shared" si="10"/>
        <v>9.9100000000000019</v>
      </c>
      <c r="Z19" s="26">
        <v>1</v>
      </c>
      <c r="AA19" s="26" t="s">
        <v>37</v>
      </c>
      <c r="AB19" s="38">
        <f t="shared" si="11"/>
        <v>-0.69</v>
      </c>
      <c r="AC19" s="39">
        <v>0.41521990740740738</v>
      </c>
      <c r="AD19" s="37">
        <f t="shared" si="12"/>
        <v>-2.8650173611111107</v>
      </c>
      <c r="AE19" s="37">
        <v>-6.56</v>
      </c>
      <c r="AF19" s="37">
        <v>-7.6139715909090908</v>
      </c>
      <c r="AG19" s="37">
        <v>0</v>
      </c>
    </row>
    <row r="20" spans="1:33" ht="15.75" customHeight="1" x14ac:dyDescent="0.2">
      <c r="A20" s="26" t="s">
        <v>65</v>
      </c>
      <c r="B20" s="1" t="s">
        <v>53</v>
      </c>
      <c r="C20" s="14">
        <f t="shared" si="4"/>
        <v>18.989999999999998</v>
      </c>
      <c r="D20" s="27">
        <v>5</v>
      </c>
      <c r="E20" s="27">
        <v>0</v>
      </c>
      <c r="F20" s="30">
        <v>94.949999999999989</v>
      </c>
      <c r="G20" s="28">
        <v>-8.9700000000000024</v>
      </c>
      <c r="H20" s="29">
        <f t="shared" si="1"/>
        <v>9.4470774091627213E-2</v>
      </c>
      <c r="I20" s="29">
        <f t="shared" si="2"/>
        <v>-2.1036074941090891E-2</v>
      </c>
      <c r="J20" s="30">
        <f t="shared" si="5"/>
        <v>-1.9973753156565799</v>
      </c>
      <c r="K20" s="30">
        <f t="shared" si="3"/>
        <v>-0.39947506313131598</v>
      </c>
      <c r="L20" s="27">
        <v>30</v>
      </c>
      <c r="M20" s="31">
        <f t="shared" si="6"/>
        <v>0.16666666666666666</v>
      </c>
      <c r="N20" s="27">
        <v>21</v>
      </c>
      <c r="O20" s="32">
        <f t="shared" ref="O20:P20" si="28">D20/7</f>
        <v>0.7142857142857143</v>
      </c>
      <c r="P20" s="32">
        <f t="shared" si="28"/>
        <v>0</v>
      </c>
      <c r="Q20" s="27">
        <f t="shared" si="8"/>
        <v>29</v>
      </c>
      <c r="R20" s="27"/>
      <c r="S20" s="33">
        <v>1.34246575342465</v>
      </c>
      <c r="T20" s="26">
        <v>0</v>
      </c>
      <c r="U20" s="34" t="s">
        <v>34</v>
      </c>
      <c r="V20" s="35" t="s">
        <v>34</v>
      </c>
      <c r="W20" s="26">
        <v>1</v>
      </c>
      <c r="X20" s="36">
        <f t="shared" si="9"/>
        <v>0.2</v>
      </c>
      <c r="Y20" s="37">
        <f t="shared" si="10"/>
        <v>8.9700000000000024</v>
      </c>
      <c r="Z20" s="26">
        <v>0</v>
      </c>
      <c r="AA20" s="26" t="s">
        <v>37</v>
      </c>
      <c r="AB20" s="38">
        <f t="shared" si="11"/>
        <v>-0.69</v>
      </c>
      <c r="AC20" s="39">
        <v>0.41521990740740738</v>
      </c>
      <c r="AD20" s="37">
        <f t="shared" si="12"/>
        <v>-2.8650173611111107</v>
      </c>
      <c r="AE20" s="37">
        <v>-6.56</v>
      </c>
      <c r="AF20" s="37">
        <v>-7.6139715909090908</v>
      </c>
      <c r="AG20" s="37">
        <v>0</v>
      </c>
    </row>
    <row r="21" spans="1:33" ht="15.75" customHeight="1" x14ac:dyDescent="0.2">
      <c r="A21" s="26" t="s">
        <v>66</v>
      </c>
      <c r="B21" s="1" t="s">
        <v>690</v>
      </c>
      <c r="C21" s="14">
        <f t="shared" si="4"/>
        <v>18.990000000000002</v>
      </c>
      <c r="D21" s="27">
        <v>8</v>
      </c>
      <c r="E21" s="27">
        <v>2</v>
      </c>
      <c r="F21" s="30">
        <v>151.92000000000002</v>
      </c>
      <c r="G21" s="28">
        <v>-8.2000000000000011</v>
      </c>
      <c r="H21" s="29">
        <f t="shared" si="1"/>
        <v>5.397577672459189E-2</v>
      </c>
      <c r="I21" s="29">
        <f t="shared" si="2"/>
        <v>1.9458922425944585E-2</v>
      </c>
      <c r="J21" s="30">
        <f t="shared" si="5"/>
        <v>2.9561994949495016</v>
      </c>
      <c r="K21" s="30">
        <f t="shared" si="3"/>
        <v>0.3695249368686877</v>
      </c>
      <c r="L21" s="27">
        <v>19</v>
      </c>
      <c r="M21" s="31">
        <f t="shared" si="6"/>
        <v>0.42105263157894735</v>
      </c>
      <c r="N21" s="27">
        <v>13</v>
      </c>
      <c r="O21" s="32">
        <f t="shared" ref="O21:P21" si="29">D21/7</f>
        <v>1.1428571428571428</v>
      </c>
      <c r="P21" s="32">
        <f t="shared" si="29"/>
        <v>0.2857142857142857</v>
      </c>
      <c r="Q21" s="27">
        <f t="shared" si="8"/>
        <v>9</v>
      </c>
      <c r="R21" s="27"/>
      <c r="S21" s="33">
        <v>1.3961218836564999</v>
      </c>
      <c r="T21" s="26" t="s">
        <v>34</v>
      </c>
      <c r="U21" s="34" t="s">
        <v>34</v>
      </c>
      <c r="V21" s="35" t="s">
        <v>34</v>
      </c>
      <c r="W21" s="26">
        <v>2</v>
      </c>
      <c r="X21" s="36">
        <f t="shared" si="9"/>
        <v>0.25</v>
      </c>
      <c r="Y21" s="37">
        <f t="shared" si="10"/>
        <v>4.1000000000000005</v>
      </c>
      <c r="Z21" s="26">
        <v>0</v>
      </c>
      <c r="AA21" s="26" t="s">
        <v>37</v>
      </c>
      <c r="AB21" s="38">
        <f t="shared" si="11"/>
        <v>-0.69</v>
      </c>
      <c r="AC21" s="39">
        <v>0.41521990740740738</v>
      </c>
      <c r="AD21" s="37">
        <f t="shared" si="12"/>
        <v>-4.5840277777777771</v>
      </c>
      <c r="AE21" s="37">
        <v>-6.56</v>
      </c>
      <c r="AF21" s="37">
        <v>-7.6139715909090908</v>
      </c>
      <c r="AG21" s="37">
        <v>0</v>
      </c>
    </row>
    <row r="22" spans="1:33" ht="15.75" customHeight="1" x14ac:dyDescent="0.2">
      <c r="A22" s="26" t="s">
        <v>67</v>
      </c>
      <c r="B22" s="1" t="s">
        <v>1521</v>
      </c>
      <c r="C22" s="14">
        <f t="shared" si="4"/>
        <v>19.656666666666666</v>
      </c>
      <c r="D22" s="27">
        <v>3</v>
      </c>
      <c r="E22" s="27">
        <v>1</v>
      </c>
      <c r="F22" s="28">
        <v>58.97</v>
      </c>
      <c r="G22" s="28">
        <v>-5.98</v>
      </c>
      <c r="H22" s="29">
        <f t="shared" si="1"/>
        <v>0.10140749533661185</v>
      </c>
      <c r="I22" s="29">
        <f t="shared" si="2"/>
        <v>-1.6351566795649326E-3</v>
      </c>
      <c r="J22" s="30">
        <f t="shared" si="5"/>
        <v>-9.6425189393944066E-2</v>
      </c>
      <c r="K22" s="30">
        <f t="shared" si="3"/>
        <v>-3.2141729797981355E-2</v>
      </c>
      <c r="L22" s="27">
        <v>28</v>
      </c>
      <c r="M22" s="31">
        <f t="shared" si="6"/>
        <v>0.10714285714285714</v>
      </c>
      <c r="N22" s="27">
        <v>8</v>
      </c>
      <c r="O22" s="32">
        <f t="shared" ref="O22:P22" si="30">D22/7</f>
        <v>0.42857142857142855</v>
      </c>
      <c r="P22" s="32">
        <f t="shared" si="30"/>
        <v>0.14285714285714285</v>
      </c>
      <c r="Q22" s="27">
        <f t="shared" si="8"/>
        <v>14</v>
      </c>
      <c r="R22" s="27"/>
      <c r="S22" s="33">
        <v>1.5394321766561501</v>
      </c>
      <c r="T22" s="26" t="s">
        <v>34</v>
      </c>
      <c r="U22" s="34" t="s">
        <v>34</v>
      </c>
      <c r="V22" s="35" t="s">
        <v>34</v>
      </c>
      <c r="W22" s="26">
        <v>1</v>
      </c>
      <c r="X22" s="36">
        <f t="shared" si="9"/>
        <v>0.33333333333333331</v>
      </c>
      <c r="Y22" s="37">
        <f t="shared" si="10"/>
        <v>5.98</v>
      </c>
      <c r="Z22" s="26">
        <v>0</v>
      </c>
      <c r="AA22" s="26" t="s">
        <v>37</v>
      </c>
      <c r="AB22" s="38">
        <f t="shared" si="11"/>
        <v>-0.69</v>
      </c>
      <c r="AC22" s="39">
        <v>0.41521990740740738</v>
      </c>
      <c r="AD22" s="37">
        <f t="shared" si="12"/>
        <v>-1.7190104166666664</v>
      </c>
      <c r="AE22" s="37">
        <v>-6.56</v>
      </c>
      <c r="AF22" s="37">
        <v>-7.6139715909090908</v>
      </c>
      <c r="AG22" s="37">
        <v>0</v>
      </c>
    </row>
    <row r="23" spans="1:33" ht="15.75" customHeight="1" x14ac:dyDescent="0.2">
      <c r="A23" s="26" t="s">
        <v>68</v>
      </c>
      <c r="B23" s="26" t="s">
        <v>76</v>
      </c>
      <c r="C23" s="14">
        <f t="shared" si="4"/>
        <v>18.965</v>
      </c>
      <c r="D23" s="27">
        <v>6</v>
      </c>
      <c r="E23" s="27">
        <v>0</v>
      </c>
      <c r="F23" s="30">
        <v>113.79</v>
      </c>
      <c r="G23" s="28">
        <v>-2.3400000000000003</v>
      </c>
      <c r="H23" s="29">
        <f t="shared" si="1"/>
        <v>2.0564197205378332E-2</v>
      </c>
      <c r="I23" s="29">
        <f t="shared" si="2"/>
        <v>5.1846819766342624E-2</v>
      </c>
      <c r="J23" s="30">
        <f t="shared" si="5"/>
        <v>5.8996496212121272</v>
      </c>
      <c r="K23" s="30">
        <f t="shared" si="3"/>
        <v>0.98327493686868783</v>
      </c>
      <c r="L23" s="27">
        <v>23</v>
      </c>
      <c r="M23" s="31">
        <f t="shared" si="6"/>
        <v>0.2608695652173913</v>
      </c>
      <c r="N23" s="27">
        <v>4</v>
      </c>
      <c r="O23" s="32">
        <f t="shared" ref="O23:P23" si="31">D23/7</f>
        <v>0.8571428571428571</v>
      </c>
      <c r="P23" s="32">
        <f t="shared" si="31"/>
        <v>0</v>
      </c>
      <c r="Q23" s="27">
        <f t="shared" si="8"/>
        <v>4</v>
      </c>
      <c r="R23" s="27"/>
      <c r="S23" s="33">
        <v>1.6326530612244801</v>
      </c>
      <c r="T23" s="26">
        <v>0</v>
      </c>
      <c r="U23" s="34" t="s">
        <v>34</v>
      </c>
      <c r="V23" s="35" t="s">
        <v>34</v>
      </c>
      <c r="W23" s="26">
        <v>0</v>
      </c>
      <c r="X23" s="36">
        <f t="shared" si="9"/>
        <v>0</v>
      </c>
      <c r="Y23" s="37">
        <f t="shared" si="10"/>
        <v>0</v>
      </c>
      <c r="Z23" s="26">
        <v>0</v>
      </c>
      <c r="AA23" s="26" t="s">
        <v>37</v>
      </c>
      <c r="AB23" s="38">
        <f t="shared" si="11"/>
        <v>-0.69</v>
      </c>
      <c r="AC23" s="39">
        <v>0.41521990740740738</v>
      </c>
      <c r="AD23" s="37">
        <f t="shared" si="12"/>
        <v>-3.4380208333333329</v>
      </c>
      <c r="AE23" s="37">
        <v>-6.56</v>
      </c>
      <c r="AF23" s="37">
        <v>-7.6139715909090908</v>
      </c>
      <c r="AG23" s="37">
        <v>0</v>
      </c>
    </row>
    <row r="24" spans="1:33" ht="15.75" customHeight="1" x14ac:dyDescent="0.2">
      <c r="A24" s="26" t="s">
        <v>71</v>
      </c>
      <c r="B24" s="26"/>
      <c r="C24" s="14" t="str">
        <f t="shared" si="4"/>
        <v xml:space="preserve"> - </v>
      </c>
      <c r="D24" s="27">
        <v>0</v>
      </c>
      <c r="E24" s="27">
        <v>0</v>
      </c>
      <c r="F24" s="30">
        <v>0</v>
      </c>
      <c r="G24" s="30">
        <v>0</v>
      </c>
      <c r="H24" s="29" t="e">
        <f t="shared" si="1"/>
        <v>#DIV/0!</v>
      </c>
      <c r="I24" s="29" t="e">
        <f t="shared" si="2"/>
        <v>#DIV/0!</v>
      </c>
      <c r="J24" s="30">
        <f t="shared" si="5"/>
        <v>0</v>
      </c>
      <c r="K24" s="30" t="e">
        <f t="shared" si="3"/>
        <v>#DIV/0!</v>
      </c>
      <c r="L24" s="27">
        <v>0</v>
      </c>
      <c r="M24" s="31" t="str">
        <f t="shared" si="6"/>
        <v>-</v>
      </c>
      <c r="N24" s="27">
        <v>0</v>
      </c>
      <c r="O24" s="32">
        <f t="shared" ref="O24:P24" si="32">D24/7</f>
        <v>0</v>
      </c>
      <c r="P24" s="32">
        <f t="shared" si="32"/>
        <v>0</v>
      </c>
      <c r="Q24" s="27" t="e">
        <f t="shared" si="8"/>
        <v>#DIV/0!</v>
      </c>
      <c r="R24" s="27"/>
      <c r="S24" s="33" t="e">
        <v>#N/A</v>
      </c>
      <c r="T24" s="26">
        <v>0</v>
      </c>
      <c r="U24" s="34" t="s">
        <v>34</v>
      </c>
      <c r="V24" s="35" t="s">
        <v>34</v>
      </c>
      <c r="W24" s="26">
        <v>0</v>
      </c>
      <c r="X24" s="36">
        <f t="shared" si="9"/>
        <v>0</v>
      </c>
      <c r="Y24" s="37">
        <f t="shared" si="10"/>
        <v>0</v>
      </c>
      <c r="Z24" s="26">
        <v>0</v>
      </c>
      <c r="AA24" s="26" t="s">
        <v>37</v>
      </c>
      <c r="AB24" s="38">
        <f t="shared" si="11"/>
        <v>-0.69</v>
      </c>
      <c r="AC24" s="39">
        <v>0.41521990740740738</v>
      </c>
      <c r="AD24" s="37">
        <f t="shared" si="12"/>
        <v>0</v>
      </c>
      <c r="AE24" s="37">
        <v>-6.56</v>
      </c>
      <c r="AF24" s="37">
        <v>-7.6139715909090908</v>
      </c>
      <c r="AG24" s="37">
        <v>0</v>
      </c>
    </row>
    <row r="25" spans="1:33" ht="15.75" customHeight="1" x14ac:dyDescent="0.2">
      <c r="A25" s="40" t="s">
        <v>73</v>
      </c>
      <c r="B25" s="40"/>
      <c r="C25" s="14" t="str">
        <f t="shared" si="4"/>
        <v xml:space="preserve"> - </v>
      </c>
      <c r="D25" s="15">
        <v>0</v>
      </c>
      <c r="E25" s="15">
        <v>0</v>
      </c>
      <c r="F25" s="16">
        <v>0</v>
      </c>
      <c r="G25" s="16">
        <v>0</v>
      </c>
      <c r="H25" s="29" t="e">
        <f t="shared" si="1"/>
        <v>#DIV/0!</v>
      </c>
      <c r="I25" s="29" t="e">
        <f t="shared" si="2"/>
        <v>#DIV/0!</v>
      </c>
      <c r="J25" s="30">
        <f t="shared" si="5"/>
        <v>0</v>
      </c>
      <c r="K25" s="30" t="e">
        <f t="shared" si="3"/>
        <v>#DIV/0!</v>
      </c>
      <c r="L25" s="15">
        <v>0</v>
      </c>
      <c r="M25" s="31" t="str">
        <f t="shared" si="6"/>
        <v>-</v>
      </c>
      <c r="N25" s="15">
        <v>0</v>
      </c>
      <c r="O25" s="32">
        <f t="shared" ref="O25:P25" si="33">D25/7</f>
        <v>0</v>
      </c>
      <c r="P25" s="32">
        <f t="shared" si="33"/>
        <v>0</v>
      </c>
      <c r="Q25" s="27" t="e">
        <f t="shared" si="8"/>
        <v>#DIV/0!</v>
      </c>
      <c r="R25" s="27"/>
      <c r="S25" s="41">
        <v>0</v>
      </c>
      <c r="T25" s="26">
        <v>0</v>
      </c>
      <c r="U25" s="34" t="s">
        <v>34</v>
      </c>
      <c r="V25" s="35" t="s">
        <v>34</v>
      </c>
      <c r="W25" s="40">
        <v>0</v>
      </c>
      <c r="X25" s="36">
        <f t="shared" si="9"/>
        <v>0</v>
      </c>
      <c r="Y25" s="37">
        <f t="shared" si="10"/>
        <v>0</v>
      </c>
      <c r="Z25" s="40">
        <v>0</v>
      </c>
      <c r="AA25" s="26" t="s">
        <v>37</v>
      </c>
      <c r="AB25" s="38">
        <f t="shared" si="11"/>
        <v>-0.69</v>
      </c>
      <c r="AC25" s="39">
        <v>0.41521990740740738</v>
      </c>
      <c r="AD25" s="37">
        <f t="shared" si="12"/>
        <v>0</v>
      </c>
      <c r="AE25" s="42">
        <v>-6.56</v>
      </c>
      <c r="AF25" s="42">
        <v>-7.61</v>
      </c>
      <c r="AG25" s="42">
        <v>0</v>
      </c>
    </row>
    <row r="26" spans="1:33" ht="15.75" customHeight="1" x14ac:dyDescent="0.2">
      <c r="A26" s="40" t="s">
        <v>75</v>
      </c>
      <c r="B26" s="40"/>
      <c r="C26" s="14" t="str">
        <f t="shared" si="4"/>
        <v xml:space="preserve"> - </v>
      </c>
      <c r="D26" s="15">
        <v>0</v>
      </c>
      <c r="E26" s="15">
        <v>0</v>
      </c>
      <c r="F26" s="16">
        <v>0</v>
      </c>
      <c r="G26" s="16">
        <v>0</v>
      </c>
      <c r="H26" s="29" t="e">
        <f t="shared" si="1"/>
        <v>#DIV/0!</v>
      </c>
      <c r="I26" s="29" t="e">
        <f t="shared" si="2"/>
        <v>#DIV/0!</v>
      </c>
      <c r="J26" s="30">
        <f t="shared" si="5"/>
        <v>0</v>
      </c>
      <c r="K26" s="30" t="e">
        <f t="shared" si="3"/>
        <v>#DIV/0!</v>
      </c>
      <c r="L26" s="15">
        <v>0</v>
      </c>
      <c r="M26" s="31" t="str">
        <f t="shared" si="6"/>
        <v>-</v>
      </c>
      <c r="N26" s="15">
        <v>0</v>
      </c>
      <c r="O26" s="32">
        <f t="shared" ref="O26:P26" si="34">D26/7</f>
        <v>0</v>
      </c>
      <c r="P26" s="32">
        <f t="shared" si="34"/>
        <v>0</v>
      </c>
      <c r="Q26" s="27" t="e">
        <f t="shared" si="8"/>
        <v>#DIV/0!</v>
      </c>
      <c r="R26" s="27"/>
      <c r="S26" s="41">
        <v>0</v>
      </c>
      <c r="T26" s="26">
        <v>0</v>
      </c>
      <c r="U26" s="34" t="s">
        <v>34</v>
      </c>
      <c r="V26" s="35" t="s">
        <v>34</v>
      </c>
      <c r="W26" s="40">
        <v>0</v>
      </c>
      <c r="X26" s="36">
        <f t="shared" si="9"/>
        <v>0</v>
      </c>
      <c r="Y26" s="37">
        <f t="shared" si="10"/>
        <v>0</v>
      </c>
      <c r="Z26" s="40">
        <v>0</v>
      </c>
      <c r="AA26" s="26" t="s">
        <v>37</v>
      </c>
      <c r="AB26" s="38">
        <f t="shared" si="11"/>
        <v>-0.69</v>
      </c>
      <c r="AC26" s="40">
        <v>0.41521990740740738</v>
      </c>
      <c r="AD26" s="37">
        <f t="shared" si="12"/>
        <v>0</v>
      </c>
      <c r="AE26" s="42">
        <v>-6.56</v>
      </c>
      <c r="AF26" s="42">
        <v>-7.6139715909090899</v>
      </c>
      <c r="AG26" s="42">
        <v>0</v>
      </c>
    </row>
    <row r="27" spans="1:33" ht="15.75" customHeight="1" x14ac:dyDescent="0.2">
      <c r="A27" s="40" t="s">
        <v>77</v>
      </c>
      <c r="B27" s="40"/>
      <c r="C27" s="14" t="str">
        <f t="shared" si="4"/>
        <v xml:space="preserve"> - </v>
      </c>
      <c r="D27" s="15">
        <v>0</v>
      </c>
      <c r="E27" s="15">
        <v>0</v>
      </c>
      <c r="F27" s="16">
        <v>0</v>
      </c>
      <c r="G27" s="16">
        <v>0</v>
      </c>
      <c r="H27" s="29" t="e">
        <f t="shared" si="1"/>
        <v>#DIV/0!</v>
      </c>
      <c r="I27" s="29" t="e">
        <f t="shared" si="2"/>
        <v>#DIV/0!</v>
      </c>
      <c r="J27" s="30">
        <f t="shared" si="5"/>
        <v>0</v>
      </c>
      <c r="K27" s="30" t="e">
        <f t="shared" si="3"/>
        <v>#DIV/0!</v>
      </c>
      <c r="L27" s="15">
        <v>0</v>
      </c>
      <c r="M27" s="31" t="str">
        <f t="shared" si="6"/>
        <v>-</v>
      </c>
      <c r="N27" s="15">
        <v>0</v>
      </c>
      <c r="O27" s="32">
        <f t="shared" ref="O27:P27" si="35">D27/7</f>
        <v>0</v>
      </c>
      <c r="P27" s="32">
        <f t="shared" si="35"/>
        <v>0</v>
      </c>
      <c r="Q27" s="27" t="e">
        <f t="shared" si="8"/>
        <v>#DIV/0!</v>
      </c>
      <c r="R27" s="27"/>
      <c r="S27" s="41">
        <v>0</v>
      </c>
      <c r="T27" s="26">
        <v>0</v>
      </c>
      <c r="U27" s="34" t="s">
        <v>34</v>
      </c>
      <c r="V27" s="35" t="s">
        <v>34</v>
      </c>
      <c r="W27" s="40">
        <v>0</v>
      </c>
      <c r="X27" s="36">
        <f t="shared" si="9"/>
        <v>0</v>
      </c>
      <c r="Y27" s="37">
        <f t="shared" si="10"/>
        <v>0</v>
      </c>
      <c r="Z27" s="40">
        <v>0</v>
      </c>
      <c r="AA27" s="26" t="s">
        <v>37</v>
      </c>
      <c r="AB27" s="38">
        <f t="shared" si="11"/>
        <v>-0.69</v>
      </c>
      <c r="AC27" s="39">
        <v>0.41521990740740738</v>
      </c>
      <c r="AD27" s="37">
        <f t="shared" si="12"/>
        <v>0</v>
      </c>
      <c r="AE27" s="42">
        <v>-6.56</v>
      </c>
      <c r="AF27" s="42">
        <v>-7.6139715909090899</v>
      </c>
      <c r="AG27" s="42">
        <v>0</v>
      </c>
    </row>
    <row r="28" spans="1:33" ht="15.75" customHeight="1" x14ac:dyDescent="0.2">
      <c r="A28" s="40" t="s">
        <v>79</v>
      </c>
      <c r="B28" s="40"/>
      <c r="C28" s="14" t="str">
        <f t="shared" si="4"/>
        <v xml:space="preserve"> - </v>
      </c>
      <c r="D28" s="15">
        <v>0</v>
      </c>
      <c r="E28" s="15">
        <v>0</v>
      </c>
      <c r="F28" s="16">
        <v>0</v>
      </c>
      <c r="G28" s="16">
        <v>0</v>
      </c>
      <c r="H28" s="29" t="e">
        <f t="shared" si="1"/>
        <v>#DIV/0!</v>
      </c>
      <c r="I28" s="29" t="e">
        <f t="shared" si="2"/>
        <v>#DIV/0!</v>
      </c>
      <c r="J28" s="30">
        <f t="shared" si="5"/>
        <v>0</v>
      </c>
      <c r="K28" s="30" t="e">
        <f t="shared" si="3"/>
        <v>#DIV/0!</v>
      </c>
      <c r="L28" s="15">
        <v>0</v>
      </c>
      <c r="M28" s="31" t="str">
        <f t="shared" si="6"/>
        <v>-</v>
      </c>
      <c r="N28" s="15">
        <v>0</v>
      </c>
      <c r="O28" s="32">
        <f t="shared" ref="O28:P28" si="36">D28/7</f>
        <v>0</v>
      </c>
      <c r="P28" s="32">
        <f t="shared" si="36"/>
        <v>0</v>
      </c>
      <c r="Q28" s="27" t="e">
        <f t="shared" si="8"/>
        <v>#DIV/0!</v>
      </c>
      <c r="R28" s="27"/>
      <c r="S28" s="41">
        <v>0</v>
      </c>
      <c r="T28" s="40" t="s">
        <v>34</v>
      </c>
      <c r="U28" s="22" t="s">
        <v>34</v>
      </c>
      <c r="V28" s="1" t="s">
        <v>571</v>
      </c>
      <c r="W28" s="40">
        <v>0</v>
      </c>
      <c r="X28" s="36">
        <f t="shared" si="9"/>
        <v>0</v>
      </c>
      <c r="Y28" s="37">
        <f t="shared" si="10"/>
        <v>0</v>
      </c>
      <c r="Z28" s="40">
        <v>0</v>
      </c>
      <c r="AA28" s="26" t="s">
        <v>37</v>
      </c>
      <c r="AB28" s="38">
        <f t="shared" si="11"/>
        <v>-0.69</v>
      </c>
      <c r="AC28" s="39">
        <v>0.41521990740740738</v>
      </c>
      <c r="AD28" s="37">
        <f t="shared" si="12"/>
        <v>0</v>
      </c>
      <c r="AE28" s="42">
        <v>-6.56</v>
      </c>
      <c r="AF28" s="42">
        <v>-7.6139715909090899</v>
      </c>
      <c r="AG28" s="42">
        <v>0</v>
      </c>
    </row>
    <row r="29" spans="1:33" ht="15.75" customHeight="1" x14ac:dyDescent="0.2">
      <c r="A29" s="26" t="s">
        <v>82</v>
      </c>
      <c r="B29" s="26"/>
      <c r="C29" s="14" t="str">
        <f t="shared" si="4"/>
        <v xml:space="preserve"> - </v>
      </c>
      <c r="D29" s="27">
        <v>0</v>
      </c>
      <c r="E29" s="27">
        <v>0</v>
      </c>
      <c r="F29" s="30">
        <v>0</v>
      </c>
      <c r="G29" s="30">
        <v>0</v>
      </c>
      <c r="H29" s="29" t="e">
        <f t="shared" si="1"/>
        <v>#DIV/0!</v>
      </c>
      <c r="I29" s="29" t="e">
        <f t="shared" si="2"/>
        <v>#DIV/0!</v>
      </c>
      <c r="J29" s="30">
        <f t="shared" si="5"/>
        <v>0</v>
      </c>
      <c r="K29" s="30" t="e">
        <f t="shared" si="3"/>
        <v>#DIV/0!</v>
      </c>
      <c r="L29" s="27">
        <v>0</v>
      </c>
      <c r="M29" s="31" t="str">
        <f t="shared" si="6"/>
        <v>-</v>
      </c>
      <c r="N29" s="15">
        <v>0</v>
      </c>
      <c r="O29" s="32">
        <f t="shared" ref="O29:P29" si="37">D29/7</f>
        <v>0</v>
      </c>
      <c r="P29" s="32">
        <f t="shared" si="37"/>
        <v>0</v>
      </c>
      <c r="Q29" s="27" t="e">
        <f t="shared" si="8"/>
        <v>#DIV/0!</v>
      </c>
      <c r="R29" s="27"/>
      <c r="S29" s="41">
        <v>0</v>
      </c>
      <c r="T29" s="40" t="s">
        <v>34</v>
      </c>
      <c r="U29" s="22" t="s">
        <v>34</v>
      </c>
      <c r="V29" s="1" t="s">
        <v>34</v>
      </c>
      <c r="W29" s="40">
        <v>0</v>
      </c>
      <c r="X29" s="36">
        <f t="shared" si="9"/>
        <v>0</v>
      </c>
      <c r="Y29" s="37">
        <f t="shared" si="10"/>
        <v>0</v>
      </c>
      <c r="Z29" s="40">
        <v>0</v>
      </c>
      <c r="AA29" s="26" t="s">
        <v>37</v>
      </c>
      <c r="AB29" s="38">
        <f t="shared" si="11"/>
        <v>-0.69</v>
      </c>
      <c r="AC29" s="39">
        <v>0.41521990740740738</v>
      </c>
      <c r="AD29" s="37">
        <f t="shared" si="12"/>
        <v>0</v>
      </c>
      <c r="AE29" s="37">
        <v>-6.56</v>
      </c>
      <c r="AF29" s="42">
        <v>-7.6139715909090899</v>
      </c>
      <c r="AG29" s="37">
        <v>0</v>
      </c>
    </row>
    <row r="30" spans="1:33" ht="15.75" customHeight="1" x14ac:dyDescent="0.2">
      <c r="A30" s="40" t="s">
        <v>84</v>
      </c>
      <c r="B30" s="40"/>
      <c r="C30" s="14" t="str">
        <f t="shared" si="4"/>
        <v xml:space="preserve"> - </v>
      </c>
      <c r="D30" s="15">
        <v>0</v>
      </c>
      <c r="E30" s="15">
        <v>0</v>
      </c>
      <c r="F30" s="16">
        <v>0</v>
      </c>
      <c r="G30" s="16">
        <v>0</v>
      </c>
      <c r="H30" s="29" t="e">
        <f t="shared" si="1"/>
        <v>#DIV/0!</v>
      </c>
      <c r="I30" s="29" t="e">
        <f t="shared" si="2"/>
        <v>#DIV/0!</v>
      </c>
      <c r="J30" s="30">
        <f t="shared" si="5"/>
        <v>0</v>
      </c>
      <c r="K30" s="30" t="e">
        <f t="shared" si="3"/>
        <v>#DIV/0!</v>
      </c>
      <c r="L30" s="15">
        <v>0</v>
      </c>
      <c r="M30" s="31" t="str">
        <f t="shared" si="6"/>
        <v>-</v>
      </c>
      <c r="N30" s="15">
        <v>0</v>
      </c>
      <c r="O30" s="32">
        <f t="shared" ref="O30:P30" si="38">D30/7</f>
        <v>0</v>
      </c>
      <c r="P30" s="32">
        <f t="shared" si="38"/>
        <v>0</v>
      </c>
      <c r="Q30" s="27" t="e">
        <f t="shared" si="8"/>
        <v>#DIV/0!</v>
      </c>
      <c r="R30" s="27"/>
      <c r="S30" s="41">
        <v>0</v>
      </c>
      <c r="T30" s="26">
        <v>0</v>
      </c>
      <c r="U30" s="34" t="s">
        <v>34</v>
      </c>
      <c r="V30" s="35" t="s">
        <v>34</v>
      </c>
      <c r="W30" s="40">
        <v>0</v>
      </c>
      <c r="X30" s="36">
        <f t="shared" si="9"/>
        <v>0</v>
      </c>
      <c r="Y30" s="37">
        <f t="shared" si="10"/>
        <v>0</v>
      </c>
      <c r="Z30" s="40">
        <v>0</v>
      </c>
      <c r="AA30" s="26" t="s">
        <v>37</v>
      </c>
      <c r="AB30" s="38">
        <f t="shared" si="11"/>
        <v>-0.69</v>
      </c>
      <c r="AC30" s="39">
        <v>0.41521990740740738</v>
      </c>
      <c r="AD30" s="37">
        <f t="shared" si="12"/>
        <v>0</v>
      </c>
      <c r="AE30" s="42">
        <v>-6.56</v>
      </c>
      <c r="AF30" s="42">
        <v>-7.3856103289062496</v>
      </c>
      <c r="AG30" s="42">
        <v>0</v>
      </c>
    </row>
    <row r="31" spans="1:33" ht="15.75" customHeight="1" x14ac:dyDescent="0.2">
      <c r="A31" s="40" t="s">
        <v>87</v>
      </c>
      <c r="B31" s="40"/>
      <c r="C31" s="14" t="str">
        <f t="shared" si="4"/>
        <v xml:space="preserve"> - </v>
      </c>
      <c r="D31" s="15">
        <v>0</v>
      </c>
      <c r="E31" s="15">
        <v>0</v>
      </c>
      <c r="F31" s="16">
        <v>0</v>
      </c>
      <c r="G31" s="43">
        <v>0</v>
      </c>
      <c r="H31" s="29" t="e">
        <f t="shared" si="1"/>
        <v>#DIV/0!</v>
      </c>
      <c r="I31" s="29" t="e">
        <f t="shared" si="2"/>
        <v>#DIV/0!</v>
      </c>
      <c r="J31" s="30">
        <f t="shared" si="5"/>
        <v>0</v>
      </c>
      <c r="K31" s="30" t="e">
        <f t="shared" si="3"/>
        <v>#DIV/0!</v>
      </c>
      <c r="L31" s="15">
        <v>0</v>
      </c>
      <c r="M31" s="31" t="str">
        <f t="shared" si="6"/>
        <v>-</v>
      </c>
      <c r="N31" s="15">
        <v>0</v>
      </c>
      <c r="O31" s="32">
        <f t="shared" ref="O31:P31" si="39">D31/7</f>
        <v>0</v>
      </c>
      <c r="P31" s="32">
        <f t="shared" si="39"/>
        <v>0</v>
      </c>
      <c r="Q31" s="27" t="e">
        <f t="shared" si="8"/>
        <v>#DIV/0!</v>
      </c>
      <c r="R31" s="27"/>
      <c r="S31" s="41" t="e">
        <v>#N/A</v>
      </c>
      <c r="T31" s="40" t="s">
        <v>34</v>
      </c>
      <c r="U31" s="22" t="s">
        <v>34</v>
      </c>
      <c r="V31" s="1" t="s">
        <v>571</v>
      </c>
      <c r="W31" s="40">
        <v>0</v>
      </c>
      <c r="X31" s="36">
        <f t="shared" si="9"/>
        <v>0</v>
      </c>
      <c r="Y31" s="37">
        <f t="shared" si="10"/>
        <v>0</v>
      </c>
      <c r="Z31" s="40">
        <v>0</v>
      </c>
      <c r="AA31" s="40" t="s">
        <v>37</v>
      </c>
      <c r="AB31" s="38">
        <f t="shared" si="11"/>
        <v>-0.69</v>
      </c>
      <c r="AC31" s="44">
        <v>0.41521990740740738</v>
      </c>
      <c r="AD31" s="37">
        <f t="shared" si="12"/>
        <v>0</v>
      </c>
      <c r="AE31" s="45">
        <v>-6.56</v>
      </c>
      <c r="AF31" s="45">
        <v>-7.3856103289062496</v>
      </c>
      <c r="AG31" s="42">
        <v>0</v>
      </c>
    </row>
    <row r="32" spans="1:33" ht="15.75" customHeight="1" x14ac:dyDescent="0.2">
      <c r="A32" s="40" t="s">
        <v>90</v>
      </c>
      <c r="B32" s="40"/>
      <c r="C32" s="14" t="str">
        <f t="shared" si="4"/>
        <v xml:space="preserve"> - </v>
      </c>
      <c r="D32" s="15">
        <v>0</v>
      </c>
      <c r="E32" s="15">
        <v>0</v>
      </c>
      <c r="F32" s="16">
        <v>0</v>
      </c>
      <c r="G32" s="16">
        <v>0</v>
      </c>
      <c r="H32" s="29" t="e">
        <f t="shared" si="1"/>
        <v>#DIV/0!</v>
      </c>
      <c r="I32" s="29" t="e">
        <f t="shared" si="2"/>
        <v>#DIV/0!</v>
      </c>
      <c r="J32" s="30">
        <f t="shared" si="5"/>
        <v>0</v>
      </c>
      <c r="K32" s="30" t="e">
        <f t="shared" si="3"/>
        <v>#DIV/0!</v>
      </c>
      <c r="L32" s="15">
        <v>0</v>
      </c>
      <c r="M32" s="31" t="str">
        <f t="shared" si="6"/>
        <v>-</v>
      </c>
      <c r="N32" s="15">
        <v>0</v>
      </c>
      <c r="O32" s="32">
        <f t="shared" ref="O32:P32" si="40">D32/7</f>
        <v>0</v>
      </c>
      <c r="P32" s="32">
        <f t="shared" si="40"/>
        <v>0</v>
      </c>
      <c r="Q32" s="27" t="e">
        <f t="shared" si="8"/>
        <v>#DIV/0!</v>
      </c>
      <c r="R32" s="27" t="str">
        <f ca="1">IFERROR(VLOOKUP($B$2,IMPORTRANGE("https://docs.google.com/spreadsheets/d/1KiWZV1ko8G7lnRucBRBd29jj3Be6ltMfljMDqzOkQmI/edit#gid=1381463014","Lookup!A:F"),6,FALSE),"")</f>
        <v/>
      </c>
      <c r="S32" s="41">
        <v>0</v>
      </c>
      <c r="T32" s="40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2" s="22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1" t="str">
        <f ca="1">IFERROR(__xludf.DUMMYFUNCTION("IFERROR(VLOOKUP($B$2,IMPORTRANGE(""https://docs.google.com/spreadsheets/d/1KiWZV1ko8G7lnRucBRBd29jj3Be6ltMfljMDqzOkQmI/edit#gid=1381463014"",""Lookup!A:D""),2,FALSE),"""")"),"**No Inventory In The Works**")</f>
        <v>**No Inventory In The Works**</v>
      </c>
      <c r="W32" s="40">
        <v>0</v>
      </c>
      <c r="X32" s="36">
        <f t="shared" si="9"/>
        <v>0</v>
      </c>
      <c r="Y32" s="37">
        <f t="shared" si="10"/>
        <v>0</v>
      </c>
      <c r="Z32" s="40">
        <v>0</v>
      </c>
      <c r="AA32" s="40" t="s">
        <v>37</v>
      </c>
      <c r="AB32" s="38">
        <f t="shared" si="11"/>
        <v>-0.69</v>
      </c>
      <c r="AC32" s="44">
        <v>0.41521990740740738</v>
      </c>
      <c r="AD32" s="37">
        <f t="shared" si="12"/>
        <v>0</v>
      </c>
      <c r="AE32" s="42">
        <v>-6.56</v>
      </c>
      <c r="AF32" s="42">
        <v>-7.3856103289062496</v>
      </c>
      <c r="AG32" s="42">
        <v>0</v>
      </c>
    </row>
    <row r="33" spans="1:33" ht="15.75" customHeight="1" x14ac:dyDescent="0.2">
      <c r="A33" s="40"/>
      <c r="B33" s="40"/>
      <c r="C33" s="46"/>
      <c r="D33" s="15"/>
      <c r="E33" s="15"/>
      <c r="F33" s="16"/>
      <c r="G33" s="16"/>
      <c r="H33" s="16"/>
      <c r="I33" s="15"/>
      <c r="J33" s="15"/>
      <c r="K33" s="15"/>
      <c r="L33" s="15"/>
      <c r="M33" s="18"/>
      <c r="N33" s="15"/>
      <c r="O33" s="15"/>
      <c r="P33" s="15"/>
      <c r="Q33" s="15"/>
      <c r="R33" s="15"/>
      <c r="S33" s="41"/>
      <c r="T33" s="40"/>
      <c r="U33" s="22"/>
      <c r="V33" s="1"/>
      <c r="W33" s="40"/>
      <c r="X33" s="40"/>
      <c r="Y33" s="40"/>
      <c r="Z33" s="40"/>
      <c r="AA33" s="2"/>
      <c r="AB33" s="40"/>
      <c r="AC33" s="40"/>
      <c r="AD33" s="40"/>
      <c r="AE33" s="42"/>
      <c r="AF33" s="42"/>
      <c r="AG33" s="42"/>
    </row>
    <row r="34" spans="1:33" ht="15.75" customHeight="1" x14ac:dyDescent="0.2">
      <c r="A34" s="40"/>
      <c r="B34" s="40"/>
      <c r="C34" s="46"/>
      <c r="D34" s="15"/>
      <c r="E34" s="15"/>
      <c r="F34" s="16"/>
      <c r="G34" s="16"/>
      <c r="H34" s="16"/>
      <c r="I34" s="15"/>
      <c r="J34" s="15"/>
      <c r="K34" s="15"/>
      <c r="L34" s="15"/>
      <c r="M34" s="18"/>
      <c r="N34" s="15"/>
      <c r="O34" s="15"/>
      <c r="P34" s="15"/>
      <c r="Q34" s="15"/>
      <c r="R34" s="15"/>
      <c r="S34" s="41"/>
      <c r="T34" s="40"/>
      <c r="U34" s="22"/>
      <c r="V34" s="1"/>
      <c r="W34" s="40"/>
      <c r="X34" s="40"/>
      <c r="Y34" s="40"/>
      <c r="Z34" s="40"/>
      <c r="AA34" s="2"/>
      <c r="AB34" s="40"/>
      <c r="AC34" s="40"/>
      <c r="AD34" s="40"/>
      <c r="AE34" s="42"/>
      <c r="AF34" s="42"/>
      <c r="AG34" s="42"/>
    </row>
    <row r="35" spans="1:33" ht="15.75" customHeight="1" x14ac:dyDescent="0.2">
      <c r="A35" s="40"/>
      <c r="B35" s="40"/>
      <c r="C35" s="46"/>
      <c r="D35" s="15"/>
      <c r="E35" s="15"/>
      <c r="F35" s="16"/>
      <c r="G35" s="16"/>
      <c r="H35" s="16"/>
      <c r="I35" s="15"/>
      <c r="J35" s="15"/>
      <c r="K35" s="15"/>
      <c r="L35" s="15"/>
      <c r="M35" s="18"/>
      <c r="N35" s="15"/>
      <c r="O35" s="15"/>
      <c r="P35" s="15"/>
      <c r="Q35" s="15"/>
      <c r="R35" s="15"/>
      <c r="S35" s="41"/>
      <c r="T35" s="40"/>
      <c r="U35" s="22"/>
      <c r="V35" s="1"/>
      <c r="W35" s="40"/>
      <c r="X35" s="40"/>
      <c r="Y35" s="40"/>
      <c r="Z35" s="40"/>
      <c r="AA35" s="2"/>
      <c r="AB35" s="40"/>
      <c r="AC35" s="40"/>
      <c r="AD35" s="40"/>
      <c r="AE35" s="42"/>
      <c r="AF35" s="42"/>
      <c r="AG35" s="42"/>
    </row>
    <row r="36" spans="1:33" ht="15.75" customHeight="1" x14ac:dyDescent="0.2">
      <c r="A36" s="40"/>
      <c r="B36" s="40"/>
      <c r="C36" s="46"/>
      <c r="D36" s="15"/>
      <c r="E36" s="15"/>
      <c r="F36" s="16"/>
      <c r="G36" s="16"/>
      <c r="H36" s="16"/>
      <c r="I36" s="15"/>
      <c r="J36" s="15"/>
      <c r="K36" s="15"/>
      <c r="L36" s="15"/>
      <c r="M36" s="18"/>
      <c r="N36" s="15"/>
      <c r="O36" s="15"/>
      <c r="P36" s="15"/>
      <c r="Q36" s="15"/>
      <c r="R36" s="15"/>
      <c r="S36" s="41"/>
      <c r="T36" s="40"/>
      <c r="U36" s="22"/>
      <c r="V36" s="1"/>
      <c r="W36" s="40"/>
      <c r="X36" s="40"/>
      <c r="Y36" s="40"/>
      <c r="Z36" s="40"/>
      <c r="AA36" s="2"/>
      <c r="AB36" s="40"/>
      <c r="AC36" s="40"/>
      <c r="AD36" s="40"/>
      <c r="AE36" s="42"/>
      <c r="AF36" s="42"/>
      <c r="AG36" s="42"/>
    </row>
    <row r="37" spans="1:33" ht="15.75" customHeight="1" x14ac:dyDescent="0.2">
      <c r="A37" s="40"/>
      <c r="B37" s="40"/>
      <c r="C37" s="46"/>
      <c r="D37" s="15"/>
      <c r="E37" s="15"/>
      <c r="F37" s="16"/>
      <c r="G37" s="16"/>
      <c r="H37" s="16"/>
      <c r="I37" s="15"/>
      <c r="J37" s="15"/>
      <c r="K37" s="15"/>
      <c r="L37" s="15"/>
      <c r="M37" s="18"/>
      <c r="N37" s="15"/>
      <c r="O37" s="15"/>
      <c r="P37" s="15"/>
      <c r="Q37" s="15"/>
      <c r="R37" s="15"/>
      <c r="S37" s="41"/>
      <c r="T37" s="40"/>
      <c r="U37" s="22"/>
      <c r="V37" s="1"/>
      <c r="W37" s="40"/>
      <c r="X37" s="40"/>
      <c r="Y37" s="40"/>
      <c r="Z37" s="40"/>
      <c r="AA37" s="2"/>
      <c r="AB37" s="40"/>
      <c r="AC37" s="40"/>
      <c r="AD37" s="40"/>
      <c r="AE37" s="42"/>
      <c r="AF37" s="42"/>
      <c r="AG37" s="42"/>
    </row>
    <row r="38" spans="1:33" ht="15.75" customHeight="1" x14ac:dyDescent="0.2">
      <c r="A38" s="40"/>
      <c r="B38" s="40"/>
      <c r="C38" s="46"/>
      <c r="D38" s="15"/>
      <c r="E38" s="15"/>
      <c r="F38" s="16"/>
      <c r="G38" s="16"/>
      <c r="H38" s="16"/>
      <c r="I38" s="15"/>
      <c r="J38" s="15"/>
      <c r="K38" s="15"/>
      <c r="L38" s="15"/>
      <c r="M38" s="18"/>
      <c r="N38" s="15"/>
      <c r="O38" s="15"/>
      <c r="P38" s="15"/>
      <c r="Q38" s="15"/>
      <c r="R38" s="15"/>
      <c r="S38" s="41"/>
      <c r="T38" s="40"/>
      <c r="U38" s="22"/>
      <c r="V38" s="1"/>
      <c r="W38" s="40"/>
      <c r="X38" s="40"/>
      <c r="Y38" s="40"/>
      <c r="Z38" s="40"/>
      <c r="AA38" s="2"/>
      <c r="AB38" s="40"/>
      <c r="AC38" s="40"/>
      <c r="AD38" s="40"/>
      <c r="AE38" s="42"/>
      <c r="AF38" s="42"/>
      <c r="AG38" s="42"/>
    </row>
    <row r="39" spans="1:33" ht="15.75" customHeight="1" x14ac:dyDescent="0.2">
      <c r="A39" s="40"/>
      <c r="B39" s="40"/>
      <c r="C39" s="46"/>
      <c r="D39" s="15"/>
      <c r="E39" s="15"/>
      <c r="F39" s="16"/>
      <c r="G39" s="16"/>
      <c r="H39" s="16"/>
      <c r="I39" s="15"/>
      <c r="J39" s="15"/>
      <c r="K39" s="15"/>
      <c r="L39" s="15"/>
      <c r="M39" s="18"/>
      <c r="N39" s="15"/>
      <c r="O39" s="15"/>
      <c r="P39" s="15"/>
      <c r="Q39" s="15"/>
      <c r="R39" s="15"/>
      <c r="S39" s="41"/>
      <c r="T39" s="40"/>
      <c r="U39" s="22"/>
      <c r="V39" s="1"/>
      <c r="W39" s="40"/>
      <c r="X39" s="40"/>
      <c r="Y39" s="40"/>
      <c r="Z39" s="40"/>
      <c r="AA39" s="2"/>
      <c r="AB39" s="40"/>
      <c r="AC39" s="40"/>
      <c r="AD39" s="40"/>
      <c r="AE39" s="42"/>
      <c r="AF39" s="42"/>
      <c r="AG39" s="42"/>
    </row>
    <row r="40" spans="1:33" ht="15.75" customHeight="1" x14ac:dyDescent="0.2">
      <c r="A40" s="40"/>
      <c r="B40" s="40"/>
      <c r="C40" s="46"/>
      <c r="D40" s="15"/>
      <c r="E40" s="15"/>
      <c r="F40" s="16"/>
      <c r="G40" s="16"/>
      <c r="H40" s="16"/>
      <c r="I40" s="15"/>
      <c r="J40" s="15"/>
      <c r="K40" s="15"/>
      <c r="L40" s="15"/>
      <c r="M40" s="18"/>
      <c r="N40" s="15"/>
      <c r="O40" s="15"/>
      <c r="P40" s="15"/>
      <c r="Q40" s="15"/>
      <c r="R40" s="15"/>
      <c r="S40" s="41"/>
      <c r="T40" s="40"/>
      <c r="U40" s="22"/>
      <c r="V40" s="1"/>
      <c r="W40" s="40"/>
      <c r="X40" s="40"/>
      <c r="Y40" s="40"/>
      <c r="Z40" s="40"/>
      <c r="AA40" s="2"/>
      <c r="AB40" s="40"/>
      <c r="AC40" s="40"/>
      <c r="AD40" s="40"/>
      <c r="AE40" s="42"/>
      <c r="AF40" s="42"/>
      <c r="AG40" s="42"/>
    </row>
    <row r="41" spans="1:33" ht="15.75" customHeight="1" x14ac:dyDescent="0.2">
      <c r="A41" s="40"/>
      <c r="B41" s="40"/>
      <c r="C41" s="46"/>
      <c r="D41" s="15"/>
      <c r="E41" s="15"/>
      <c r="F41" s="16"/>
      <c r="G41" s="16"/>
      <c r="H41" s="16"/>
      <c r="I41" s="15"/>
      <c r="J41" s="15"/>
      <c r="K41" s="15"/>
      <c r="L41" s="15"/>
      <c r="M41" s="18"/>
      <c r="N41" s="15"/>
      <c r="O41" s="15"/>
      <c r="P41" s="15"/>
      <c r="Q41" s="15"/>
      <c r="R41" s="15"/>
      <c r="S41" s="41"/>
      <c r="T41" s="40"/>
      <c r="U41" s="22"/>
      <c r="V41" s="1"/>
      <c r="W41" s="40"/>
      <c r="X41" s="40"/>
      <c r="Y41" s="40"/>
      <c r="Z41" s="40"/>
      <c r="AA41" s="2"/>
      <c r="AB41" s="40"/>
      <c r="AC41" s="40"/>
      <c r="AD41" s="40"/>
      <c r="AE41" s="42"/>
      <c r="AF41" s="42"/>
      <c r="AG41" s="42"/>
    </row>
    <row r="42" spans="1:33" ht="15.75" customHeight="1" x14ac:dyDescent="0.2">
      <c r="A42" s="40"/>
      <c r="B42" s="40"/>
      <c r="C42" s="46"/>
      <c r="D42" s="15"/>
      <c r="E42" s="15"/>
      <c r="F42" s="16"/>
      <c r="G42" s="16"/>
      <c r="H42" s="16"/>
      <c r="I42" s="15"/>
      <c r="J42" s="15"/>
      <c r="K42" s="15"/>
      <c r="L42" s="15"/>
      <c r="M42" s="18"/>
      <c r="N42" s="15"/>
      <c r="O42" s="15"/>
      <c r="P42" s="15"/>
      <c r="Q42" s="15"/>
      <c r="R42" s="15"/>
      <c r="S42" s="41"/>
      <c r="T42" s="40"/>
      <c r="U42" s="22"/>
      <c r="V42" s="1"/>
      <c r="W42" s="40"/>
      <c r="X42" s="40"/>
      <c r="Y42" s="40"/>
      <c r="Z42" s="40"/>
      <c r="AA42" s="2"/>
      <c r="AB42" s="40"/>
      <c r="AC42" s="40"/>
      <c r="AD42" s="40"/>
      <c r="AE42" s="42"/>
      <c r="AF42" s="42"/>
      <c r="AG42" s="42"/>
    </row>
    <row r="43" spans="1:33" ht="15.75" customHeight="1" x14ac:dyDescent="0.2">
      <c r="A43" s="40"/>
      <c r="B43" s="40"/>
      <c r="C43" s="46"/>
      <c r="D43" s="15"/>
      <c r="E43" s="15"/>
      <c r="F43" s="16"/>
      <c r="G43" s="16"/>
      <c r="H43" s="16"/>
      <c r="I43" s="15"/>
      <c r="J43" s="15"/>
      <c r="K43" s="15"/>
      <c r="L43" s="15"/>
      <c r="M43" s="18"/>
      <c r="N43" s="15"/>
      <c r="O43" s="15"/>
      <c r="P43" s="15"/>
      <c r="Q43" s="15"/>
      <c r="R43" s="15"/>
      <c r="S43" s="41"/>
      <c r="T43" s="40"/>
      <c r="U43" s="22"/>
      <c r="V43" s="1"/>
      <c r="W43" s="40"/>
      <c r="X43" s="40"/>
      <c r="Y43" s="40"/>
      <c r="Z43" s="40"/>
      <c r="AA43" s="2"/>
      <c r="AB43" s="40"/>
      <c r="AC43" s="40"/>
      <c r="AD43" s="40"/>
      <c r="AE43" s="42"/>
      <c r="AF43" s="42"/>
      <c r="AG43" s="42"/>
    </row>
    <row r="44" spans="1:33" ht="15.75" customHeight="1" x14ac:dyDescent="0.2">
      <c r="A44" s="40"/>
      <c r="B44" s="40"/>
      <c r="C44" s="46"/>
      <c r="D44" s="15"/>
      <c r="E44" s="15"/>
      <c r="F44" s="16"/>
      <c r="G44" s="16"/>
      <c r="H44" s="16"/>
      <c r="I44" s="15"/>
      <c r="J44" s="15"/>
      <c r="K44" s="15"/>
      <c r="L44" s="15"/>
      <c r="M44" s="18"/>
      <c r="N44" s="15"/>
      <c r="O44" s="15"/>
      <c r="P44" s="15"/>
      <c r="Q44" s="15"/>
      <c r="R44" s="15"/>
      <c r="S44" s="41"/>
      <c r="T44" s="40"/>
      <c r="U44" s="22"/>
      <c r="V44" s="1"/>
      <c r="W44" s="40"/>
      <c r="X44" s="40"/>
      <c r="Y44" s="40"/>
      <c r="Z44" s="40"/>
      <c r="AA44" s="2"/>
      <c r="AB44" s="40"/>
      <c r="AC44" s="40"/>
      <c r="AD44" s="40"/>
      <c r="AE44" s="42"/>
      <c r="AF44" s="42"/>
      <c r="AG44" s="42"/>
    </row>
    <row r="45" spans="1:33" ht="15.75" customHeight="1" x14ac:dyDescent="0.2">
      <c r="A45" s="40"/>
      <c r="B45" s="40"/>
      <c r="C45" s="46"/>
      <c r="D45" s="15"/>
      <c r="E45" s="15"/>
      <c r="F45" s="16"/>
      <c r="G45" s="16"/>
      <c r="H45" s="16"/>
      <c r="I45" s="15"/>
      <c r="J45" s="15"/>
      <c r="K45" s="15"/>
      <c r="L45" s="15"/>
      <c r="M45" s="18"/>
      <c r="N45" s="15"/>
      <c r="O45" s="15"/>
      <c r="P45" s="15"/>
      <c r="Q45" s="15"/>
      <c r="R45" s="15"/>
      <c r="S45" s="41"/>
      <c r="T45" s="40"/>
      <c r="U45" s="22"/>
      <c r="V45" s="1"/>
      <c r="W45" s="40"/>
      <c r="X45" s="40"/>
      <c r="Y45" s="40"/>
      <c r="Z45" s="40"/>
      <c r="AA45" s="2"/>
      <c r="AB45" s="40"/>
      <c r="AC45" s="40"/>
      <c r="AD45" s="40"/>
      <c r="AE45" s="42"/>
      <c r="AF45" s="42"/>
      <c r="AG45" s="42"/>
    </row>
    <row r="46" spans="1:33" ht="15.75" customHeight="1" x14ac:dyDescent="0.2">
      <c r="A46" s="40"/>
      <c r="B46" s="40"/>
      <c r="C46" s="46"/>
      <c r="D46" s="15"/>
      <c r="E46" s="15"/>
      <c r="F46" s="16"/>
      <c r="G46" s="16"/>
      <c r="H46" s="16"/>
      <c r="I46" s="15"/>
      <c r="J46" s="15"/>
      <c r="K46" s="15"/>
      <c r="L46" s="15"/>
      <c r="M46" s="18"/>
      <c r="N46" s="15"/>
      <c r="O46" s="15"/>
      <c r="P46" s="15"/>
      <c r="Q46" s="15"/>
      <c r="R46" s="15"/>
      <c r="S46" s="41"/>
      <c r="T46" s="40"/>
      <c r="U46" s="22"/>
      <c r="V46" s="1"/>
      <c r="W46" s="40"/>
      <c r="X46" s="40"/>
      <c r="Y46" s="40"/>
      <c r="Z46" s="40"/>
      <c r="AA46" s="2"/>
      <c r="AB46" s="40"/>
      <c r="AC46" s="40"/>
      <c r="AD46" s="40"/>
      <c r="AE46" s="42"/>
      <c r="AF46" s="42"/>
      <c r="AG46" s="42"/>
    </row>
    <row r="47" spans="1:33" ht="15.75" customHeight="1" x14ac:dyDescent="0.2">
      <c r="A47" s="40"/>
      <c r="B47" s="40"/>
      <c r="C47" s="46"/>
      <c r="D47" s="15"/>
      <c r="E47" s="15"/>
      <c r="F47" s="16"/>
      <c r="G47" s="16"/>
      <c r="H47" s="16"/>
      <c r="I47" s="15"/>
      <c r="J47" s="15"/>
      <c r="K47" s="15"/>
      <c r="L47" s="15"/>
      <c r="M47" s="18"/>
      <c r="N47" s="15"/>
      <c r="O47" s="15"/>
      <c r="P47" s="15"/>
      <c r="Q47" s="15"/>
      <c r="R47" s="15"/>
      <c r="S47" s="41"/>
      <c r="T47" s="40"/>
      <c r="U47" s="22"/>
      <c r="V47" s="1"/>
      <c r="W47" s="40"/>
      <c r="X47" s="40"/>
      <c r="Y47" s="40"/>
      <c r="Z47" s="40"/>
      <c r="AA47" s="2"/>
      <c r="AB47" s="40"/>
      <c r="AC47" s="40"/>
      <c r="AD47" s="40"/>
      <c r="AE47" s="42"/>
      <c r="AF47" s="42"/>
      <c r="AG47" s="42"/>
    </row>
    <row r="48" spans="1:33" ht="15.75" customHeight="1" x14ac:dyDescent="0.2">
      <c r="A48" s="40"/>
      <c r="B48" s="40"/>
      <c r="C48" s="46"/>
      <c r="D48" s="15"/>
      <c r="E48" s="15"/>
      <c r="F48" s="16"/>
      <c r="G48" s="16"/>
      <c r="H48" s="16"/>
      <c r="I48" s="15"/>
      <c r="J48" s="15"/>
      <c r="K48" s="15"/>
      <c r="L48" s="15"/>
      <c r="M48" s="18"/>
      <c r="N48" s="15"/>
      <c r="O48" s="15"/>
      <c r="P48" s="15"/>
      <c r="Q48" s="15"/>
      <c r="R48" s="15"/>
      <c r="S48" s="41"/>
      <c r="T48" s="40"/>
      <c r="U48" s="22"/>
      <c r="V48" s="1"/>
      <c r="W48" s="40"/>
      <c r="X48" s="40"/>
      <c r="Y48" s="40"/>
      <c r="Z48" s="40"/>
      <c r="AA48" s="2"/>
      <c r="AB48" s="40"/>
      <c r="AC48" s="40"/>
      <c r="AD48" s="40"/>
      <c r="AE48" s="42"/>
      <c r="AF48" s="42"/>
      <c r="AG48" s="42"/>
    </row>
    <row r="49" spans="1:33" ht="15.75" customHeight="1" x14ac:dyDescent="0.2">
      <c r="A49" s="40"/>
      <c r="B49" s="40"/>
      <c r="C49" s="46"/>
      <c r="D49" s="15"/>
      <c r="E49" s="15"/>
      <c r="F49" s="16"/>
      <c r="G49" s="16"/>
      <c r="H49" s="16"/>
      <c r="I49" s="15"/>
      <c r="J49" s="15"/>
      <c r="K49" s="15"/>
      <c r="L49" s="15"/>
      <c r="M49" s="18"/>
      <c r="N49" s="15"/>
      <c r="O49" s="15"/>
      <c r="P49" s="15"/>
      <c r="Q49" s="15"/>
      <c r="R49" s="15"/>
      <c r="S49" s="41"/>
      <c r="T49" s="40"/>
      <c r="U49" s="22"/>
      <c r="V49" s="1"/>
      <c r="W49" s="40"/>
      <c r="X49" s="40"/>
      <c r="Y49" s="40"/>
      <c r="Z49" s="40"/>
      <c r="AA49" s="2"/>
      <c r="AB49" s="40"/>
      <c r="AC49" s="40"/>
      <c r="AD49" s="40"/>
      <c r="AE49" s="42"/>
      <c r="AF49" s="42"/>
      <c r="AG49" s="42"/>
    </row>
    <row r="50" spans="1:33" ht="15.75" customHeight="1" x14ac:dyDescent="0.2">
      <c r="A50" s="40"/>
      <c r="B50" s="40"/>
      <c r="C50" s="46"/>
      <c r="D50" s="15"/>
      <c r="E50" s="15"/>
      <c r="F50" s="16"/>
      <c r="G50" s="16"/>
      <c r="H50" s="16"/>
      <c r="I50" s="15"/>
      <c r="J50" s="15"/>
      <c r="K50" s="15"/>
      <c r="L50" s="15"/>
      <c r="M50" s="18"/>
      <c r="N50" s="15"/>
      <c r="O50" s="15"/>
      <c r="P50" s="15"/>
      <c r="Q50" s="15"/>
      <c r="R50" s="15"/>
      <c r="S50" s="41"/>
      <c r="T50" s="40"/>
      <c r="U50" s="22"/>
      <c r="V50" s="1"/>
      <c r="W50" s="40"/>
      <c r="X50" s="40"/>
      <c r="Y50" s="40"/>
      <c r="Z50" s="40"/>
      <c r="AA50" s="2"/>
      <c r="AB50" s="40"/>
      <c r="AC50" s="40"/>
      <c r="AD50" s="40"/>
      <c r="AE50" s="42"/>
      <c r="AF50" s="42"/>
      <c r="AG50" s="42"/>
    </row>
    <row r="51" spans="1:33" ht="15.75" customHeight="1" x14ac:dyDescent="0.2">
      <c r="A51" s="40"/>
      <c r="B51" s="40"/>
      <c r="C51" s="46"/>
      <c r="D51" s="15"/>
      <c r="E51" s="15"/>
      <c r="F51" s="16"/>
      <c r="G51" s="16"/>
      <c r="H51" s="16"/>
      <c r="I51" s="15"/>
      <c r="J51" s="15"/>
      <c r="K51" s="15"/>
      <c r="L51" s="15"/>
      <c r="M51" s="18"/>
      <c r="N51" s="15"/>
      <c r="O51" s="15"/>
      <c r="P51" s="15"/>
      <c r="Q51" s="15"/>
      <c r="R51" s="15"/>
      <c r="S51" s="41"/>
      <c r="T51" s="40"/>
      <c r="U51" s="22"/>
      <c r="V51" s="1"/>
      <c r="W51" s="40"/>
      <c r="X51" s="40"/>
      <c r="Y51" s="40"/>
      <c r="Z51" s="40"/>
      <c r="AA51" s="2"/>
      <c r="AB51" s="40"/>
      <c r="AC51" s="40"/>
      <c r="AD51" s="40"/>
      <c r="AE51" s="42"/>
      <c r="AF51" s="42"/>
      <c r="AG51" s="42"/>
    </row>
    <row r="52" spans="1:33" ht="15.75" customHeight="1" x14ac:dyDescent="0.2">
      <c r="A52" s="40"/>
      <c r="B52" s="40"/>
      <c r="C52" s="46"/>
      <c r="D52" s="15"/>
      <c r="E52" s="15"/>
      <c r="F52" s="16"/>
      <c r="G52" s="16"/>
      <c r="H52" s="16"/>
      <c r="I52" s="15"/>
      <c r="J52" s="15"/>
      <c r="K52" s="15"/>
      <c r="L52" s="15"/>
      <c r="M52" s="18"/>
      <c r="N52" s="15"/>
      <c r="O52" s="15"/>
      <c r="P52" s="15"/>
      <c r="Q52" s="15"/>
      <c r="R52" s="15"/>
      <c r="S52" s="41"/>
      <c r="T52" s="40"/>
      <c r="U52" s="22"/>
      <c r="V52" s="1"/>
      <c r="W52" s="40"/>
      <c r="X52" s="40"/>
      <c r="Y52" s="40"/>
      <c r="Z52" s="40"/>
      <c r="AA52" s="2"/>
      <c r="AB52" s="40"/>
      <c r="AC52" s="40"/>
      <c r="AD52" s="40"/>
      <c r="AE52" s="42"/>
      <c r="AF52" s="42"/>
      <c r="AG52" s="42"/>
    </row>
    <row r="53" spans="1:33" ht="15.75" customHeight="1" x14ac:dyDescent="0.2">
      <c r="A53" s="40"/>
      <c r="B53" s="40"/>
      <c r="C53" s="46"/>
      <c r="D53" s="15"/>
      <c r="E53" s="15"/>
      <c r="F53" s="16"/>
      <c r="G53" s="16"/>
      <c r="H53" s="16"/>
      <c r="I53" s="15"/>
      <c r="J53" s="15"/>
      <c r="K53" s="15"/>
      <c r="L53" s="15"/>
      <c r="M53" s="18"/>
      <c r="N53" s="15"/>
      <c r="O53" s="15"/>
      <c r="P53" s="15"/>
      <c r="Q53" s="15"/>
      <c r="R53" s="15"/>
      <c r="S53" s="41"/>
      <c r="T53" s="40"/>
      <c r="U53" s="22"/>
      <c r="V53" s="1"/>
      <c r="W53" s="40"/>
      <c r="X53" s="40"/>
      <c r="Y53" s="40"/>
      <c r="Z53" s="40"/>
      <c r="AA53" s="2"/>
      <c r="AB53" s="40"/>
      <c r="AC53" s="40"/>
      <c r="AD53" s="40"/>
      <c r="AE53" s="42"/>
      <c r="AF53" s="42"/>
      <c r="AG53" s="42"/>
    </row>
    <row r="54" spans="1:33" ht="15.75" customHeight="1" x14ac:dyDescent="0.2">
      <c r="A54" s="40"/>
      <c r="B54" s="40"/>
      <c r="C54" s="46"/>
      <c r="D54" s="15"/>
      <c r="E54" s="15"/>
      <c r="F54" s="16"/>
      <c r="G54" s="16"/>
      <c r="H54" s="16"/>
      <c r="I54" s="15"/>
      <c r="J54" s="15"/>
      <c r="K54" s="15"/>
      <c r="L54" s="15"/>
      <c r="M54" s="18"/>
      <c r="N54" s="15"/>
      <c r="O54" s="15"/>
      <c r="P54" s="15"/>
      <c r="Q54" s="15"/>
      <c r="R54" s="15"/>
      <c r="S54" s="41"/>
      <c r="T54" s="40"/>
      <c r="U54" s="22"/>
      <c r="V54" s="1"/>
      <c r="W54" s="40"/>
      <c r="X54" s="40"/>
      <c r="Y54" s="40"/>
      <c r="Z54" s="40"/>
      <c r="AA54" s="2"/>
      <c r="AB54" s="40"/>
      <c r="AC54" s="40"/>
      <c r="AD54" s="40"/>
      <c r="AE54" s="42"/>
      <c r="AF54" s="42"/>
      <c r="AG54" s="42"/>
    </row>
    <row r="55" spans="1:33" ht="15.75" customHeight="1" x14ac:dyDescent="0.2">
      <c r="A55" s="40"/>
      <c r="B55" s="40"/>
      <c r="C55" s="46"/>
      <c r="D55" s="15"/>
      <c r="E55" s="15"/>
      <c r="F55" s="16"/>
      <c r="G55" s="16"/>
      <c r="H55" s="16"/>
      <c r="I55" s="15"/>
      <c r="J55" s="15"/>
      <c r="K55" s="15"/>
      <c r="L55" s="15"/>
      <c r="M55" s="18"/>
      <c r="N55" s="15"/>
      <c r="O55" s="15"/>
      <c r="P55" s="15"/>
      <c r="Q55" s="15"/>
      <c r="R55" s="15"/>
      <c r="S55" s="41"/>
      <c r="T55" s="40"/>
      <c r="U55" s="22"/>
      <c r="V55" s="1"/>
      <c r="W55" s="40"/>
      <c r="X55" s="40"/>
      <c r="Y55" s="40"/>
      <c r="Z55" s="40"/>
      <c r="AA55" s="2"/>
      <c r="AB55" s="40"/>
      <c r="AC55" s="40"/>
      <c r="AD55" s="40"/>
      <c r="AE55" s="42"/>
      <c r="AF55" s="42"/>
      <c r="AG55" s="42"/>
    </row>
    <row r="56" spans="1:33" ht="15.75" customHeight="1" x14ac:dyDescent="0.2">
      <c r="A56" s="40"/>
      <c r="B56" s="40"/>
      <c r="C56" s="46"/>
      <c r="D56" s="15"/>
      <c r="E56" s="15"/>
      <c r="F56" s="16"/>
      <c r="G56" s="16"/>
      <c r="H56" s="16"/>
      <c r="I56" s="15"/>
      <c r="J56" s="15"/>
      <c r="K56" s="15"/>
      <c r="L56" s="15"/>
      <c r="M56" s="18"/>
      <c r="N56" s="15"/>
      <c r="O56" s="15"/>
      <c r="P56" s="15"/>
      <c r="Q56" s="15"/>
      <c r="R56" s="15"/>
      <c r="S56" s="41"/>
      <c r="T56" s="40"/>
      <c r="U56" s="22"/>
      <c r="V56" s="1"/>
      <c r="W56" s="40"/>
      <c r="X56" s="40"/>
      <c r="Y56" s="40"/>
      <c r="Z56" s="40"/>
      <c r="AA56" s="2"/>
      <c r="AB56" s="40"/>
      <c r="AC56" s="40"/>
      <c r="AD56" s="40"/>
      <c r="AE56" s="42"/>
      <c r="AF56" s="42"/>
      <c r="AG56" s="42"/>
    </row>
    <row r="57" spans="1:33" ht="15.75" customHeight="1" x14ac:dyDescent="0.2">
      <c r="A57" s="40"/>
      <c r="B57" s="40"/>
      <c r="C57" s="46"/>
      <c r="D57" s="15"/>
      <c r="E57" s="15"/>
      <c r="F57" s="16"/>
      <c r="G57" s="16"/>
      <c r="H57" s="16"/>
      <c r="I57" s="15"/>
      <c r="J57" s="15"/>
      <c r="K57" s="15"/>
      <c r="L57" s="15"/>
      <c r="M57" s="18"/>
      <c r="N57" s="15"/>
      <c r="O57" s="15"/>
      <c r="P57" s="15"/>
      <c r="Q57" s="15"/>
      <c r="R57" s="15"/>
      <c r="S57" s="41"/>
      <c r="T57" s="40"/>
      <c r="U57" s="22"/>
      <c r="V57" s="1"/>
      <c r="W57" s="40"/>
      <c r="X57" s="40"/>
      <c r="Y57" s="40"/>
      <c r="Z57" s="40"/>
      <c r="AA57" s="2"/>
      <c r="AB57" s="40"/>
      <c r="AC57" s="40"/>
      <c r="AD57" s="40"/>
      <c r="AE57" s="42"/>
      <c r="AF57" s="42"/>
      <c r="AG57" s="42"/>
    </row>
    <row r="58" spans="1:33" ht="15.75" customHeight="1" x14ac:dyDescent="0.2">
      <c r="A58" s="40"/>
      <c r="B58" s="40"/>
      <c r="C58" s="46"/>
      <c r="D58" s="15"/>
      <c r="E58" s="15"/>
      <c r="F58" s="16"/>
      <c r="G58" s="16"/>
      <c r="H58" s="16"/>
      <c r="I58" s="15"/>
      <c r="J58" s="15"/>
      <c r="K58" s="15"/>
      <c r="L58" s="15"/>
      <c r="M58" s="18"/>
      <c r="N58" s="15"/>
      <c r="O58" s="15"/>
      <c r="P58" s="15"/>
      <c r="Q58" s="15"/>
      <c r="R58" s="15"/>
      <c r="S58" s="41"/>
      <c r="T58" s="40"/>
      <c r="U58" s="22"/>
      <c r="V58" s="1"/>
      <c r="W58" s="40"/>
      <c r="X58" s="40"/>
      <c r="Y58" s="40"/>
      <c r="Z58" s="40"/>
      <c r="AA58" s="2"/>
      <c r="AB58" s="40"/>
      <c r="AC58" s="40"/>
      <c r="AD58" s="40"/>
      <c r="AE58" s="42"/>
      <c r="AF58" s="42"/>
      <c r="AG58" s="42"/>
    </row>
    <row r="59" spans="1:33" ht="15.75" customHeight="1" x14ac:dyDescent="0.2">
      <c r="A59" s="40"/>
      <c r="B59" s="40"/>
      <c r="C59" s="46"/>
      <c r="D59" s="15"/>
      <c r="E59" s="15"/>
      <c r="F59" s="16"/>
      <c r="G59" s="16"/>
      <c r="H59" s="16"/>
      <c r="I59" s="15"/>
      <c r="J59" s="15"/>
      <c r="K59" s="15"/>
      <c r="L59" s="15"/>
      <c r="M59" s="18"/>
      <c r="N59" s="15"/>
      <c r="O59" s="15"/>
      <c r="P59" s="15"/>
      <c r="Q59" s="15"/>
      <c r="R59" s="15"/>
      <c r="S59" s="41"/>
      <c r="T59" s="40"/>
      <c r="U59" s="22"/>
      <c r="V59" s="1"/>
      <c r="W59" s="40"/>
      <c r="X59" s="40"/>
      <c r="Y59" s="40"/>
      <c r="Z59" s="40"/>
      <c r="AA59" s="2"/>
      <c r="AB59" s="40"/>
      <c r="AC59" s="40"/>
      <c r="AD59" s="40"/>
      <c r="AE59" s="42"/>
      <c r="AF59" s="42"/>
      <c r="AG59" s="42"/>
    </row>
    <row r="60" spans="1:33" ht="15.75" customHeight="1" x14ac:dyDescent="0.2">
      <c r="A60" s="40"/>
      <c r="B60" s="40"/>
      <c r="C60" s="46"/>
      <c r="D60" s="15"/>
      <c r="E60" s="15"/>
      <c r="F60" s="16"/>
      <c r="G60" s="16"/>
      <c r="H60" s="16"/>
      <c r="I60" s="15"/>
      <c r="J60" s="15"/>
      <c r="K60" s="15"/>
      <c r="L60" s="15"/>
      <c r="M60" s="18"/>
      <c r="N60" s="15"/>
      <c r="O60" s="15"/>
      <c r="P60" s="15"/>
      <c r="Q60" s="15"/>
      <c r="R60" s="15"/>
      <c r="S60" s="41"/>
      <c r="T60" s="40"/>
      <c r="U60" s="22"/>
      <c r="V60" s="1"/>
      <c r="W60" s="40"/>
      <c r="X60" s="40"/>
      <c r="Y60" s="40"/>
      <c r="Z60" s="40"/>
      <c r="AA60" s="2"/>
      <c r="AB60" s="40"/>
      <c r="AC60" s="40"/>
      <c r="AD60" s="40"/>
      <c r="AE60" s="42"/>
      <c r="AF60" s="42"/>
      <c r="AG60" s="42"/>
    </row>
    <row r="61" spans="1:33" ht="15.75" customHeight="1" x14ac:dyDescent="0.2">
      <c r="A61" s="40"/>
      <c r="B61" s="40"/>
      <c r="C61" s="46"/>
      <c r="D61" s="15"/>
      <c r="E61" s="15"/>
      <c r="F61" s="16"/>
      <c r="G61" s="16"/>
      <c r="H61" s="16"/>
      <c r="I61" s="15"/>
      <c r="J61" s="15"/>
      <c r="K61" s="15"/>
      <c r="L61" s="15"/>
      <c r="M61" s="18"/>
      <c r="N61" s="15"/>
      <c r="O61" s="15"/>
      <c r="P61" s="15"/>
      <c r="Q61" s="15"/>
      <c r="R61" s="15"/>
      <c r="S61" s="41"/>
      <c r="T61" s="40"/>
      <c r="U61" s="22"/>
      <c r="V61" s="1"/>
      <c r="W61" s="40"/>
      <c r="X61" s="40"/>
      <c r="Y61" s="40"/>
      <c r="Z61" s="40"/>
      <c r="AA61" s="2"/>
      <c r="AB61" s="40"/>
      <c r="AC61" s="40"/>
      <c r="AD61" s="40"/>
      <c r="AE61" s="42"/>
      <c r="AF61" s="42"/>
      <c r="AG61" s="42"/>
    </row>
    <row r="62" spans="1:33" ht="15.75" customHeight="1" x14ac:dyDescent="0.2">
      <c r="A62" s="40"/>
      <c r="B62" s="40"/>
      <c r="C62" s="46"/>
      <c r="D62" s="15"/>
      <c r="E62" s="15"/>
      <c r="F62" s="16"/>
      <c r="G62" s="16"/>
      <c r="H62" s="16"/>
      <c r="I62" s="15"/>
      <c r="J62" s="15"/>
      <c r="K62" s="15"/>
      <c r="L62" s="15"/>
      <c r="M62" s="18"/>
      <c r="N62" s="15"/>
      <c r="O62" s="15"/>
      <c r="P62" s="15"/>
      <c r="Q62" s="15"/>
      <c r="R62" s="15"/>
      <c r="S62" s="41"/>
      <c r="T62" s="40"/>
      <c r="U62" s="22"/>
      <c r="V62" s="1"/>
      <c r="W62" s="40"/>
      <c r="X62" s="40"/>
      <c r="Y62" s="40"/>
      <c r="Z62" s="40"/>
      <c r="AA62" s="2"/>
      <c r="AB62" s="40"/>
      <c r="AC62" s="40"/>
      <c r="AD62" s="40"/>
      <c r="AE62" s="42"/>
      <c r="AF62" s="42"/>
      <c r="AG62" s="42"/>
    </row>
    <row r="63" spans="1:33" ht="15.75" customHeight="1" x14ac:dyDescent="0.2">
      <c r="A63" s="40"/>
      <c r="B63" s="40"/>
      <c r="C63" s="46"/>
      <c r="D63" s="15"/>
      <c r="E63" s="15"/>
      <c r="F63" s="16"/>
      <c r="G63" s="16"/>
      <c r="H63" s="16"/>
      <c r="I63" s="15"/>
      <c r="J63" s="15"/>
      <c r="K63" s="15"/>
      <c r="L63" s="15"/>
      <c r="M63" s="18"/>
      <c r="N63" s="15"/>
      <c r="O63" s="15"/>
      <c r="P63" s="15"/>
      <c r="Q63" s="15"/>
      <c r="R63" s="15"/>
      <c r="S63" s="41"/>
      <c r="T63" s="40"/>
      <c r="U63" s="22"/>
      <c r="V63" s="1"/>
      <c r="W63" s="40"/>
      <c r="X63" s="40"/>
      <c r="Y63" s="40"/>
      <c r="Z63" s="40"/>
      <c r="AA63" s="2"/>
      <c r="AB63" s="40"/>
      <c r="AC63" s="40"/>
      <c r="AD63" s="40"/>
      <c r="AE63" s="42"/>
      <c r="AF63" s="42"/>
      <c r="AG63" s="42"/>
    </row>
    <row r="64" spans="1:33" ht="15.75" customHeight="1" x14ac:dyDescent="0.2">
      <c r="A64" s="40"/>
      <c r="B64" s="40"/>
      <c r="C64" s="46"/>
      <c r="D64" s="15"/>
      <c r="E64" s="15"/>
      <c r="F64" s="16"/>
      <c r="G64" s="16"/>
      <c r="H64" s="16"/>
      <c r="I64" s="15"/>
      <c r="J64" s="15"/>
      <c r="K64" s="15"/>
      <c r="L64" s="15"/>
      <c r="M64" s="18"/>
      <c r="N64" s="15"/>
      <c r="O64" s="15"/>
      <c r="P64" s="15"/>
      <c r="Q64" s="15"/>
      <c r="R64" s="15"/>
      <c r="S64" s="41"/>
      <c r="T64" s="40"/>
      <c r="U64" s="22"/>
      <c r="V64" s="1"/>
      <c r="W64" s="40"/>
      <c r="X64" s="40"/>
      <c r="Y64" s="40"/>
      <c r="Z64" s="40"/>
      <c r="AA64" s="2"/>
      <c r="AB64" s="40"/>
      <c r="AC64" s="40"/>
      <c r="AD64" s="40"/>
      <c r="AE64" s="42"/>
      <c r="AF64" s="42"/>
      <c r="AG64" s="42"/>
    </row>
    <row r="65" spans="1:33" ht="15.75" customHeight="1" x14ac:dyDescent="0.2">
      <c r="A65" s="40"/>
      <c r="B65" s="40"/>
      <c r="C65" s="46"/>
      <c r="D65" s="15"/>
      <c r="E65" s="15"/>
      <c r="F65" s="16"/>
      <c r="G65" s="16"/>
      <c r="H65" s="16"/>
      <c r="I65" s="15"/>
      <c r="J65" s="15"/>
      <c r="K65" s="15"/>
      <c r="L65" s="15"/>
      <c r="M65" s="18"/>
      <c r="N65" s="15"/>
      <c r="O65" s="15"/>
      <c r="P65" s="15"/>
      <c r="Q65" s="15"/>
      <c r="R65" s="15"/>
      <c r="S65" s="41"/>
      <c r="T65" s="40"/>
      <c r="U65" s="22"/>
      <c r="V65" s="1"/>
      <c r="W65" s="40"/>
      <c r="X65" s="40"/>
      <c r="Y65" s="40"/>
      <c r="Z65" s="40"/>
      <c r="AA65" s="2"/>
      <c r="AB65" s="40"/>
      <c r="AC65" s="40"/>
      <c r="AD65" s="40"/>
      <c r="AE65" s="42"/>
      <c r="AF65" s="42"/>
      <c r="AG65" s="42"/>
    </row>
    <row r="66" spans="1:33" ht="15.75" customHeight="1" x14ac:dyDescent="0.2">
      <c r="A66" s="40"/>
      <c r="B66" s="40"/>
      <c r="C66" s="46"/>
      <c r="D66" s="15"/>
      <c r="E66" s="15"/>
      <c r="F66" s="16"/>
      <c r="G66" s="16"/>
      <c r="H66" s="16"/>
      <c r="I66" s="15"/>
      <c r="J66" s="15"/>
      <c r="K66" s="15"/>
      <c r="L66" s="15"/>
      <c r="M66" s="18"/>
      <c r="N66" s="15"/>
      <c r="O66" s="15"/>
      <c r="P66" s="15"/>
      <c r="Q66" s="15"/>
      <c r="R66" s="15"/>
      <c r="S66" s="41"/>
      <c r="T66" s="40"/>
      <c r="U66" s="22"/>
      <c r="V66" s="1"/>
      <c r="W66" s="40"/>
      <c r="X66" s="40"/>
      <c r="Y66" s="40"/>
      <c r="Z66" s="40"/>
      <c r="AA66" s="2"/>
      <c r="AB66" s="40"/>
      <c r="AC66" s="40"/>
      <c r="AD66" s="40"/>
      <c r="AE66" s="42"/>
      <c r="AF66" s="42"/>
      <c r="AG66" s="42"/>
    </row>
    <row r="67" spans="1:33" ht="15.75" customHeight="1" x14ac:dyDescent="0.2">
      <c r="A67" s="40"/>
      <c r="B67" s="40"/>
      <c r="C67" s="46"/>
      <c r="D67" s="15"/>
      <c r="E67" s="15"/>
      <c r="F67" s="16"/>
      <c r="G67" s="16"/>
      <c r="H67" s="16"/>
      <c r="I67" s="15"/>
      <c r="J67" s="15"/>
      <c r="K67" s="15"/>
      <c r="L67" s="15"/>
      <c r="M67" s="18"/>
      <c r="N67" s="15"/>
      <c r="O67" s="15"/>
      <c r="P67" s="15"/>
      <c r="Q67" s="15"/>
      <c r="R67" s="15"/>
      <c r="S67" s="41"/>
      <c r="T67" s="40"/>
      <c r="U67" s="22"/>
      <c r="V67" s="1"/>
      <c r="W67" s="40"/>
      <c r="X67" s="40"/>
      <c r="Y67" s="40"/>
      <c r="Z67" s="40"/>
      <c r="AA67" s="2"/>
      <c r="AB67" s="40"/>
      <c r="AC67" s="40"/>
      <c r="AD67" s="40"/>
      <c r="AE67" s="42"/>
      <c r="AF67" s="42"/>
      <c r="AG67" s="42"/>
    </row>
    <row r="68" spans="1:33" ht="15.75" customHeight="1" x14ac:dyDescent="0.2">
      <c r="A68" s="40"/>
      <c r="B68" s="40"/>
      <c r="C68" s="46"/>
      <c r="D68" s="15"/>
      <c r="E68" s="15"/>
      <c r="F68" s="16"/>
      <c r="G68" s="16"/>
      <c r="H68" s="16"/>
      <c r="I68" s="15"/>
      <c r="J68" s="15"/>
      <c r="K68" s="15"/>
      <c r="L68" s="15"/>
      <c r="M68" s="18"/>
      <c r="N68" s="15"/>
      <c r="O68" s="15"/>
      <c r="P68" s="15"/>
      <c r="Q68" s="15"/>
      <c r="R68" s="15"/>
      <c r="S68" s="41"/>
      <c r="T68" s="40"/>
      <c r="U68" s="22"/>
      <c r="V68" s="1"/>
      <c r="W68" s="40"/>
      <c r="X68" s="40"/>
      <c r="Y68" s="40"/>
      <c r="Z68" s="40"/>
      <c r="AA68" s="2"/>
      <c r="AB68" s="40"/>
      <c r="AC68" s="40"/>
      <c r="AD68" s="40"/>
      <c r="AE68" s="42"/>
      <c r="AF68" s="42"/>
      <c r="AG68" s="42"/>
    </row>
    <row r="69" spans="1:33" ht="15.75" customHeight="1" x14ac:dyDescent="0.2">
      <c r="A69" s="40"/>
      <c r="B69" s="40"/>
      <c r="C69" s="46"/>
      <c r="D69" s="15"/>
      <c r="E69" s="15"/>
      <c r="F69" s="16"/>
      <c r="G69" s="16"/>
      <c r="H69" s="16"/>
      <c r="I69" s="15"/>
      <c r="J69" s="15"/>
      <c r="K69" s="15"/>
      <c r="L69" s="15"/>
      <c r="M69" s="18"/>
      <c r="N69" s="15"/>
      <c r="O69" s="15"/>
      <c r="P69" s="15"/>
      <c r="Q69" s="15"/>
      <c r="R69" s="15"/>
      <c r="S69" s="41"/>
      <c r="T69" s="40"/>
      <c r="U69" s="22"/>
      <c r="V69" s="1"/>
      <c r="W69" s="40"/>
      <c r="X69" s="40"/>
      <c r="Y69" s="40"/>
      <c r="Z69" s="40"/>
      <c r="AA69" s="2"/>
      <c r="AB69" s="40"/>
      <c r="AC69" s="40"/>
      <c r="AD69" s="40"/>
      <c r="AE69" s="42"/>
      <c r="AF69" s="42"/>
      <c r="AG69" s="42"/>
    </row>
    <row r="70" spans="1:33" ht="15.75" customHeight="1" x14ac:dyDescent="0.2">
      <c r="A70" s="40"/>
      <c r="B70" s="40"/>
      <c r="C70" s="46"/>
      <c r="D70" s="15"/>
      <c r="E70" s="15"/>
      <c r="F70" s="16"/>
      <c r="G70" s="16"/>
      <c r="H70" s="16"/>
      <c r="I70" s="15"/>
      <c r="J70" s="15"/>
      <c r="K70" s="15"/>
      <c r="L70" s="15"/>
      <c r="M70" s="18"/>
      <c r="N70" s="15"/>
      <c r="O70" s="15"/>
      <c r="P70" s="15"/>
      <c r="Q70" s="15"/>
      <c r="R70" s="15"/>
      <c r="S70" s="41"/>
      <c r="T70" s="40"/>
      <c r="U70" s="22"/>
      <c r="V70" s="1"/>
      <c r="W70" s="40"/>
      <c r="X70" s="40"/>
      <c r="Y70" s="40"/>
      <c r="Z70" s="40"/>
      <c r="AA70" s="2"/>
      <c r="AB70" s="40"/>
      <c r="AC70" s="40"/>
      <c r="AD70" s="40"/>
      <c r="AE70" s="42"/>
      <c r="AF70" s="42"/>
      <c r="AG70" s="42"/>
    </row>
    <row r="71" spans="1:33" ht="15.75" customHeight="1" x14ac:dyDescent="0.2">
      <c r="A71" s="40"/>
      <c r="B71" s="40"/>
      <c r="C71" s="46"/>
      <c r="D71" s="15"/>
      <c r="E71" s="15"/>
      <c r="F71" s="16"/>
      <c r="G71" s="16"/>
      <c r="H71" s="16"/>
      <c r="I71" s="15"/>
      <c r="J71" s="15"/>
      <c r="K71" s="15"/>
      <c r="L71" s="15"/>
      <c r="M71" s="18"/>
      <c r="N71" s="15"/>
      <c r="O71" s="15"/>
      <c r="P71" s="15"/>
      <c r="Q71" s="15"/>
      <c r="R71" s="15"/>
      <c r="S71" s="41"/>
      <c r="T71" s="40"/>
      <c r="U71" s="22"/>
      <c r="V71" s="1"/>
      <c r="W71" s="40"/>
      <c r="X71" s="40"/>
      <c r="Y71" s="40"/>
      <c r="Z71" s="40"/>
      <c r="AA71" s="2"/>
      <c r="AB71" s="40"/>
      <c r="AC71" s="40"/>
      <c r="AD71" s="40"/>
      <c r="AE71" s="42"/>
      <c r="AF71" s="42"/>
      <c r="AG71" s="42"/>
    </row>
    <row r="72" spans="1:33" ht="15.75" customHeight="1" x14ac:dyDescent="0.2">
      <c r="A72" s="40"/>
      <c r="B72" s="40"/>
      <c r="C72" s="46"/>
      <c r="D72" s="15"/>
      <c r="E72" s="15"/>
      <c r="F72" s="16"/>
      <c r="G72" s="16"/>
      <c r="H72" s="16"/>
      <c r="I72" s="15"/>
      <c r="J72" s="15"/>
      <c r="K72" s="15"/>
      <c r="L72" s="15"/>
      <c r="M72" s="18"/>
      <c r="N72" s="15"/>
      <c r="O72" s="15"/>
      <c r="P72" s="15"/>
      <c r="Q72" s="15"/>
      <c r="R72" s="15"/>
      <c r="S72" s="41"/>
      <c r="T72" s="40"/>
      <c r="U72" s="22"/>
      <c r="V72" s="1"/>
      <c r="W72" s="40"/>
      <c r="X72" s="40"/>
      <c r="Y72" s="40"/>
      <c r="Z72" s="40"/>
      <c r="AA72" s="2"/>
      <c r="AB72" s="40"/>
      <c r="AC72" s="40"/>
      <c r="AD72" s="40"/>
      <c r="AE72" s="42"/>
      <c r="AF72" s="42"/>
      <c r="AG72" s="42"/>
    </row>
    <row r="73" spans="1:33" ht="15.75" customHeight="1" x14ac:dyDescent="0.2">
      <c r="A73" s="40"/>
      <c r="B73" s="40"/>
      <c r="C73" s="46"/>
      <c r="D73" s="15"/>
      <c r="E73" s="15"/>
      <c r="F73" s="16"/>
      <c r="G73" s="16"/>
      <c r="H73" s="16"/>
      <c r="I73" s="15"/>
      <c r="J73" s="15"/>
      <c r="K73" s="15"/>
      <c r="L73" s="15"/>
      <c r="M73" s="18"/>
      <c r="N73" s="15"/>
      <c r="O73" s="15"/>
      <c r="P73" s="15"/>
      <c r="Q73" s="15"/>
      <c r="R73" s="15"/>
      <c r="S73" s="41"/>
      <c r="T73" s="40"/>
      <c r="U73" s="22"/>
      <c r="V73" s="1"/>
      <c r="W73" s="40"/>
      <c r="X73" s="40"/>
      <c r="Y73" s="40"/>
      <c r="Z73" s="40"/>
      <c r="AA73" s="2"/>
      <c r="AB73" s="40"/>
      <c r="AC73" s="40"/>
      <c r="AD73" s="40"/>
      <c r="AE73" s="42"/>
      <c r="AF73" s="42"/>
      <c r="AG73" s="42"/>
    </row>
    <row r="74" spans="1:33" ht="15.75" customHeight="1" x14ac:dyDescent="0.2">
      <c r="A74" s="40"/>
      <c r="B74" s="40"/>
      <c r="C74" s="46"/>
      <c r="D74" s="15"/>
      <c r="E74" s="15"/>
      <c r="F74" s="16"/>
      <c r="G74" s="16"/>
      <c r="H74" s="16"/>
      <c r="I74" s="15"/>
      <c r="J74" s="15"/>
      <c r="K74" s="15"/>
      <c r="L74" s="15"/>
      <c r="M74" s="18"/>
      <c r="N74" s="15"/>
      <c r="O74" s="15"/>
      <c r="P74" s="15"/>
      <c r="Q74" s="15"/>
      <c r="R74" s="15"/>
      <c r="S74" s="41"/>
      <c r="T74" s="40"/>
      <c r="U74" s="22"/>
      <c r="V74" s="1"/>
      <c r="W74" s="40"/>
      <c r="X74" s="40"/>
      <c r="Y74" s="40"/>
      <c r="Z74" s="40"/>
      <c r="AA74" s="2"/>
      <c r="AB74" s="40"/>
      <c r="AC74" s="40"/>
      <c r="AD74" s="40"/>
      <c r="AE74" s="42"/>
      <c r="AF74" s="42"/>
      <c r="AG74" s="42"/>
    </row>
    <row r="75" spans="1:33" ht="15.75" customHeight="1" x14ac:dyDescent="0.2">
      <c r="A75" s="40"/>
      <c r="B75" s="40"/>
      <c r="C75" s="46"/>
      <c r="D75" s="15"/>
      <c r="E75" s="15"/>
      <c r="F75" s="16"/>
      <c r="G75" s="16"/>
      <c r="H75" s="16"/>
      <c r="I75" s="15"/>
      <c r="J75" s="15"/>
      <c r="K75" s="15"/>
      <c r="L75" s="15"/>
      <c r="M75" s="18"/>
      <c r="N75" s="15"/>
      <c r="O75" s="15"/>
      <c r="P75" s="15"/>
      <c r="Q75" s="15"/>
      <c r="R75" s="15"/>
      <c r="S75" s="41"/>
      <c r="T75" s="40"/>
      <c r="U75" s="22"/>
      <c r="V75" s="1"/>
      <c r="W75" s="40"/>
      <c r="X75" s="40"/>
      <c r="Y75" s="40"/>
      <c r="Z75" s="40"/>
      <c r="AA75" s="2"/>
      <c r="AB75" s="40"/>
      <c r="AC75" s="40"/>
      <c r="AD75" s="40"/>
      <c r="AE75" s="42"/>
      <c r="AF75" s="42"/>
      <c r="AG75" s="42"/>
    </row>
    <row r="76" spans="1:33" ht="15.75" customHeight="1" x14ac:dyDescent="0.2">
      <c r="A76" s="40"/>
      <c r="B76" s="40"/>
      <c r="C76" s="46"/>
      <c r="D76" s="15"/>
      <c r="E76" s="15"/>
      <c r="F76" s="16"/>
      <c r="G76" s="16"/>
      <c r="H76" s="16"/>
      <c r="I76" s="15"/>
      <c r="J76" s="15"/>
      <c r="K76" s="15"/>
      <c r="L76" s="15"/>
      <c r="M76" s="18"/>
      <c r="N76" s="15"/>
      <c r="O76" s="15"/>
      <c r="P76" s="15"/>
      <c r="Q76" s="15"/>
      <c r="R76" s="15"/>
      <c r="S76" s="41"/>
      <c r="T76" s="40"/>
      <c r="U76" s="22"/>
      <c r="V76" s="1"/>
      <c r="W76" s="40"/>
      <c r="X76" s="40"/>
      <c r="Y76" s="40"/>
      <c r="Z76" s="40"/>
      <c r="AA76" s="2"/>
      <c r="AB76" s="40"/>
      <c r="AC76" s="40"/>
      <c r="AD76" s="40"/>
      <c r="AE76" s="42"/>
      <c r="AF76" s="42"/>
      <c r="AG76" s="42"/>
    </row>
    <row r="77" spans="1:33" ht="15.75" customHeight="1" x14ac:dyDescent="0.2">
      <c r="A77" s="40"/>
      <c r="B77" s="40"/>
      <c r="C77" s="46"/>
      <c r="D77" s="15"/>
      <c r="E77" s="15"/>
      <c r="F77" s="16"/>
      <c r="G77" s="16"/>
      <c r="H77" s="16"/>
      <c r="I77" s="15"/>
      <c r="J77" s="15"/>
      <c r="K77" s="15"/>
      <c r="L77" s="15"/>
      <c r="M77" s="18"/>
      <c r="N77" s="15"/>
      <c r="O77" s="15"/>
      <c r="P77" s="15"/>
      <c r="Q77" s="15"/>
      <c r="R77" s="15"/>
      <c r="S77" s="41"/>
      <c r="T77" s="40"/>
      <c r="U77" s="22"/>
      <c r="V77" s="1"/>
      <c r="W77" s="40"/>
      <c r="X77" s="40"/>
      <c r="Y77" s="40"/>
      <c r="Z77" s="40"/>
      <c r="AA77" s="2"/>
      <c r="AB77" s="40"/>
      <c r="AC77" s="40"/>
      <c r="AD77" s="40"/>
      <c r="AE77" s="42"/>
      <c r="AF77" s="42"/>
      <c r="AG77" s="42"/>
    </row>
    <row r="78" spans="1:33" ht="15.75" customHeight="1" x14ac:dyDescent="0.2">
      <c r="A78" s="40"/>
      <c r="B78" s="40"/>
      <c r="C78" s="46"/>
      <c r="D78" s="15"/>
      <c r="E78" s="15"/>
      <c r="F78" s="16"/>
      <c r="G78" s="16"/>
      <c r="H78" s="16"/>
      <c r="I78" s="15"/>
      <c r="J78" s="15"/>
      <c r="K78" s="15"/>
      <c r="L78" s="15"/>
      <c r="M78" s="18"/>
      <c r="N78" s="15"/>
      <c r="O78" s="15"/>
      <c r="P78" s="15"/>
      <c r="Q78" s="15"/>
      <c r="R78" s="15"/>
      <c r="S78" s="41"/>
      <c r="T78" s="40"/>
      <c r="U78" s="22"/>
      <c r="V78" s="1"/>
      <c r="W78" s="40"/>
      <c r="X78" s="40"/>
      <c r="Y78" s="40"/>
      <c r="Z78" s="40"/>
      <c r="AA78" s="2"/>
      <c r="AB78" s="40"/>
      <c r="AC78" s="40"/>
      <c r="AD78" s="40"/>
      <c r="AE78" s="42"/>
      <c r="AF78" s="42"/>
      <c r="AG78" s="42"/>
    </row>
    <row r="79" spans="1:33" ht="15.75" customHeight="1" x14ac:dyDescent="0.2">
      <c r="A79" s="40"/>
      <c r="B79" s="40"/>
      <c r="C79" s="46"/>
      <c r="D79" s="15"/>
      <c r="E79" s="15"/>
      <c r="F79" s="16"/>
      <c r="G79" s="16"/>
      <c r="H79" s="16"/>
      <c r="I79" s="15"/>
      <c r="J79" s="15"/>
      <c r="K79" s="15"/>
      <c r="L79" s="15"/>
      <c r="M79" s="18"/>
      <c r="N79" s="15"/>
      <c r="O79" s="15"/>
      <c r="P79" s="15"/>
      <c r="Q79" s="15"/>
      <c r="R79" s="15"/>
      <c r="S79" s="41"/>
      <c r="T79" s="40"/>
      <c r="U79" s="22"/>
      <c r="V79" s="1"/>
      <c r="W79" s="40"/>
      <c r="X79" s="40"/>
      <c r="Y79" s="40"/>
      <c r="Z79" s="40"/>
      <c r="AA79" s="2"/>
      <c r="AB79" s="40"/>
      <c r="AC79" s="40"/>
      <c r="AD79" s="40"/>
      <c r="AE79" s="42"/>
      <c r="AF79" s="42"/>
      <c r="AG79" s="42"/>
    </row>
    <row r="80" spans="1:33" ht="15.75" customHeight="1" x14ac:dyDescent="0.2">
      <c r="A80" s="40"/>
      <c r="B80" s="40"/>
      <c r="C80" s="46"/>
      <c r="D80" s="15"/>
      <c r="E80" s="15"/>
      <c r="F80" s="16"/>
      <c r="G80" s="16"/>
      <c r="H80" s="16"/>
      <c r="I80" s="15"/>
      <c r="J80" s="15"/>
      <c r="K80" s="15"/>
      <c r="L80" s="15"/>
      <c r="M80" s="18"/>
      <c r="N80" s="15"/>
      <c r="O80" s="15"/>
      <c r="P80" s="15"/>
      <c r="Q80" s="15"/>
      <c r="R80" s="15"/>
      <c r="S80" s="41"/>
      <c r="T80" s="40"/>
      <c r="U80" s="22"/>
      <c r="V80" s="1"/>
      <c r="W80" s="40"/>
      <c r="X80" s="40"/>
      <c r="Y80" s="40"/>
      <c r="Z80" s="40"/>
      <c r="AA80" s="2"/>
      <c r="AB80" s="40"/>
      <c r="AC80" s="40"/>
      <c r="AD80" s="40"/>
      <c r="AE80" s="42"/>
      <c r="AF80" s="42"/>
      <c r="AG80" s="42"/>
    </row>
    <row r="81" spans="1:33" ht="15.75" customHeight="1" x14ac:dyDescent="0.2">
      <c r="A81" s="40"/>
      <c r="B81" s="40"/>
      <c r="C81" s="46"/>
      <c r="D81" s="15"/>
      <c r="E81" s="15"/>
      <c r="F81" s="16"/>
      <c r="G81" s="16"/>
      <c r="H81" s="16"/>
      <c r="I81" s="15"/>
      <c r="J81" s="15"/>
      <c r="K81" s="15"/>
      <c r="L81" s="15"/>
      <c r="M81" s="18"/>
      <c r="N81" s="15"/>
      <c r="O81" s="15"/>
      <c r="P81" s="15"/>
      <c r="Q81" s="15"/>
      <c r="R81" s="15"/>
      <c r="S81" s="41"/>
      <c r="T81" s="40"/>
      <c r="U81" s="22"/>
      <c r="V81" s="1"/>
      <c r="W81" s="40"/>
      <c r="X81" s="40"/>
      <c r="Y81" s="40"/>
      <c r="Z81" s="40"/>
      <c r="AA81" s="2"/>
      <c r="AB81" s="40"/>
      <c r="AC81" s="40"/>
      <c r="AD81" s="40"/>
      <c r="AE81" s="42"/>
      <c r="AF81" s="42"/>
      <c r="AG81" s="42"/>
    </row>
    <row r="82" spans="1:33" ht="15.75" customHeight="1" x14ac:dyDescent="0.2">
      <c r="A82" s="40"/>
      <c r="B82" s="40"/>
      <c r="C82" s="46"/>
      <c r="D82" s="15"/>
      <c r="E82" s="15"/>
      <c r="F82" s="16"/>
      <c r="G82" s="16"/>
      <c r="H82" s="16"/>
      <c r="I82" s="15"/>
      <c r="J82" s="15"/>
      <c r="K82" s="15"/>
      <c r="L82" s="15"/>
      <c r="M82" s="18"/>
      <c r="N82" s="15"/>
      <c r="O82" s="15"/>
      <c r="P82" s="15"/>
      <c r="Q82" s="15"/>
      <c r="R82" s="15"/>
      <c r="S82" s="41"/>
      <c r="T82" s="40"/>
      <c r="U82" s="22"/>
      <c r="V82" s="1"/>
      <c r="W82" s="40"/>
      <c r="X82" s="40"/>
      <c r="Y82" s="40"/>
      <c r="Z82" s="40"/>
      <c r="AA82" s="2"/>
      <c r="AB82" s="40"/>
      <c r="AC82" s="40"/>
      <c r="AD82" s="40"/>
      <c r="AE82" s="42"/>
      <c r="AF82" s="42"/>
      <c r="AG82" s="42"/>
    </row>
    <row r="83" spans="1:33" ht="15.75" customHeight="1" x14ac:dyDescent="0.2">
      <c r="A83" s="40"/>
      <c r="B83" s="40"/>
      <c r="C83" s="46"/>
      <c r="D83" s="15"/>
      <c r="E83" s="15"/>
      <c r="F83" s="16"/>
      <c r="G83" s="16"/>
      <c r="H83" s="16"/>
      <c r="I83" s="15"/>
      <c r="J83" s="15"/>
      <c r="K83" s="15"/>
      <c r="L83" s="15"/>
      <c r="M83" s="18"/>
      <c r="N83" s="15"/>
      <c r="O83" s="15"/>
      <c r="P83" s="15"/>
      <c r="Q83" s="15"/>
      <c r="R83" s="15"/>
      <c r="S83" s="41"/>
      <c r="T83" s="40"/>
      <c r="U83" s="22"/>
      <c r="V83" s="1"/>
      <c r="W83" s="40"/>
      <c r="X83" s="40"/>
      <c r="Y83" s="40"/>
      <c r="Z83" s="40"/>
      <c r="AA83" s="2"/>
      <c r="AB83" s="40"/>
      <c r="AC83" s="40"/>
      <c r="AD83" s="40"/>
      <c r="AE83" s="42"/>
      <c r="AF83" s="42"/>
      <c r="AG83" s="42"/>
    </row>
    <row r="84" spans="1:33" ht="15.75" customHeight="1" x14ac:dyDescent="0.2">
      <c r="A84" s="40"/>
      <c r="B84" s="40"/>
      <c r="C84" s="46"/>
      <c r="D84" s="15"/>
      <c r="E84" s="15"/>
      <c r="F84" s="16"/>
      <c r="G84" s="16"/>
      <c r="H84" s="16"/>
      <c r="I84" s="15"/>
      <c r="J84" s="15"/>
      <c r="K84" s="15"/>
      <c r="L84" s="15"/>
      <c r="M84" s="18"/>
      <c r="N84" s="15"/>
      <c r="O84" s="15"/>
      <c r="P84" s="15"/>
      <c r="Q84" s="15"/>
      <c r="R84" s="15"/>
      <c r="S84" s="41"/>
      <c r="T84" s="40"/>
      <c r="U84" s="22"/>
      <c r="V84" s="1"/>
      <c r="W84" s="40"/>
      <c r="X84" s="40"/>
      <c r="Y84" s="40"/>
      <c r="Z84" s="40"/>
      <c r="AA84" s="2"/>
      <c r="AB84" s="40"/>
      <c r="AC84" s="40"/>
      <c r="AD84" s="40"/>
      <c r="AE84" s="42"/>
      <c r="AF84" s="42"/>
      <c r="AG84" s="42"/>
    </row>
    <row r="85" spans="1:33" ht="15.75" customHeight="1" x14ac:dyDescent="0.2">
      <c r="A85" s="40"/>
      <c r="B85" s="40"/>
      <c r="C85" s="46"/>
      <c r="D85" s="15"/>
      <c r="E85" s="15"/>
      <c r="F85" s="16"/>
      <c r="G85" s="16"/>
      <c r="H85" s="16"/>
      <c r="I85" s="15"/>
      <c r="J85" s="15"/>
      <c r="K85" s="15"/>
      <c r="L85" s="15"/>
      <c r="M85" s="18"/>
      <c r="N85" s="15"/>
      <c r="O85" s="15"/>
      <c r="P85" s="15"/>
      <c r="Q85" s="15"/>
      <c r="R85" s="15"/>
      <c r="S85" s="41"/>
      <c r="T85" s="40"/>
      <c r="U85" s="22"/>
      <c r="V85" s="1"/>
      <c r="W85" s="40"/>
      <c r="X85" s="40"/>
      <c r="Y85" s="40"/>
      <c r="Z85" s="40"/>
      <c r="AA85" s="2"/>
      <c r="AB85" s="40"/>
      <c r="AC85" s="40"/>
      <c r="AD85" s="40"/>
      <c r="AE85" s="42"/>
      <c r="AF85" s="42"/>
      <c r="AG85" s="42"/>
    </row>
    <row r="86" spans="1:33" ht="15.75" customHeight="1" x14ac:dyDescent="0.2">
      <c r="A86" s="40"/>
      <c r="B86" s="40"/>
      <c r="C86" s="46"/>
      <c r="D86" s="15"/>
      <c r="E86" s="15"/>
      <c r="F86" s="16"/>
      <c r="G86" s="16"/>
      <c r="H86" s="16"/>
      <c r="I86" s="15"/>
      <c r="J86" s="15"/>
      <c r="K86" s="15"/>
      <c r="L86" s="15"/>
      <c r="M86" s="18"/>
      <c r="N86" s="15"/>
      <c r="O86" s="15"/>
      <c r="P86" s="15"/>
      <c r="Q86" s="15"/>
      <c r="R86" s="15"/>
      <c r="S86" s="41"/>
      <c r="T86" s="40"/>
      <c r="U86" s="22"/>
      <c r="V86" s="1"/>
      <c r="W86" s="40"/>
      <c r="X86" s="40"/>
      <c r="Y86" s="40"/>
      <c r="Z86" s="40"/>
      <c r="AA86" s="2"/>
      <c r="AB86" s="40"/>
      <c r="AC86" s="40"/>
      <c r="AD86" s="40"/>
      <c r="AE86" s="42"/>
      <c r="AF86" s="42"/>
      <c r="AG86" s="42"/>
    </row>
    <row r="87" spans="1:33" ht="15.75" customHeight="1" x14ac:dyDescent="0.2">
      <c r="A87" s="40"/>
      <c r="B87" s="40"/>
      <c r="C87" s="46"/>
      <c r="D87" s="15"/>
      <c r="E87" s="15"/>
      <c r="F87" s="16"/>
      <c r="G87" s="16"/>
      <c r="H87" s="16"/>
      <c r="I87" s="15"/>
      <c r="J87" s="15"/>
      <c r="K87" s="15"/>
      <c r="L87" s="15"/>
      <c r="M87" s="18"/>
      <c r="N87" s="15"/>
      <c r="O87" s="15"/>
      <c r="P87" s="15"/>
      <c r="Q87" s="15"/>
      <c r="R87" s="15"/>
      <c r="S87" s="41"/>
      <c r="T87" s="40"/>
      <c r="U87" s="22"/>
      <c r="V87" s="1"/>
      <c r="W87" s="40"/>
      <c r="X87" s="40"/>
      <c r="Y87" s="40"/>
      <c r="Z87" s="40"/>
      <c r="AA87" s="2"/>
      <c r="AB87" s="40"/>
      <c r="AC87" s="40"/>
      <c r="AD87" s="40"/>
      <c r="AE87" s="42"/>
      <c r="AF87" s="42"/>
      <c r="AG87" s="42"/>
    </row>
    <row r="88" spans="1:33" ht="15.75" customHeight="1" x14ac:dyDescent="0.2">
      <c r="A88" s="40"/>
      <c r="B88" s="40"/>
      <c r="C88" s="46"/>
      <c r="D88" s="15"/>
      <c r="E88" s="15"/>
      <c r="F88" s="16"/>
      <c r="G88" s="16"/>
      <c r="H88" s="16"/>
      <c r="I88" s="15"/>
      <c r="J88" s="15"/>
      <c r="K88" s="15"/>
      <c r="L88" s="15"/>
      <c r="M88" s="18"/>
      <c r="N88" s="15"/>
      <c r="O88" s="15"/>
      <c r="P88" s="15"/>
      <c r="Q88" s="15"/>
      <c r="R88" s="15"/>
      <c r="S88" s="41"/>
      <c r="T88" s="40"/>
      <c r="U88" s="22"/>
      <c r="V88" s="1"/>
      <c r="W88" s="40"/>
      <c r="X88" s="40"/>
      <c r="Y88" s="40"/>
      <c r="Z88" s="40"/>
      <c r="AA88" s="2"/>
      <c r="AB88" s="40"/>
      <c r="AC88" s="40"/>
      <c r="AD88" s="40"/>
      <c r="AE88" s="42"/>
      <c r="AF88" s="42"/>
      <c r="AG88" s="42"/>
    </row>
    <row r="89" spans="1:33" ht="15.75" customHeight="1" x14ac:dyDescent="0.2">
      <c r="A89" s="40"/>
      <c r="B89" s="40"/>
      <c r="C89" s="46"/>
      <c r="D89" s="15"/>
      <c r="E89" s="15"/>
      <c r="F89" s="16"/>
      <c r="G89" s="16"/>
      <c r="H89" s="16"/>
      <c r="I89" s="15"/>
      <c r="J89" s="15"/>
      <c r="K89" s="15"/>
      <c r="L89" s="15"/>
      <c r="M89" s="18"/>
      <c r="N89" s="15"/>
      <c r="O89" s="15"/>
      <c r="P89" s="15"/>
      <c r="Q89" s="15"/>
      <c r="R89" s="15"/>
      <c r="S89" s="41"/>
      <c r="T89" s="40"/>
      <c r="U89" s="22"/>
      <c r="V89" s="1"/>
      <c r="W89" s="40"/>
      <c r="X89" s="40"/>
      <c r="Y89" s="40"/>
      <c r="Z89" s="40"/>
      <c r="AA89" s="2"/>
      <c r="AB89" s="40"/>
      <c r="AC89" s="40"/>
      <c r="AD89" s="40"/>
      <c r="AE89" s="42"/>
      <c r="AF89" s="42"/>
      <c r="AG89" s="42"/>
    </row>
    <row r="90" spans="1:33" ht="15.75" customHeight="1" x14ac:dyDescent="0.2">
      <c r="A90" s="40"/>
      <c r="B90" s="40"/>
      <c r="C90" s="46"/>
      <c r="D90" s="15"/>
      <c r="E90" s="15"/>
      <c r="F90" s="16"/>
      <c r="G90" s="16"/>
      <c r="H90" s="16"/>
      <c r="I90" s="15"/>
      <c r="J90" s="15"/>
      <c r="K90" s="15"/>
      <c r="L90" s="15"/>
      <c r="M90" s="18"/>
      <c r="N90" s="15"/>
      <c r="O90" s="15"/>
      <c r="P90" s="15"/>
      <c r="Q90" s="15"/>
      <c r="R90" s="15"/>
      <c r="S90" s="41"/>
      <c r="T90" s="40"/>
      <c r="U90" s="22"/>
      <c r="V90" s="1"/>
      <c r="W90" s="40"/>
      <c r="X90" s="40"/>
      <c r="Y90" s="40"/>
      <c r="Z90" s="40"/>
      <c r="AA90" s="2"/>
      <c r="AB90" s="40"/>
      <c r="AC90" s="40"/>
      <c r="AD90" s="40"/>
      <c r="AE90" s="42"/>
      <c r="AF90" s="42"/>
      <c r="AG90" s="42"/>
    </row>
    <row r="91" spans="1:33" ht="15.75" customHeight="1" x14ac:dyDescent="0.2">
      <c r="A91" s="40"/>
      <c r="B91" s="40"/>
      <c r="C91" s="46"/>
      <c r="D91" s="15"/>
      <c r="E91" s="15"/>
      <c r="F91" s="16"/>
      <c r="G91" s="16"/>
      <c r="H91" s="16"/>
      <c r="I91" s="15"/>
      <c r="J91" s="15"/>
      <c r="K91" s="15"/>
      <c r="L91" s="15"/>
      <c r="M91" s="18"/>
      <c r="N91" s="15"/>
      <c r="O91" s="15"/>
      <c r="P91" s="15"/>
      <c r="Q91" s="15"/>
      <c r="R91" s="15"/>
      <c r="S91" s="41"/>
      <c r="T91" s="40"/>
      <c r="U91" s="22"/>
      <c r="V91" s="1"/>
      <c r="W91" s="40"/>
      <c r="X91" s="40"/>
      <c r="Y91" s="40"/>
      <c r="Z91" s="40"/>
      <c r="AA91" s="2"/>
      <c r="AB91" s="40"/>
      <c r="AC91" s="40"/>
      <c r="AD91" s="40"/>
      <c r="AE91" s="42"/>
      <c r="AF91" s="42"/>
      <c r="AG91" s="42"/>
    </row>
    <row r="92" spans="1:33" ht="15.75" customHeight="1" x14ac:dyDescent="0.2">
      <c r="A92" s="40"/>
      <c r="B92" s="40"/>
      <c r="C92" s="46"/>
      <c r="D92" s="15"/>
      <c r="E92" s="15"/>
      <c r="F92" s="16"/>
      <c r="G92" s="16"/>
      <c r="H92" s="16"/>
      <c r="I92" s="15"/>
      <c r="J92" s="15"/>
      <c r="K92" s="15"/>
      <c r="L92" s="15"/>
      <c r="M92" s="18"/>
      <c r="N92" s="15"/>
      <c r="O92" s="15"/>
      <c r="P92" s="15"/>
      <c r="Q92" s="15"/>
      <c r="R92" s="15"/>
      <c r="S92" s="41"/>
      <c r="T92" s="40"/>
      <c r="U92" s="22"/>
      <c r="V92" s="1"/>
      <c r="W92" s="40"/>
      <c r="X92" s="40"/>
      <c r="Y92" s="40"/>
      <c r="Z92" s="40"/>
      <c r="AA92" s="2"/>
      <c r="AB92" s="40"/>
      <c r="AC92" s="40"/>
      <c r="AD92" s="40"/>
      <c r="AE92" s="42"/>
      <c r="AF92" s="42"/>
      <c r="AG92" s="42"/>
    </row>
    <row r="93" spans="1:33" ht="15.75" customHeight="1" x14ac:dyDescent="0.2">
      <c r="A93" s="40"/>
      <c r="B93" s="40"/>
      <c r="C93" s="46"/>
      <c r="D93" s="15"/>
      <c r="E93" s="15"/>
      <c r="F93" s="16"/>
      <c r="G93" s="16"/>
      <c r="H93" s="16"/>
      <c r="I93" s="15"/>
      <c r="J93" s="15"/>
      <c r="K93" s="15"/>
      <c r="L93" s="15"/>
      <c r="M93" s="18"/>
      <c r="N93" s="15"/>
      <c r="O93" s="15"/>
      <c r="P93" s="15"/>
      <c r="Q93" s="15"/>
      <c r="R93" s="15"/>
      <c r="S93" s="41"/>
      <c r="T93" s="40"/>
      <c r="U93" s="22"/>
      <c r="V93" s="1"/>
      <c r="W93" s="40"/>
      <c r="X93" s="40"/>
      <c r="Y93" s="40"/>
      <c r="Z93" s="40"/>
      <c r="AA93" s="2"/>
      <c r="AB93" s="40"/>
      <c r="AC93" s="40"/>
      <c r="AD93" s="40"/>
      <c r="AE93" s="42"/>
      <c r="AF93" s="42"/>
      <c r="AG93" s="42"/>
    </row>
    <row r="94" spans="1:33" ht="15.75" customHeight="1" x14ac:dyDescent="0.2">
      <c r="A94" s="40"/>
      <c r="B94" s="40"/>
      <c r="C94" s="46"/>
      <c r="D94" s="15"/>
      <c r="E94" s="15"/>
      <c r="F94" s="16"/>
      <c r="G94" s="16"/>
      <c r="H94" s="16"/>
      <c r="I94" s="15"/>
      <c r="J94" s="15"/>
      <c r="K94" s="15"/>
      <c r="L94" s="15"/>
      <c r="M94" s="18"/>
      <c r="N94" s="15"/>
      <c r="O94" s="15"/>
      <c r="P94" s="15"/>
      <c r="Q94" s="15"/>
      <c r="R94" s="15"/>
      <c r="S94" s="41"/>
      <c r="T94" s="40"/>
      <c r="U94" s="22"/>
      <c r="V94" s="1"/>
      <c r="W94" s="40"/>
      <c r="X94" s="40"/>
      <c r="Y94" s="40"/>
      <c r="Z94" s="40"/>
      <c r="AA94" s="2"/>
      <c r="AB94" s="40"/>
      <c r="AC94" s="40"/>
      <c r="AD94" s="40"/>
      <c r="AE94" s="42"/>
      <c r="AF94" s="42"/>
      <c r="AG94" s="42"/>
    </row>
    <row r="95" spans="1:33" ht="15.75" customHeight="1" x14ac:dyDescent="0.2">
      <c r="A95" s="40"/>
      <c r="B95" s="40"/>
      <c r="C95" s="46"/>
      <c r="D95" s="15"/>
      <c r="E95" s="15"/>
      <c r="F95" s="16"/>
      <c r="G95" s="16"/>
      <c r="H95" s="16"/>
      <c r="I95" s="15"/>
      <c r="J95" s="15"/>
      <c r="K95" s="15"/>
      <c r="L95" s="15"/>
      <c r="M95" s="18"/>
      <c r="N95" s="15"/>
      <c r="O95" s="15"/>
      <c r="P95" s="15"/>
      <c r="Q95" s="15"/>
      <c r="R95" s="15"/>
      <c r="S95" s="41"/>
      <c r="T95" s="40"/>
      <c r="U95" s="22"/>
      <c r="V95" s="1"/>
      <c r="W95" s="40"/>
      <c r="X95" s="40"/>
      <c r="Y95" s="40"/>
      <c r="Z95" s="40"/>
      <c r="AA95" s="2"/>
      <c r="AB95" s="40"/>
      <c r="AC95" s="40"/>
      <c r="AD95" s="40"/>
      <c r="AE95" s="42"/>
      <c r="AF95" s="42"/>
      <c r="AG95" s="42"/>
    </row>
    <row r="96" spans="1:33" ht="15.75" customHeight="1" x14ac:dyDescent="0.2">
      <c r="A96" s="40"/>
      <c r="B96" s="40"/>
      <c r="C96" s="46"/>
      <c r="D96" s="15"/>
      <c r="E96" s="15"/>
      <c r="F96" s="16"/>
      <c r="G96" s="16"/>
      <c r="H96" s="16"/>
      <c r="I96" s="15"/>
      <c r="J96" s="15"/>
      <c r="K96" s="15"/>
      <c r="L96" s="15"/>
      <c r="M96" s="18"/>
      <c r="N96" s="15"/>
      <c r="O96" s="15"/>
      <c r="P96" s="15"/>
      <c r="Q96" s="15"/>
      <c r="R96" s="15"/>
      <c r="S96" s="41"/>
      <c r="T96" s="40"/>
      <c r="U96" s="22"/>
      <c r="V96" s="1"/>
      <c r="W96" s="40"/>
      <c r="X96" s="40"/>
      <c r="Y96" s="40"/>
      <c r="Z96" s="40"/>
      <c r="AA96" s="2"/>
      <c r="AB96" s="40"/>
      <c r="AC96" s="40"/>
      <c r="AD96" s="40"/>
      <c r="AE96" s="42"/>
      <c r="AF96" s="42"/>
      <c r="AG96" s="42"/>
    </row>
    <row r="97" spans="1:33" ht="15.75" customHeight="1" x14ac:dyDescent="0.2">
      <c r="A97" s="40"/>
      <c r="B97" s="40"/>
      <c r="C97" s="46"/>
      <c r="D97" s="15"/>
      <c r="E97" s="15"/>
      <c r="F97" s="16"/>
      <c r="G97" s="16"/>
      <c r="H97" s="16"/>
      <c r="I97" s="15"/>
      <c r="J97" s="15"/>
      <c r="K97" s="15"/>
      <c r="L97" s="15"/>
      <c r="M97" s="18"/>
      <c r="N97" s="15"/>
      <c r="O97" s="15"/>
      <c r="P97" s="15"/>
      <c r="Q97" s="15"/>
      <c r="R97" s="15"/>
      <c r="S97" s="41"/>
      <c r="T97" s="40"/>
      <c r="U97" s="22"/>
      <c r="V97" s="1"/>
      <c r="W97" s="40"/>
      <c r="X97" s="40"/>
      <c r="Y97" s="40"/>
      <c r="Z97" s="40"/>
      <c r="AA97" s="2"/>
      <c r="AB97" s="40"/>
      <c r="AC97" s="40"/>
      <c r="AD97" s="40"/>
      <c r="AE97" s="42"/>
      <c r="AF97" s="42"/>
      <c r="AG97" s="42"/>
    </row>
    <row r="98" spans="1:33" ht="15.75" customHeight="1" x14ac:dyDescent="0.2">
      <c r="A98" s="40"/>
      <c r="B98" s="40"/>
      <c r="C98" s="46"/>
      <c r="D98" s="15"/>
      <c r="E98" s="15"/>
      <c r="F98" s="16"/>
      <c r="G98" s="16"/>
      <c r="H98" s="16"/>
      <c r="I98" s="15"/>
      <c r="J98" s="15"/>
      <c r="K98" s="15"/>
      <c r="L98" s="15"/>
      <c r="M98" s="18"/>
      <c r="N98" s="15"/>
      <c r="O98" s="15"/>
      <c r="P98" s="15"/>
      <c r="Q98" s="15"/>
      <c r="R98" s="15"/>
      <c r="S98" s="41"/>
      <c r="T98" s="40"/>
      <c r="U98" s="22"/>
      <c r="V98" s="1"/>
      <c r="W98" s="40"/>
      <c r="X98" s="40"/>
      <c r="Y98" s="40"/>
      <c r="Z98" s="40"/>
      <c r="AA98" s="2"/>
      <c r="AB98" s="40"/>
      <c r="AC98" s="40"/>
      <c r="AD98" s="40"/>
      <c r="AE98" s="42"/>
      <c r="AF98" s="42"/>
      <c r="AG98" s="42"/>
    </row>
    <row r="99" spans="1:33" ht="15.75" customHeight="1" x14ac:dyDescent="0.2">
      <c r="A99" s="40"/>
      <c r="B99" s="40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47"/>
      <c r="R99" s="47"/>
      <c r="S99" s="41"/>
      <c r="T99" s="40"/>
      <c r="U99" s="40"/>
      <c r="V99" s="40"/>
      <c r="W99" s="40"/>
      <c r="X99" s="40"/>
      <c r="Y99" s="40"/>
      <c r="Z99" s="40"/>
      <c r="AA99" s="2"/>
      <c r="AB99" s="40"/>
      <c r="AC99" s="40"/>
      <c r="AD99" s="40"/>
      <c r="AE99" s="40"/>
      <c r="AF99" s="40"/>
      <c r="AG99" s="40"/>
    </row>
    <row r="100" spans="1:33" ht="15.75" customHeight="1" x14ac:dyDescent="0.2">
      <c r="A100" s="40"/>
      <c r="B100" s="40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47"/>
      <c r="R100" s="47"/>
      <c r="S100" s="41"/>
      <c r="T100" s="40"/>
      <c r="U100" s="40"/>
      <c r="V100" s="40"/>
      <c r="W100" s="40"/>
      <c r="X100" s="40"/>
      <c r="Y100" s="40"/>
      <c r="Z100" s="40"/>
      <c r="AA100" s="2"/>
      <c r="AB100" s="40"/>
      <c r="AC100" s="40"/>
      <c r="AD100" s="40"/>
      <c r="AE100" s="40"/>
      <c r="AF100" s="40"/>
      <c r="AG100" s="40"/>
    </row>
    <row r="101" spans="1:33" ht="15.75" customHeight="1" x14ac:dyDescent="0.2">
      <c r="A101" s="40"/>
      <c r="B101" s="40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47"/>
      <c r="R101" s="47"/>
      <c r="S101" s="41"/>
      <c r="T101" s="40"/>
      <c r="U101" s="40"/>
      <c r="V101" s="40"/>
      <c r="W101" s="40"/>
      <c r="X101" s="40"/>
      <c r="Y101" s="40"/>
      <c r="Z101" s="40"/>
      <c r="AA101" s="2"/>
      <c r="AB101" s="40"/>
      <c r="AC101" s="40"/>
      <c r="AD101" s="40"/>
      <c r="AE101" s="40"/>
      <c r="AF101" s="40"/>
      <c r="AG101" s="40"/>
    </row>
    <row r="102" spans="1:33" ht="15.75" customHeight="1" x14ac:dyDescent="0.2">
      <c r="A102" s="40"/>
      <c r="B102" s="40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47"/>
      <c r="R102" s="47"/>
      <c r="S102" s="41"/>
      <c r="T102" s="40"/>
      <c r="U102" s="40"/>
      <c r="V102" s="40"/>
      <c r="W102" s="40"/>
      <c r="X102" s="40"/>
      <c r="Y102" s="40"/>
      <c r="Z102" s="40"/>
      <c r="AA102" s="2"/>
      <c r="AB102" s="40"/>
      <c r="AC102" s="40"/>
      <c r="AD102" s="40"/>
      <c r="AE102" s="40"/>
      <c r="AF102" s="40"/>
      <c r="AG102" s="40"/>
    </row>
    <row r="103" spans="1:33" ht="15.75" customHeight="1" x14ac:dyDescent="0.2">
      <c r="A103" s="40"/>
      <c r="B103" s="40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47"/>
      <c r="R103" s="47"/>
      <c r="S103" s="41"/>
      <c r="T103" s="40"/>
      <c r="U103" s="40"/>
      <c r="V103" s="40"/>
      <c r="W103" s="40"/>
      <c r="X103" s="40"/>
      <c r="Y103" s="40"/>
      <c r="Z103" s="40"/>
      <c r="AA103" s="2"/>
      <c r="AB103" s="40"/>
      <c r="AC103" s="40"/>
      <c r="AD103" s="40"/>
      <c r="AE103" s="40"/>
      <c r="AF103" s="40"/>
      <c r="AG103" s="40"/>
    </row>
    <row r="104" spans="1:33" ht="15.75" customHeight="1" x14ac:dyDescent="0.2">
      <c r="A104" s="40"/>
      <c r="B104" s="40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47"/>
      <c r="R104" s="47"/>
      <c r="S104" s="41"/>
      <c r="T104" s="40"/>
      <c r="U104" s="40"/>
      <c r="V104" s="40"/>
      <c r="W104" s="40"/>
      <c r="X104" s="40"/>
      <c r="Y104" s="40"/>
      <c r="Z104" s="40"/>
      <c r="AA104" s="2"/>
      <c r="AB104" s="40"/>
      <c r="AC104" s="40"/>
      <c r="AD104" s="40"/>
      <c r="AE104" s="40"/>
      <c r="AF104" s="40"/>
      <c r="AG104" s="40"/>
    </row>
    <row r="105" spans="1:33" ht="15.75" customHeight="1" x14ac:dyDescent="0.2">
      <c r="A105" s="40"/>
      <c r="B105" s="40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47"/>
      <c r="R105" s="47"/>
      <c r="S105" s="41"/>
      <c r="T105" s="40"/>
      <c r="U105" s="40"/>
      <c r="V105" s="40"/>
      <c r="W105" s="40"/>
      <c r="X105" s="40"/>
      <c r="Y105" s="40"/>
      <c r="Z105" s="40"/>
      <c r="AA105" s="2"/>
      <c r="AB105" s="40"/>
      <c r="AC105" s="40"/>
      <c r="AD105" s="40"/>
      <c r="AE105" s="40"/>
      <c r="AF105" s="40"/>
      <c r="AG105" s="40"/>
    </row>
    <row r="106" spans="1:33" ht="15.75" customHeight="1" x14ac:dyDescent="0.2">
      <c r="A106" s="40"/>
      <c r="B106" s="40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47"/>
      <c r="R106" s="47"/>
      <c r="S106" s="41"/>
      <c r="T106" s="40"/>
      <c r="U106" s="40"/>
      <c r="V106" s="40"/>
      <c r="W106" s="40"/>
      <c r="X106" s="40"/>
      <c r="Y106" s="40"/>
      <c r="Z106" s="40"/>
      <c r="AA106" s="2"/>
      <c r="AB106" s="40"/>
      <c r="AC106" s="40"/>
      <c r="AD106" s="40"/>
      <c r="AE106" s="40"/>
      <c r="AF106" s="40"/>
      <c r="AG106" s="40"/>
    </row>
    <row r="107" spans="1:33" ht="15.75" customHeight="1" x14ac:dyDescent="0.2">
      <c r="A107" s="40"/>
      <c r="B107" s="4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47"/>
      <c r="R107" s="47"/>
      <c r="S107" s="41"/>
      <c r="T107" s="40"/>
      <c r="U107" s="40"/>
      <c r="V107" s="40"/>
      <c r="W107" s="40"/>
      <c r="X107" s="40"/>
      <c r="Y107" s="40"/>
      <c r="Z107" s="40"/>
      <c r="AA107" s="2"/>
      <c r="AB107" s="40"/>
      <c r="AC107" s="40"/>
      <c r="AD107" s="40"/>
      <c r="AE107" s="40"/>
      <c r="AF107" s="40"/>
      <c r="AG107" s="40"/>
    </row>
    <row r="108" spans="1:33" ht="15.75" customHeight="1" x14ac:dyDescent="0.2">
      <c r="A108" s="40"/>
      <c r="B108" s="40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47"/>
      <c r="R108" s="47"/>
      <c r="S108" s="41"/>
      <c r="T108" s="40"/>
      <c r="U108" s="40"/>
      <c r="V108" s="40"/>
      <c r="W108" s="40"/>
      <c r="X108" s="40"/>
      <c r="Y108" s="40"/>
      <c r="Z108" s="40"/>
      <c r="AA108" s="2"/>
      <c r="AB108" s="40"/>
      <c r="AC108" s="40"/>
      <c r="AD108" s="40"/>
      <c r="AE108" s="40"/>
      <c r="AF108" s="40"/>
      <c r="AG108" s="40"/>
    </row>
    <row r="109" spans="1:33" ht="15.75" customHeight="1" x14ac:dyDescent="0.2">
      <c r="A109" s="40"/>
      <c r="B109" s="40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47"/>
      <c r="R109" s="47"/>
      <c r="S109" s="41"/>
      <c r="T109" s="40"/>
      <c r="U109" s="40"/>
      <c r="V109" s="40"/>
      <c r="W109" s="40"/>
      <c r="X109" s="40"/>
      <c r="Y109" s="40"/>
      <c r="Z109" s="40"/>
      <c r="AA109" s="2"/>
      <c r="AB109" s="40"/>
      <c r="AC109" s="40"/>
      <c r="AD109" s="40"/>
      <c r="AE109" s="40"/>
      <c r="AF109" s="40"/>
      <c r="AG109" s="40"/>
    </row>
    <row r="110" spans="1:33" ht="15.75" customHeight="1" x14ac:dyDescent="0.2">
      <c r="A110" s="40"/>
      <c r="B110" s="40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47"/>
      <c r="R110" s="47"/>
      <c r="S110" s="41"/>
      <c r="T110" s="40"/>
      <c r="U110" s="40"/>
      <c r="V110" s="40"/>
      <c r="W110" s="40"/>
      <c r="X110" s="40"/>
      <c r="Y110" s="40"/>
      <c r="Z110" s="40"/>
      <c r="AA110" s="2"/>
      <c r="AB110" s="40"/>
      <c r="AC110" s="40"/>
      <c r="AD110" s="40"/>
      <c r="AE110" s="40"/>
      <c r="AF110" s="40"/>
      <c r="AG110" s="40"/>
    </row>
    <row r="111" spans="1:33" ht="15.75" customHeight="1" x14ac:dyDescent="0.2">
      <c r="A111" s="40"/>
      <c r="B111" s="4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47"/>
      <c r="R111" s="47"/>
      <c r="S111" s="41"/>
      <c r="T111" s="40"/>
      <c r="U111" s="40"/>
      <c r="V111" s="40"/>
      <c r="W111" s="40"/>
      <c r="X111" s="40"/>
      <c r="Y111" s="40"/>
      <c r="Z111" s="40"/>
      <c r="AA111" s="2"/>
      <c r="AB111" s="40"/>
      <c r="AC111" s="40"/>
      <c r="AD111" s="40"/>
      <c r="AE111" s="40"/>
      <c r="AF111" s="40"/>
      <c r="AG111" s="40"/>
    </row>
    <row r="112" spans="1:33" ht="15.75" customHeight="1" x14ac:dyDescent="0.2">
      <c r="A112" s="40"/>
      <c r="B112" s="40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47"/>
      <c r="R112" s="47"/>
      <c r="S112" s="41"/>
      <c r="T112" s="40"/>
      <c r="U112" s="40"/>
      <c r="V112" s="40"/>
      <c r="W112" s="40"/>
      <c r="X112" s="40"/>
      <c r="Y112" s="40"/>
      <c r="Z112" s="40"/>
      <c r="AA112" s="2"/>
      <c r="AB112" s="40"/>
      <c r="AC112" s="40"/>
      <c r="AD112" s="40"/>
      <c r="AE112" s="40"/>
      <c r="AF112" s="40"/>
      <c r="AG112" s="40"/>
    </row>
    <row r="113" spans="1:33" ht="15.75" customHeight="1" x14ac:dyDescent="0.2">
      <c r="A113" s="40"/>
      <c r="B113" s="40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47"/>
      <c r="R113" s="47"/>
      <c r="S113" s="41"/>
      <c r="T113" s="40"/>
      <c r="U113" s="40"/>
      <c r="V113" s="40"/>
      <c r="W113" s="40"/>
      <c r="X113" s="40"/>
      <c r="Y113" s="40"/>
      <c r="Z113" s="40"/>
      <c r="AA113" s="2"/>
      <c r="AB113" s="40"/>
      <c r="AC113" s="40"/>
      <c r="AD113" s="40"/>
      <c r="AE113" s="40"/>
      <c r="AF113" s="40"/>
      <c r="AG113" s="40"/>
    </row>
    <row r="114" spans="1:33" ht="15.75" customHeight="1" x14ac:dyDescent="0.2">
      <c r="A114" s="40"/>
      <c r="B114" s="40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47"/>
      <c r="R114" s="47"/>
      <c r="S114" s="41"/>
      <c r="T114" s="40"/>
      <c r="U114" s="40"/>
      <c r="V114" s="40"/>
      <c r="W114" s="40"/>
      <c r="X114" s="40"/>
      <c r="Y114" s="40"/>
      <c r="Z114" s="40"/>
      <c r="AA114" s="2"/>
      <c r="AB114" s="40"/>
      <c r="AC114" s="40"/>
      <c r="AD114" s="40"/>
      <c r="AE114" s="40"/>
      <c r="AF114" s="40"/>
      <c r="AG114" s="40"/>
    </row>
    <row r="115" spans="1:33" ht="15.75" customHeight="1" x14ac:dyDescent="0.2">
      <c r="A115" s="40"/>
      <c r="B115" s="40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47"/>
      <c r="R115" s="47"/>
      <c r="S115" s="41"/>
      <c r="T115" s="40"/>
      <c r="U115" s="40"/>
      <c r="V115" s="40"/>
      <c r="W115" s="40"/>
      <c r="X115" s="40"/>
      <c r="Y115" s="40"/>
      <c r="Z115" s="40"/>
      <c r="AA115" s="2"/>
      <c r="AB115" s="40"/>
      <c r="AC115" s="40"/>
      <c r="AD115" s="40"/>
      <c r="AE115" s="40"/>
      <c r="AF115" s="40"/>
      <c r="AG115" s="40"/>
    </row>
    <row r="116" spans="1:33" ht="15.75" customHeight="1" x14ac:dyDescent="0.2">
      <c r="A116" s="40"/>
      <c r="B116" s="4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47"/>
      <c r="R116" s="47"/>
      <c r="S116" s="41"/>
      <c r="T116" s="40"/>
      <c r="U116" s="40"/>
      <c r="V116" s="40"/>
      <c r="W116" s="40"/>
      <c r="X116" s="40"/>
      <c r="Y116" s="40"/>
      <c r="Z116" s="40"/>
      <c r="AA116" s="2"/>
      <c r="AB116" s="40"/>
      <c r="AC116" s="40"/>
      <c r="AD116" s="40"/>
      <c r="AE116" s="40"/>
      <c r="AF116" s="40"/>
      <c r="AG116" s="40"/>
    </row>
    <row r="117" spans="1:33" ht="15.75" customHeight="1" x14ac:dyDescent="0.2">
      <c r="A117" s="40"/>
      <c r="B117" s="40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1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</row>
    <row r="118" spans="1:33" ht="15.75" customHeight="1" x14ac:dyDescent="0.2">
      <c r="A118" s="40"/>
      <c r="B118" s="40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1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</row>
    <row r="119" spans="1:33" ht="15.75" customHeight="1" x14ac:dyDescent="0.2">
      <c r="A119" s="40"/>
      <c r="B119" s="40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1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</row>
    <row r="120" spans="1:33" ht="15.75" customHeight="1" x14ac:dyDescent="0.2">
      <c r="A120" s="40"/>
      <c r="B120" s="40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1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</row>
    <row r="121" spans="1:33" ht="15.75" customHeight="1" x14ac:dyDescent="0.2">
      <c r="A121" s="40"/>
      <c r="B121" s="40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1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</row>
    <row r="122" spans="1:33" ht="15.75" customHeight="1" x14ac:dyDescent="0.2">
      <c r="A122" s="40"/>
      <c r="B122" s="40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1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</row>
    <row r="123" spans="1:33" ht="15.75" customHeight="1" x14ac:dyDescent="0.2">
      <c r="A123" s="40"/>
      <c r="B123" s="40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1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</row>
    <row r="124" spans="1:33" ht="15.75" customHeight="1" x14ac:dyDescent="0.2">
      <c r="A124" s="40"/>
      <c r="B124" s="40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1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 ht="15.75" customHeight="1" x14ac:dyDescent="0.2">
      <c r="A125" s="40"/>
      <c r="B125" s="40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1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</row>
    <row r="126" spans="1:33" ht="15.75" customHeight="1" x14ac:dyDescent="0.2">
      <c r="A126" s="40"/>
      <c r="B126" s="40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1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</row>
    <row r="127" spans="1:33" ht="15.75" customHeight="1" x14ac:dyDescent="0.2">
      <c r="A127" s="40"/>
      <c r="B127" s="40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1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</row>
    <row r="128" spans="1:33" ht="15.75" customHeight="1" x14ac:dyDescent="0.2">
      <c r="A128" s="40"/>
      <c r="B128" s="40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1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</row>
    <row r="129" spans="1:33" ht="15.75" customHeight="1" x14ac:dyDescent="0.2">
      <c r="A129" s="40"/>
      <c r="B129" s="40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1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</row>
    <row r="130" spans="1:33" ht="15.75" customHeight="1" x14ac:dyDescent="0.2">
      <c r="A130" s="40"/>
      <c r="B130" s="40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1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</row>
    <row r="131" spans="1:33" ht="15.75" customHeight="1" x14ac:dyDescent="0.2">
      <c r="A131" s="40"/>
      <c r="B131" s="40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1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</row>
    <row r="132" spans="1:33" ht="15.75" customHeight="1" x14ac:dyDescent="0.2">
      <c r="A132" s="40"/>
      <c r="B132" s="40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1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</row>
    <row r="133" spans="1:33" ht="15.75" customHeight="1" x14ac:dyDescent="0.2">
      <c r="A133" s="40"/>
      <c r="B133" s="40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1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</row>
    <row r="134" spans="1:33" ht="15.75" customHeight="1" x14ac:dyDescent="0.2">
      <c r="A134" s="40"/>
      <c r="B134" s="40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1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</row>
    <row r="135" spans="1:33" ht="15.75" customHeight="1" x14ac:dyDescent="0.2">
      <c r="A135" s="40"/>
      <c r="B135" s="40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1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</row>
    <row r="136" spans="1:33" ht="15.75" customHeight="1" x14ac:dyDescent="0.2">
      <c r="A136" s="40"/>
      <c r="B136" s="40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1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</row>
    <row r="137" spans="1:33" ht="15.75" customHeight="1" x14ac:dyDescent="0.2">
      <c r="A137" s="40"/>
      <c r="B137" s="40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1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</row>
    <row r="138" spans="1:33" ht="15.75" customHeight="1" x14ac:dyDescent="0.2">
      <c r="A138" s="40"/>
      <c r="B138" s="40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1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</row>
    <row r="139" spans="1:33" ht="15.75" customHeight="1" x14ac:dyDescent="0.2">
      <c r="A139" s="40"/>
      <c r="B139" s="40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1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</row>
    <row r="140" spans="1:33" ht="15.75" customHeight="1" x14ac:dyDescent="0.2">
      <c r="A140" s="40"/>
      <c r="B140" s="40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1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</row>
    <row r="141" spans="1:33" ht="15.75" customHeight="1" x14ac:dyDescent="0.2">
      <c r="A141" s="40"/>
      <c r="B141" s="40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1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1"/>
    </row>
    <row r="221" spans="3:19" ht="15.75" customHeight="1" x14ac:dyDescent="0.2">
      <c r="R221" s="40"/>
      <c r="S221" s="41"/>
    </row>
    <row r="222" spans="3:19" ht="15.75" customHeight="1" x14ac:dyDescent="0.2">
      <c r="R222" s="40"/>
      <c r="S222" s="41"/>
    </row>
    <row r="223" spans="3:19" ht="15.75" customHeight="1" x14ac:dyDescent="0.2">
      <c r="R223" s="40"/>
      <c r="S223" s="41"/>
    </row>
    <row r="224" spans="3:19" ht="15.75" customHeight="1" x14ac:dyDescent="0.2">
      <c r="R224" s="40"/>
      <c r="S224" s="41"/>
    </row>
    <row r="225" spans="18:18" ht="15.75" customHeight="1" x14ac:dyDescent="0.2">
      <c r="R225" s="40"/>
    </row>
    <row r="226" spans="18:18" ht="15.75" customHeight="1" x14ac:dyDescent="0.2">
      <c r="R226" s="40"/>
    </row>
    <row r="227" spans="18:18" ht="15.75" customHeight="1" x14ac:dyDescent="0.2">
      <c r="R227" s="40"/>
    </row>
    <row r="228" spans="18:18" ht="15.75" customHeight="1" x14ac:dyDescent="0.2">
      <c r="R228" s="40"/>
    </row>
    <row r="229" spans="18:18" ht="15.75" customHeight="1" x14ac:dyDescent="0.2">
      <c r="R229" s="40"/>
    </row>
    <row r="230" spans="18:18" ht="15.75" customHeight="1" x14ac:dyDescent="0.2">
      <c r="R230" s="40"/>
    </row>
    <row r="231" spans="18:18" ht="15.75" customHeight="1" x14ac:dyDescent="0.2">
      <c r="R231" s="40"/>
    </row>
    <row r="232" spans="18:18" ht="15.75" customHeight="1" x14ac:dyDescent="0.2">
      <c r="R232" s="40"/>
    </row>
    <row r="233" spans="18:18" ht="15.75" customHeight="1" x14ac:dyDescent="0.2">
      <c r="R233" s="40"/>
    </row>
    <row r="234" spans="18:18" ht="15.75" customHeight="1" x14ac:dyDescent="0.2">
      <c r="R234" s="40"/>
    </row>
    <row r="235" spans="18:18" ht="15.75" customHeight="1" x14ac:dyDescent="0.2">
      <c r="R235" s="40"/>
    </row>
    <row r="236" spans="18:18" ht="15.75" customHeight="1" x14ac:dyDescent="0.2">
      <c r="R236" s="40"/>
    </row>
    <row r="237" spans="18:18" ht="15.75" customHeight="1" x14ac:dyDescent="0.2">
      <c r="R237" s="40"/>
    </row>
    <row r="238" spans="18:18" ht="15.75" customHeight="1" x14ac:dyDescent="0.2">
      <c r="R238" s="40"/>
    </row>
    <row r="239" spans="18:18" ht="15.75" customHeight="1" x14ac:dyDescent="0.2">
      <c r="R239" s="40"/>
    </row>
    <row r="240" spans="18:18" ht="15.75" customHeight="1" x14ac:dyDescent="0.2">
      <c r="R240" s="40"/>
    </row>
    <row r="241" spans="18:18" ht="15.75" customHeight="1" x14ac:dyDescent="0.2">
      <c r="R241" s="40"/>
    </row>
    <row r="242" spans="18:18" ht="15.75" customHeight="1" x14ac:dyDescent="0.2">
      <c r="R242" s="40"/>
    </row>
    <row r="243" spans="18:18" ht="15.75" customHeight="1" x14ac:dyDescent="0.2">
      <c r="R243" s="40"/>
    </row>
    <row r="244" spans="18:18" ht="15.75" customHeight="1" x14ac:dyDescent="0.2">
      <c r="R244" s="40"/>
    </row>
    <row r="245" spans="18:18" ht="15.75" customHeight="1" x14ac:dyDescent="0.2">
      <c r="R245" s="40"/>
    </row>
    <row r="246" spans="18:18" ht="15.75" customHeight="1" x14ac:dyDescent="0.2">
      <c r="R246" s="40"/>
    </row>
    <row r="247" spans="18:18" ht="15.75" customHeight="1" x14ac:dyDescent="0.2">
      <c r="R247" s="40"/>
    </row>
    <row r="248" spans="18:18" ht="15.75" customHeight="1" x14ac:dyDescent="0.2">
      <c r="R248" s="40"/>
    </row>
    <row r="249" spans="18:18" ht="15.75" customHeight="1" x14ac:dyDescent="0.2">
      <c r="R249" s="40"/>
    </row>
    <row r="250" spans="18:18" ht="15.75" customHeight="1" x14ac:dyDescent="0.2">
      <c r="R250" s="40"/>
    </row>
    <row r="251" spans="18:18" ht="15.75" customHeight="1" x14ac:dyDescent="0.2">
      <c r="R251" s="40"/>
    </row>
    <row r="252" spans="18:18" ht="15.75" customHeight="1" x14ac:dyDescent="0.2">
      <c r="R252" s="40"/>
    </row>
    <row r="253" spans="18:18" ht="15.75" customHeight="1" x14ac:dyDescent="0.2">
      <c r="R253" s="40"/>
    </row>
    <row r="254" spans="18:18" ht="15.75" customHeight="1" x14ac:dyDescent="0.2">
      <c r="R254" s="40"/>
    </row>
    <row r="255" spans="18:18" ht="15.75" customHeight="1" x14ac:dyDescent="0.2">
      <c r="R255" s="40"/>
    </row>
    <row r="256" spans="18:18" ht="15.75" customHeight="1" x14ac:dyDescent="0.2">
      <c r="R256" s="40"/>
    </row>
    <row r="257" spans="18:18" ht="15.75" customHeight="1" x14ac:dyDescent="0.2">
      <c r="R257" s="40"/>
    </row>
    <row r="258" spans="18:18" ht="15.75" customHeight="1" x14ac:dyDescent="0.2">
      <c r="R258" s="40"/>
    </row>
    <row r="259" spans="18:18" ht="15.75" customHeight="1" x14ac:dyDescent="0.2">
      <c r="R259" s="40"/>
    </row>
    <row r="260" spans="18:18" ht="15.75" customHeight="1" x14ac:dyDescent="0.2">
      <c r="R260" s="40"/>
    </row>
    <row r="261" spans="18:18" ht="15.75" customHeight="1" x14ac:dyDescent="0.2">
      <c r="R261" s="40"/>
    </row>
    <row r="262" spans="18:18" ht="15.75" customHeight="1" x14ac:dyDescent="0.2">
      <c r="R262" s="40"/>
    </row>
    <row r="263" spans="18:18" ht="15.75" customHeight="1" x14ac:dyDescent="0.2">
      <c r="R263" s="40"/>
    </row>
    <row r="264" spans="18:18" ht="15.75" customHeight="1" x14ac:dyDescent="0.2">
      <c r="R264" s="40"/>
    </row>
    <row r="265" spans="18:18" ht="15.75" customHeight="1" x14ac:dyDescent="0.2">
      <c r="R265" s="40"/>
    </row>
    <row r="266" spans="18:18" ht="15.75" customHeight="1" x14ac:dyDescent="0.2">
      <c r="R266" s="40"/>
    </row>
    <row r="267" spans="18:18" ht="15.75" customHeight="1" x14ac:dyDescent="0.2">
      <c r="R267" s="40"/>
    </row>
    <row r="268" spans="18:18" ht="15.75" customHeight="1" x14ac:dyDescent="0.2">
      <c r="R268" s="40"/>
    </row>
    <row r="269" spans="18:18" ht="15.75" customHeight="1" x14ac:dyDescent="0.2">
      <c r="R269" s="40"/>
    </row>
    <row r="270" spans="18:18" ht="15.75" customHeight="1" x14ac:dyDescent="0.2">
      <c r="R270" s="40"/>
    </row>
    <row r="271" spans="18:18" ht="15.75" customHeight="1" x14ac:dyDescent="0.2">
      <c r="R271" s="40"/>
    </row>
    <row r="272" spans="18:18" ht="15.75" customHeight="1" x14ac:dyDescent="0.2">
      <c r="R272" s="40"/>
    </row>
    <row r="273" spans="18:18" ht="15.75" customHeight="1" x14ac:dyDescent="0.2">
      <c r="R273" s="40"/>
    </row>
    <row r="274" spans="18:18" ht="15.75" customHeight="1" x14ac:dyDescent="0.2">
      <c r="R274" s="40"/>
    </row>
    <row r="275" spans="18:18" ht="15.75" customHeight="1" x14ac:dyDescent="0.2">
      <c r="R275" s="40"/>
    </row>
    <row r="276" spans="18:18" ht="15.75" customHeight="1" x14ac:dyDescent="0.2">
      <c r="R276" s="40"/>
    </row>
    <row r="277" spans="18:18" ht="15.75" customHeight="1" x14ac:dyDescent="0.2">
      <c r="R277" s="40"/>
    </row>
    <row r="278" spans="18:18" ht="15.75" customHeight="1" x14ac:dyDescent="0.2">
      <c r="R278" s="40"/>
    </row>
    <row r="279" spans="18:18" ht="15.75" customHeight="1" x14ac:dyDescent="0.2">
      <c r="R279" s="40"/>
    </row>
    <row r="280" spans="18:18" ht="15.75" customHeight="1" x14ac:dyDescent="0.2">
      <c r="R280" s="40"/>
    </row>
    <row r="281" spans="18:18" ht="15.75" customHeight="1" x14ac:dyDescent="0.2">
      <c r="R281" s="40"/>
    </row>
    <row r="282" spans="18:18" ht="15.75" customHeight="1" x14ac:dyDescent="0.2">
      <c r="R282" s="40"/>
    </row>
    <row r="283" spans="18:18" ht="15.75" customHeight="1" x14ac:dyDescent="0.2">
      <c r="R283" s="40"/>
    </row>
    <row r="284" spans="18:18" ht="15.75" customHeight="1" x14ac:dyDescent="0.2">
      <c r="R284" s="40"/>
    </row>
    <row r="285" spans="18:18" ht="15.75" customHeight="1" x14ac:dyDescent="0.2">
      <c r="R285" s="40"/>
    </row>
    <row r="286" spans="18:18" ht="15.75" customHeight="1" x14ac:dyDescent="0.2">
      <c r="R286" s="40"/>
    </row>
    <row r="287" spans="18:18" ht="15.75" customHeight="1" x14ac:dyDescent="0.2">
      <c r="R287" s="40"/>
    </row>
    <row r="288" spans="18:18" ht="15.75" customHeight="1" x14ac:dyDescent="0.2">
      <c r="R288" s="40"/>
    </row>
    <row r="289" spans="18:18" ht="15.75" customHeight="1" x14ac:dyDescent="0.2">
      <c r="R289" s="40"/>
    </row>
    <row r="290" spans="18:18" ht="15.75" customHeight="1" x14ac:dyDescent="0.2">
      <c r="R290" s="40"/>
    </row>
    <row r="291" spans="18:18" ht="15.75" customHeight="1" x14ac:dyDescent="0.2">
      <c r="R291" s="40"/>
    </row>
    <row r="292" spans="18:18" ht="15.75" customHeight="1" x14ac:dyDescent="0.2">
      <c r="R292" s="40"/>
    </row>
    <row r="293" spans="18:18" ht="15.75" customHeight="1" x14ac:dyDescent="0.2">
      <c r="R293" s="40"/>
    </row>
    <row r="294" spans="18:18" ht="15.75" customHeight="1" x14ac:dyDescent="0.2">
      <c r="R294" s="40"/>
    </row>
    <row r="295" spans="18:18" ht="15.75" customHeight="1" x14ac:dyDescent="0.2">
      <c r="R295" s="40"/>
    </row>
    <row r="296" spans="18:18" ht="15.75" customHeight="1" x14ac:dyDescent="0.2">
      <c r="R296" s="40"/>
    </row>
    <row r="297" spans="18:18" ht="15.75" customHeight="1" x14ac:dyDescent="0.2">
      <c r="R297" s="40"/>
    </row>
    <row r="298" spans="18:18" ht="15.75" customHeight="1" x14ac:dyDescent="0.2">
      <c r="R298" s="40"/>
    </row>
    <row r="299" spans="18:18" ht="15.75" customHeight="1" x14ac:dyDescent="0.2">
      <c r="R299" s="40"/>
    </row>
    <row r="300" spans="18:18" ht="15.75" customHeight="1" x14ac:dyDescent="0.2">
      <c r="R300" s="40"/>
    </row>
    <row r="301" spans="18:18" ht="15.75" customHeight="1" x14ac:dyDescent="0.2">
      <c r="R301" s="40"/>
    </row>
    <row r="302" spans="18:18" ht="15.75" customHeight="1" x14ac:dyDescent="0.2">
      <c r="R302" s="40"/>
    </row>
    <row r="303" spans="18:18" ht="15.75" customHeight="1" x14ac:dyDescent="0.2">
      <c r="R303" s="40"/>
    </row>
    <row r="304" spans="18:18" ht="15.75" customHeight="1" x14ac:dyDescent="0.2">
      <c r="R304" s="40"/>
    </row>
    <row r="305" spans="18:18" ht="15.75" customHeight="1" x14ac:dyDescent="0.2">
      <c r="R305" s="40"/>
    </row>
    <row r="306" spans="18:18" ht="15.75" customHeight="1" x14ac:dyDescent="0.2">
      <c r="R306" s="40"/>
    </row>
    <row r="307" spans="18:18" ht="15.75" customHeight="1" x14ac:dyDescent="0.2">
      <c r="R307" s="40"/>
    </row>
    <row r="308" spans="18:18" ht="15.75" customHeight="1" x14ac:dyDescent="0.2">
      <c r="R308" s="40"/>
    </row>
    <row r="309" spans="18:18" ht="15.75" customHeight="1" x14ac:dyDescent="0.2">
      <c r="R309" s="40"/>
    </row>
    <row r="310" spans="18:18" ht="15.75" customHeight="1" x14ac:dyDescent="0.2">
      <c r="R310" s="40"/>
    </row>
    <row r="311" spans="18:18" ht="15.75" customHeight="1" x14ac:dyDescent="0.2">
      <c r="R311" s="40"/>
    </row>
    <row r="312" spans="18:18" ht="15.75" customHeight="1" x14ac:dyDescent="0.2">
      <c r="R312" s="40"/>
    </row>
    <row r="313" spans="18:18" ht="15.75" customHeight="1" x14ac:dyDescent="0.2">
      <c r="R313" s="40"/>
    </row>
    <row r="314" spans="18:18" ht="15.75" customHeight="1" x14ac:dyDescent="0.2">
      <c r="R314" s="40"/>
    </row>
    <row r="315" spans="18:18" ht="15.75" customHeight="1" x14ac:dyDescent="0.2">
      <c r="R315" s="40"/>
    </row>
    <row r="316" spans="18:18" ht="15.75" customHeight="1" x14ac:dyDescent="0.2">
      <c r="R316" s="40"/>
    </row>
    <row r="317" spans="18:18" ht="15.75" customHeight="1" x14ac:dyDescent="0.2">
      <c r="R317" s="40"/>
    </row>
    <row r="318" spans="18:18" ht="15.75" customHeight="1" x14ac:dyDescent="0.2">
      <c r="R318" s="40"/>
    </row>
    <row r="319" spans="18:18" ht="15.75" customHeight="1" x14ac:dyDescent="0.2">
      <c r="R319" s="40"/>
    </row>
    <row r="320" spans="18:18" ht="15.75" customHeight="1" x14ac:dyDescent="0.2">
      <c r="R320" s="40"/>
    </row>
    <row r="321" spans="18:18" ht="15.75" customHeight="1" x14ac:dyDescent="0.2">
      <c r="R321" s="40"/>
    </row>
    <row r="322" spans="18:18" ht="15.75" customHeight="1" x14ac:dyDescent="0.2">
      <c r="R322" s="40"/>
    </row>
    <row r="323" spans="18:18" ht="15.75" customHeight="1" x14ac:dyDescent="0.2">
      <c r="R323" s="40"/>
    </row>
    <row r="324" spans="18:18" ht="15.75" customHeight="1" x14ac:dyDescent="0.2">
      <c r="R324" s="40"/>
    </row>
    <row r="325" spans="18:18" ht="15.75" customHeight="1" x14ac:dyDescent="0.2">
      <c r="R325" s="40"/>
    </row>
    <row r="326" spans="18:18" ht="15.75" customHeight="1" x14ac:dyDescent="0.2">
      <c r="R326" s="40"/>
    </row>
    <row r="327" spans="18:18" ht="15.75" customHeight="1" x14ac:dyDescent="0.2">
      <c r="R327" s="40"/>
    </row>
    <row r="328" spans="18:18" ht="15.75" customHeight="1" x14ac:dyDescent="0.2">
      <c r="R328" s="40"/>
    </row>
    <row r="329" spans="18:18" ht="15.75" customHeight="1" x14ac:dyDescent="0.2">
      <c r="R329" s="40"/>
    </row>
    <row r="330" spans="18:18" ht="15.75" customHeight="1" x14ac:dyDescent="0.2">
      <c r="R330" s="40"/>
    </row>
    <row r="331" spans="18:18" ht="15.75" customHeight="1" x14ac:dyDescent="0.2">
      <c r="R331" s="40"/>
    </row>
    <row r="332" spans="18:18" ht="15.75" customHeight="1" x14ac:dyDescent="0.2">
      <c r="R332" s="40"/>
    </row>
    <row r="333" spans="18:18" ht="15.75" customHeight="1" x14ac:dyDescent="0.2">
      <c r="R333" s="40"/>
    </row>
    <row r="334" spans="18:18" ht="15.75" customHeight="1" x14ac:dyDescent="0.2">
      <c r="R334" s="40"/>
    </row>
    <row r="335" spans="18:18" ht="15.75" customHeight="1" x14ac:dyDescent="0.2">
      <c r="R335" s="40"/>
    </row>
    <row r="336" spans="18:18" ht="15.75" customHeight="1" x14ac:dyDescent="0.2">
      <c r="R336" s="40"/>
    </row>
    <row r="337" spans="18:18" ht="15.75" customHeight="1" x14ac:dyDescent="0.2">
      <c r="R337" s="40"/>
    </row>
    <row r="338" spans="18:18" ht="15.75" customHeight="1" x14ac:dyDescent="0.2">
      <c r="R338" s="40"/>
    </row>
    <row r="339" spans="18:18" ht="15.75" customHeight="1" x14ac:dyDescent="0.2">
      <c r="R339" s="40"/>
    </row>
    <row r="340" spans="18:18" ht="15.75" customHeight="1" x14ac:dyDescent="0.2">
      <c r="R340" s="40"/>
    </row>
    <row r="341" spans="18:18" ht="15.75" customHeight="1" x14ac:dyDescent="0.2">
      <c r="R341" s="40"/>
    </row>
    <row r="342" spans="18:18" ht="15.75" customHeight="1" x14ac:dyDescent="0.2">
      <c r="R342" s="40"/>
    </row>
    <row r="343" spans="18:18" ht="15.75" customHeight="1" x14ac:dyDescent="0.2">
      <c r="R343" s="40"/>
    </row>
    <row r="344" spans="18:18" ht="15.75" customHeight="1" x14ac:dyDescent="0.2">
      <c r="R344" s="40"/>
    </row>
    <row r="345" spans="18:18" ht="15.75" customHeight="1" x14ac:dyDescent="0.2">
      <c r="R345" s="40"/>
    </row>
    <row r="346" spans="18:18" ht="15.75" customHeight="1" x14ac:dyDescent="0.2">
      <c r="R346" s="40"/>
    </row>
    <row r="347" spans="18:18" ht="15.75" customHeight="1" x14ac:dyDescent="0.2">
      <c r="R347" s="40"/>
    </row>
    <row r="348" spans="18:18" ht="15.75" customHeight="1" x14ac:dyDescent="0.2">
      <c r="R348" s="40"/>
    </row>
    <row r="349" spans="18:18" ht="15.75" customHeight="1" x14ac:dyDescent="0.2">
      <c r="R349" s="40"/>
    </row>
    <row r="350" spans="18:18" ht="15.75" customHeight="1" x14ac:dyDescent="0.2">
      <c r="R350" s="40"/>
    </row>
    <row r="351" spans="18:18" ht="15.75" customHeight="1" x14ac:dyDescent="0.2">
      <c r="R351" s="40"/>
    </row>
    <row r="352" spans="18:18" ht="15.75" customHeight="1" x14ac:dyDescent="0.2">
      <c r="R352" s="40"/>
    </row>
    <row r="353" spans="18:18" ht="15.75" customHeight="1" x14ac:dyDescent="0.2">
      <c r="R353" s="40"/>
    </row>
    <row r="354" spans="18:18" ht="15.75" customHeight="1" x14ac:dyDescent="0.2">
      <c r="R354" s="40"/>
    </row>
    <row r="355" spans="18:18" ht="15.75" customHeight="1" x14ac:dyDescent="0.2">
      <c r="R355" s="40"/>
    </row>
    <row r="356" spans="18:18" ht="15.75" customHeight="1" x14ac:dyDescent="0.2">
      <c r="R356" s="40"/>
    </row>
    <row r="357" spans="18:18" ht="15.75" customHeight="1" x14ac:dyDescent="0.2">
      <c r="R357" s="40"/>
    </row>
    <row r="358" spans="18:18" ht="15.75" customHeight="1" x14ac:dyDescent="0.2">
      <c r="R358" s="40"/>
    </row>
    <row r="359" spans="18:18" ht="15.75" customHeight="1" x14ac:dyDescent="0.2">
      <c r="R359" s="40"/>
    </row>
    <row r="360" spans="18:18" ht="15.75" customHeight="1" x14ac:dyDescent="0.2">
      <c r="R360" s="40"/>
    </row>
    <row r="361" spans="18:18" ht="15.75" customHeight="1" x14ac:dyDescent="0.2">
      <c r="R361" s="40"/>
    </row>
    <row r="362" spans="18:18" ht="15.75" customHeight="1" x14ac:dyDescent="0.2">
      <c r="R362" s="40"/>
    </row>
    <row r="363" spans="18:18" ht="15.75" customHeight="1" x14ac:dyDescent="0.2">
      <c r="R363" s="40"/>
    </row>
    <row r="364" spans="18:18" ht="15.75" customHeight="1" x14ac:dyDescent="0.2">
      <c r="R364" s="40"/>
    </row>
    <row r="365" spans="18:18" ht="15.75" customHeight="1" x14ac:dyDescent="0.2">
      <c r="R365" s="40"/>
    </row>
    <row r="366" spans="18:18" ht="15.75" customHeight="1" x14ac:dyDescent="0.2">
      <c r="R366" s="40"/>
    </row>
    <row r="367" spans="18:18" ht="15.75" customHeight="1" x14ac:dyDescent="0.2">
      <c r="R367" s="40"/>
    </row>
    <row r="368" spans="18:18" ht="15.75" customHeight="1" x14ac:dyDescent="0.2">
      <c r="R368" s="40"/>
    </row>
    <row r="369" spans="18:18" ht="15.75" customHeight="1" x14ac:dyDescent="0.2">
      <c r="R369" s="40"/>
    </row>
    <row r="370" spans="18:18" ht="15.75" customHeight="1" x14ac:dyDescent="0.2">
      <c r="R370" s="40"/>
    </row>
    <row r="371" spans="18:18" ht="15.75" customHeight="1" x14ac:dyDescent="0.2">
      <c r="R371" s="40"/>
    </row>
    <row r="372" spans="18:18" ht="15.75" customHeight="1" x14ac:dyDescent="0.2">
      <c r="R372" s="40"/>
    </row>
    <row r="373" spans="18:18" ht="15.75" customHeight="1" x14ac:dyDescent="0.2">
      <c r="R373" s="40"/>
    </row>
    <row r="374" spans="18:18" ht="15.75" customHeight="1" x14ac:dyDescent="0.2">
      <c r="R374" s="40"/>
    </row>
    <row r="375" spans="18:18" ht="15.75" customHeight="1" x14ac:dyDescent="0.2">
      <c r="R375" s="40"/>
    </row>
    <row r="376" spans="18:18" ht="15.75" customHeight="1" x14ac:dyDescent="0.2">
      <c r="R376" s="40"/>
    </row>
    <row r="377" spans="18:18" ht="15.75" customHeight="1" x14ac:dyDescent="0.2">
      <c r="R377" s="40"/>
    </row>
    <row r="378" spans="18:18" ht="15.75" customHeight="1" x14ac:dyDescent="0.2">
      <c r="R378" s="40"/>
    </row>
    <row r="379" spans="18:18" ht="15.75" customHeight="1" x14ac:dyDescent="0.2">
      <c r="R379" s="40"/>
    </row>
    <row r="380" spans="18:18" ht="15.75" customHeight="1" x14ac:dyDescent="0.2">
      <c r="R380" s="40"/>
    </row>
    <row r="381" spans="18:18" ht="15.75" customHeight="1" x14ac:dyDescent="0.2">
      <c r="R381" s="40"/>
    </row>
    <row r="382" spans="18:18" ht="15.75" customHeight="1" x14ac:dyDescent="0.2">
      <c r="R382" s="40"/>
    </row>
    <row r="383" spans="18:18" ht="15.75" customHeight="1" x14ac:dyDescent="0.2">
      <c r="R383" s="40"/>
    </row>
    <row r="384" spans="18:18" ht="15.75" customHeight="1" x14ac:dyDescent="0.2">
      <c r="R384" s="40"/>
    </row>
    <row r="385" spans="18:18" ht="15.75" customHeight="1" x14ac:dyDescent="0.2">
      <c r="R385" s="40"/>
    </row>
    <row r="386" spans="18:18" ht="15.75" customHeight="1" x14ac:dyDescent="0.2">
      <c r="R386" s="40"/>
    </row>
    <row r="387" spans="18:18" ht="15.75" customHeight="1" x14ac:dyDescent="0.2">
      <c r="R387" s="40"/>
    </row>
    <row r="388" spans="18:18" ht="15.75" customHeight="1" x14ac:dyDescent="0.2">
      <c r="R388" s="40"/>
    </row>
    <row r="389" spans="18:18" ht="15.75" customHeight="1" x14ac:dyDescent="0.2">
      <c r="R389" s="40"/>
    </row>
    <row r="390" spans="18:18" ht="15.75" customHeight="1" x14ac:dyDescent="0.2">
      <c r="R390" s="40"/>
    </row>
    <row r="391" spans="18:18" ht="15.75" customHeight="1" x14ac:dyDescent="0.2">
      <c r="R391" s="40"/>
    </row>
    <row r="392" spans="18:18" ht="15.75" customHeight="1" x14ac:dyDescent="0.2">
      <c r="R392" s="40"/>
    </row>
    <row r="393" spans="18:18" ht="15.75" customHeight="1" x14ac:dyDescent="0.2">
      <c r="R393" s="40"/>
    </row>
    <row r="394" spans="18:18" ht="15.75" customHeight="1" x14ac:dyDescent="0.2">
      <c r="R394" s="40"/>
    </row>
    <row r="395" spans="18:18" ht="15.75" customHeight="1" x14ac:dyDescent="0.2">
      <c r="R395" s="40"/>
    </row>
    <row r="396" spans="18:18" ht="15.75" customHeight="1" x14ac:dyDescent="0.2">
      <c r="R396" s="40"/>
    </row>
    <row r="397" spans="18:18" ht="15.75" customHeight="1" x14ac:dyDescent="0.2">
      <c r="R397" s="40"/>
    </row>
    <row r="398" spans="18:18" ht="15.75" customHeight="1" x14ac:dyDescent="0.2">
      <c r="R398" s="40"/>
    </row>
    <row r="399" spans="18:18" ht="15.75" customHeight="1" x14ac:dyDescent="0.2">
      <c r="R399" s="40"/>
    </row>
    <row r="400" spans="18:18" ht="15.75" customHeight="1" x14ac:dyDescent="0.2">
      <c r="R400" s="40"/>
    </row>
    <row r="401" spans="18:18" ht="15.75" customHeight="1" x14ac:dyDescent="0.2">
      <c r="R401" s="40"/>
    </row>
    <row r="402" spans="18:18" ht="15.75" customHeight="1" x14ac:dyDescent="0.2">
      <c r="R402" s="40"/>
    </row>
    <row r="403" spans="18:18" ht="15.75" customHeight="1" x14ac:dyDescent="0.2">
      <c r="R403" s="40"/>
    </row>
    <row r="404" spans="18:18" ht="15.75" customHeight="1" x14ac:dyDescent="0.2">
      <c r="R404" s="40"/>
    </row>
    <row r="405" spans="18:18" ht="15.75" customHeight="1" x14ac:dyDescent="0.2">
      <c r="R405" s="40"/>
    </row>
    <row r="406" spans="18:18" ht="15.75" customHeight="1" x14ac:dyDescent="0.2">
      <c r="R406" s="40"/>
    </row>
    <row r="407" spans="18:18" ht="15.75" customHeight="1" x14ac:dyDescent="0.2">
      <c r="R407" s="40"/>
    </row>
    <row r="408" spans="18:18" ht="15.75" customHeight="1" x14ac:dyDescent="0.2">
      <c r="R408" s="40"/>
    </row>
    <row r="409" spans="18:18" ht="15.75" customHeight="1" x14ac:dyDescent="0.2">
      <c r="R409" s="40"/>
    </row>
    <row r="410" spans="18:18" ht="15.75" customHeight="1" x14ac:dyDescent="0.2">
      <c r="R410" s="40"/>
    </row>
    <row r="411" spans="18:18" ht="15.75" customHeight="1" x14ac:dyDescent="0.2">
      <c r="R411" s="40"/>
    </row>
    <row r="412" spans="18:18" ht="15.75" customHeight="1" x14ac:dyDescent="0.2">
      <c r="R412" s="40"/>
    </row>
    <row r="413" spans="18:18" ht="15.75" customHeight="1" x14ac:dyDescent="0.2">
      <c r="R413" s="40"/>
    </row>
    <row r="414" spans="18:18" ht="15.75" customHeight="1" x14ac:dyDescent="0.2">
      <c r="R414" s="40"/>
    </row>
    <row r="415" spans="18:18" ht="15.75" customHeight="1" x14ac:dyDescent="0.2">
      <c r="R415" s="40"/>
    </row>
    <row r="416" spans="18:18" ht="15.75" customHeight="1" x14ac:dyDescent="0.2">
      <c r="R416" s="40"/>
    </row>
    <row r="417" spans="18:18" ht="15.75" customHeight="1" x14ac:dyDescent="0.2">
      <c r="R417" s="40"/>
    </row>
    <row r="418" spans="18:18" ht="15.75" customHeight="1" x14ac:dyDescent="0.2">
      <c r="R418" s="40"/>
    </row>
    <row r="419" spans="18:18" ht="15.75" customHeight="1" x14ac:dyDescent="0.2">
      <c r="R419" s="40"/>
    </row>
    <row r="420" spans="18:18" ht="15.75" customHeight="1" x14ac:dyDescent="0.2">
      <c r="R420" s="40"/>
    </row>
    <row r="421" spans="18:18" ht="15.75" customHeight="1" x14ac:dyDescent="0.2">
      <c r="R421" s="40"/>
    </row>
    <row r="422" spans="18:18" ht="15.75" customHeight="1" x14ac:dyDescent="0.2">
      <c r="R422" s="40"/>
    </row>
    <row r="423" spans="18:18" ht="15.75" customHeight="1" x14ac:dyDescent="0.2">
      <c r="R423" s="40"/>
    </row>
    <row r="424" spans="18:18" ht="15.75" customHeight="1" x14ac:dyDescent="0.2">
      <c r="R424" s="40"/>
    </row>
    <row r="425" spans="18:18" ht="15.75" customHeight="1" x14ac:dyDescent="0.2">
      <c r="R425" s="40"/>
    </row>
    <row r="426" spans="18:18" ht="15.75" customHeight="1" x14ac:dyDescent="0.2">
      <c r="R426" s="40"/>
    </row>
    <row r="427" spans="18:18" ht="15.75" customHeight="1" x14ac:dyDescent="0.2">
      <c r="R427" s="40"/>
    </row>
    <row r="428" spans="18:18" ht="15.75" customHeight="1" x14ac:dyDescent="0.2">
      <c r="R428" s="40"/>
    </row>
    <row r="429" spans="18:18" ht="15.75" customHeight="1" x14ac:dyDescent="0.2">
      <c r="R429" s="40"/>
    </row>
    <row r="430" spans="18:18" ht="15.75" customHeight="1" x14ac:dyDescent="0.2">
      <c r="R430" s="40"/>
    </row>
    <row r="431" spans="18:18" ht="15.75" customHeight="1" x14ac:dyDescent="0.2">
      <c r="R431" s="40"/>
    </row>
    <row r="432" spans="18:18" ht="15.75" customHeight="1" x14ac:dyDescent="0.2">
      <c r="R432" s="40"/>
    </row>
    <row r="433" spans="18:18" ht="15.75" customHeight="1" x14ac:dyDescent="0.2">
      <c r="R433" s="40"/>
    </row>
    <row r="434" spans="18:18" ht="15.75" customHeight="1" x14ac:dyDescent="0.2">
      <c r="R434" s="40"/>
    </row>
    <row r="435" spans="18:18" ht="15.75" customHeight="1" x14ac:dyDescent="0.2">
      <c r="R435" s="40"/>
    </row>
    <row r="436" spans="18:18" ht="15.75" customHeight="1" x14ac:dyDescent="0.2">
      <c r="R436" s="40"/>
    </row>
    <row r="437" spans="18:18" ht="15.75" customHeight="1" x14ac:dyDescent="0.2">
      <c r="R437" s="40"/>
    </row>
    <row r="438" spans="18:18" ht="15.75" customHeight="1" x14ac:dyDescent="0.2">
      <c r="R438" s="40"/>
    </row>
    <row r="439" spans="18:18" ht="15.75" customHeight="1" x14ac:dyDescent="0.2">
      <c r="R439" s="40"/>
    </row>
    <row r="440" spans="18:18" ht="15.75" customHeight="1" x14ac:dyDescent="0.2">
      <c r="R440" s="40"/>
    </row>
    <row r="441" spans="18:18" ht="15.75" customHeight="1" x14ac:dyDescent="0.2">
      <c r="R441" s="40"/>
    </row>
    <row r="442" spans="18:18" ht="15.75" customHeight="1" x14ac:dyDescent="0.2">
      <c r="R442" s="40"/>
    </row>
    <row r="443" spans="18:18" ht="15.75" customHeight="1" x14ac:dyDescent="0.2">
      <c r="R443" s="40"/>
    </row>
    <row r="444" spans="18:18" ht="15.75" customHeight="1" x14ac:dyDescent="0.2">
      <c r="R444" s="40"/>
    </row>
    <row r="445" spans="18:18" ht="15.75" customHeight="1" x14ac:dyDescent="0.2">
      <c r="R445" s="40"/>
    </row>
    <row r="446" spans="18:18" ht="15.75" customHeight="1" x14ac:dyDescent="0.2">
      <c r="R446" s="40"/>
    </row>
    <row r="447" spans="18:18" ht="15.75" customHeight="1" x14ac:dyDescent="0.2">
      <c r="R447" s="40"/>
    </row>
    <row r="448" spans="18:18" ht="15.75" customHeight="1" x14ac:dyDescent="0.2">
      <c r="R448" s="40"/>
    </row>
    <row r="449" spans="18:18" ht="15.75" customHeight="1" x14ac:dyDescent="0.2">
      <c r="R449" s="40"/>
    </row>
    <row r="450" spans="18:18" ht="15.75" customHeight="1" x14ac:dyDescent="0.2">
      <c r="R450" s="40"/>
    </row>
    <row r="451" spans="18:18" ht="15.75" customHeight="1" x14ac:dyDescent="0.2">
      <c r="R451" s="40"/>
    </row>
    <row r="452" spans="18:18" ht="15.75" customHeight="1" x14ac:dyDescent="0.2">
      <c r="R452" s="40"/>
    </row>
    <row r="453" spans="18:18" ht="15.75" customHeight="1" x14ac:dyDescent="0.2">
      <c r="R453" s="40"/>
    </row>
    <row r="454" spans="18:18" ht="15.75" customHeight="1" x14ac:dyDescent="0.2">
      <c r="R454" s="40"/>
    </row>
    <row r="455" spans="18:18" ht="15.75" customHeight="1" x14ac:dyDescent="0.2">
      <c r="R455" s="40"/>
    </row>
    <row r="456" spans="18:18" ht="15.75" customHeight="1" x14ac:dyDescent="0.2">
      <c r="R456" s="40"/>
    </row>
    <row r="457" spans="18:18" ht="15.75" customHeight="1" x14ac:dyDescent="0.2">
      <c r="R457" s="40"/>
    </row>
    <row r="458" spans="18:18" ht="15.75" customHeight="1" x14ac:dyDescent="0.2">
      <c r="R458" s="40"/>
    </row>
    <row r="459" spans="18:18" ht="15.75" customHeight="1" x14ac:dyDescent="0.2">
      <c r="R459" s="40"/>
    </row>
    <row r="460" spans="18:18" ht="15.75" customHeight="1" x14ac:dyDescent="0.2">
      <c r="R460" s="40"/>
    </row>
    <row r="461" spans="18:18" ht="15.75" customHeight="1" x14ac:dyDescent="0.2">
      <c r="R461" s="40"/>
    </row>
    <row r="462" spans="18:18" ht="15.75" customHeight="1" x14ac:dyDescent="0.2">
      <c r="R462" s="40"/>
    </row>
    <row r="463" spans="18:18" ht="15.75" customHeight="1" x14ac:dyDescent="0.2">
      <c r="R463" s="40"/>
    </row>
    <row r="464" spans="18:18" ht="15.75" customHeight="1" x14ac:dyDescent="0.2">
      <c r="R464" s="40"/>
    </row>
    <row r="465" spans="18:18" ht="15.75" customHeight="1" x14ac:dyDescent="0.2">
      <c r="R465" s="40"/>
    </row>
    <row r="466" spans="18:18" ht="15.75" customHeight="1" x14ac:dyDescent="0.2">
      <c r="R466" s="40"/>
    </row>
    <row r="467" spans="18:18" ht="15.75" customHeight="1" x14ac:dyDescent="0.2">
      <c r="R467" s="40"/>
    </row>
    <row r="468" spans="18:18" ht="15.75" customHeight="1" x14ac:dyDescent="0.2">
      <c r="R468" s="40"/>
    </row>
    <row r="469" spans="18:18" ht="15.75" customHeight="1" x14ac:dyDescent="0.2">
      <c r="R469" s="40"/>
    </row>
    <row r="470" spans="18:18" ht="15.75" customHeight="1" x14ac:dyDescent="0.2">
      <c r="R470" s="40"/>
    </row>
    <row r="471" spans="18:18" ht="15.75" customHeight="1" x14ac:dyDescent="0.2">
      <c r="R471" s="40"/>
    </row>
    <row r="472" spans="18:18" ht="15.75" customHeight="1" x14ac:dyDescent="0.2">
      <c r="R472" s="40"/>
    </row>
    <row r="473" spans="18:18" ht="15.75" customHeight="1" x14ac:dyDescent="0.2">
      <c r="R473" s="40"/>
    </row>
    <row r="474" spans="18:18" ht="15.75" customHeight="1" x14ac:dyDescent="0.2">
      <c r="R474" s="40"/>
    </row>
    <row r="475" spans="18:18" ht="15.75" customHeight="1" x14ac:dyDescent="0.2">
      <c r="R475" s="40"/>
    </row>
    <row r="476" spans="18:18" ht="15.75" customHeight="1" x14ac:dyDescent="0.2">
      <c r="R476" s="40"/>
    </row>
    <row r="477" spans="18:18" ht="15.75" customHeight="1" x14ac:dyDescent="0.2">
      <c r="R477" s="40"/>
    </row>
    <row r="478" spans="18:18" ht="15.75" customHeight="1" x14ac:dyDescent="0.2">
      <c r="R478" s="40"/>
    </row>
    <row r="479" spans="18:18" ht="15.75" customHeight="1" x14ac:dyDescent="0.2">
      <c r="R479" s="40"/>
    </row>
    <row r="480" spans="18:18" ht="15.75" customHeight="1" x14ac:dyDescent="0.2">
      <c r="R480" s="40"/>
    </row>
    <row r="481" spans="18:18" ht="15.75" customHeight="1" x14ac:dyDescent="0.2">
      <c r="R481" s="40"/>
    </row>
    <row r="482" spans="18:18" ht="15.75" customHeight="1" x14ac:dyDescent="0.2">
      <c r="R482" s="40"/>
    </row>
    <row r="483" spans="18:18" ht="15.75" customHeight="1" x14ac:dyDescent="0.2">
      <c r="R483" s="40"/>
    </row>
    <row r="484" spans="18:18" ht="15.75" customHeight="1" x14ac:dyDescent="0.2">
      <c r="R484" s="40"/>
    </row>
    <row r="485" spans="18:18" ht="15.75" customHeight="1" x14ac:dyDescent="0.2">
      <c r="R485" s="40"/>
    </row>
    <row r="486" spans="18:18" ht="15.75" customHeight="1" x14ac:dyDescent="0.2">
      <c r="R486" s="40"/>
    </row>
    <row r="487" spans="18:18" ht="15.75" customHeight="1" x14ac:dyDescent="0.2">
      <c r="R487" s="40"/>
    </row>
    <row r="488" spans="18:18" ht="15.75" customHeight="1" x14ac:dyDescent="0.2">
      <c r="R488" s="40"/>
    </row>
    <row r="489" spans="18:18" ht="15.75" customHeight="1" x14ac:dyDescent="0.2">
      <c r="R489" s="40"/>
    </row>
    <row r="490" spans="18:18" ht="15.75" customHeight="1" x14ac:dyDescent="0.2">
      <c r="R490" s="40"/>
    </row>
    <row r="491" spans="18:18" ht="15.75" customHeight="1" x14ac:dyDescent="0.2">
      <c r="R491" s="40"/>
    </row>
    <row r="492" spans="18:18" ht="15.75" customHeight="1" x14ac:dyDescent="0.2">
      <c r="R492" s="40"/>
    </row>
    <row r="493" spans="18:18" ht="15.75" customHeight="1" x14ac:dyDescent="0.2">
      <c r="R493" s="40"/>
    </row>
    <row r="494" spans="18:18" ht="15.75" customHeight="1" x14ac:dyDescent="0.2">
      <c r="R494" s="40"/>
    </row>
    <row r="495" spans="18:18" ht="15.75" customHeight="1" x14ac:dyDescent="0.2">
      <c r="R495" s="40"/>
    </row>
    <row r="496" spans="18:18" ht="15.75" customHeight="1" x14ac:dyDescent="0.2">
      <c r="R496" s="40"/>
    </row>
    <row r="497" spans="18:18" ht="15.75" customHeight="1" x14ac:dyDescent="0.2">
      <c r="R497" s="40"/>
    </row>
    <row r="498" spans="18:18" ht="15.75" customHeight="1" x14ac:dyDescent="0.2">
      <c r="R498" s="40"/>
    </row>
    <row r="499" spans="18:18" ht="15.75" customHeight="1" x14ac:dyDescent="0.2">
      <c r="R499" s="40"/>
    </row>
    <row r="500" spans="18:18" ht="15.75" customHeight="1" x14ac:dyDescent="0.2">
      <c r="R500" s="40"/>
    </row>
    <row r="501" spans="18:18" ht="15.75" customHeight="1" x14ac:dyDescent="0.2">
      <c r="R501" s="40"/>
    </row>
    <row r="502" spans="18:18" ht="15.75" customHeight="1" x14ac:dyDescent="0.2">
      <c r="R502" s="40"/>
    </row>
    <row r="503" spans="18:18" ht="15.75" customHeight="1" x14ac:dyDescent="0.2">
      <c r="R503" s="40"/>
    </row>
    <row r="504" spans="18:18" ht="15.75" customHeight="1" x14ac:dyDescent="0.2">
      <c r="R504" s="40"/>
    </row>
    <row r="505" spans="18:18" ht="15.75" customHeight="1" x14ac:dyDescent="0.2">
      <c r="R505" s="40"/>
    </row>
    <row r="506" spans="18:18" ht="15.75" customHeight="1" x14ac:dyDescent="0.2">
      <c r="R506" s="40"/>
    </row>
    <row r="507" spans="18:18" ht="15.75" customHeight="1" x14ac:dyDescent="0.2">
      <c r="R507" s="40"/>
    </row>
    <row r="508" spans="18:18" ht="15.75" customHeight="1" x14ac:dyDescent="0.2">
      <c r="R508" s="40"/>
    </row>
    <row r="509" spans="18:18" ht="15.75" customHeight="1" x14ac:dyDescent="0.2">
      <c r="R509" s="40"/>
    </row>
    <row r="510" spans="18:18" ht="15.75" customHeight="1" x14ac:dyDescent="0.2">
      <c r="R510" s="40"/>
    </row>
    <row r="511" spans="18:18" ht="15.75" customHeight="1" x14ac:dyDescent="0.2">
      <c r="R511" s="40"/>
    </row>
    <row r="512" spans="18:18" ht="15.75" customHeight="1" x14ac:dyDescent="0.2">
      <c r="R512" s="40"/>
    </row>
    <row r="513" spans="18:18" ht="15.75" customHeight="1" x14ac:dyDescent="0.2">
      <c r="R513" s="40"/>
    </row>
    <row r="514" spans="18:18" ht="15.75" customHeight="1" x14ac:dyDescent="0.2">
      <c r="R514" s="40"/>
    </row>
    <row r="515" spans="18:18" ht="15.75" customHeight="1" x14ac:dyDescent="0.2">
      <c r="R515" s="40"/>
    </row>
    <row r="516" spans="18:18" ht="15.75" customHeight="1" x14ac:dyDescent="0.2">
      <c r="R516" s="40"/>
    </row>
    <row r="517" spans="18:18" ht="15.75" customHeight="1" x14ac:dyDescent="0.2">
      <c r="R517" s="40"/>
    </row>
    <row r="518" spans="18:18" ht="15.75" customHeight="1" x14ac:dyDescent="0.2">
      <c r="R518" s="40"/>
    </row>
    <row r="519" spans="18:18" ht="15.75" customHeight="1" x14ac:dyDescent="0.2">
      <c r="R519" s="40"/>
    </row>
    <row r="520" spans="18:18" ht="15.75" customHeight="1" x14ac:dyDescent="0.2">
      <c r="R520" s="40"/>
    </row>
    <row r="521" spans="18:18" ht="15.75" customHeight="1" x14ac:dyDescent="0.2">
      <c r="R521" s="40"/>
    </row>
    <row r="522" spans="18:18" ht="15.75" customHeight="1" x14ac:dyDescent="0.2">
      <c r="R522" s="40"/>
    </row>
    <row r="523" spans="18:18" ht="15.75" customHeight="1" x14ac:dyDescent="0.2">
      <c r="R523" s="40"/>
    </row>
    <row r="524" spans="18:18" ht="15.75" customHeight="1" x14ac:dyDescent="0.2">
      <c r="R524" s="40"/>
    </row>
    <row r="525" spans="18:18" ht="15.75" customHeight="1" x14ac:dyDescent="0.2">
      <c r="R525" s="40"/>
    </row>
    <row r="526" spans="18:18" ht="15.75" customHeight="1" x14ac:dyDescent="0.2">
      <c r="R526" s="40"/>
    </row>
    <row r="527" spans="18:18" ht="15.75" customHeight="1" x14ac:dyDescent="0.2">
      <c r="R527" s="40"/>
    </row>
    <row r="528" spans="18:18" ht="15.75" customHeight="1" x14ac:dyDescent="0.2">
      <c r="R528" s="40"/>
    </row>
    <row r="529" spans="18:18" ht="15.75" customHeight="1" x14ac:dyDescent="0.2">
      <c r="R529" s="40"/>
    </row>
    <row r="530" spans="18:18" ht="15.75" customHeight="1" x14ac:dyDescent="0.2">
      <c r="R530" s="40"/>
    </row>
    <row r="531" spans="18:18" ht="15.75" customHeight="1" x14ac:dyDescent="0.2">
      <c r="R531" s="40"/>
    </row>
    <row r="532" spans="18:18" ht="15.75" customHeight="1" x14ac:dyDescent="0.2">
      <c r="R532" s="40"/>
    </row>
    <row r="533" spans="18:18" ht="15.75" customHeight="1" x14ac:dyDescent="0.2">
      <c r="R533" s="40"/>
    </row>
    <row r="534" spans="18:18" ht="15.75" customHeight="1" x14ac:dyDescent="0.2">
      <c r="R534" s="40"/>
    </row>
    <row r="535" spans="18:18" ht="15.75" customHeight="1" x14ac:dyDescent="0.2">
      <c r="R535" s="40"/>
    </row>
    <row r="536" spans="18:18" ht="15.75" customHeight="1" x14ac:dyDescent="0.2">
      <c r="R536" s="40"/>
    </row>
    <row r="537" spans="18:18" ht="15.75" customHeight="1" x14ac:dyDescent="0.2">
      <c r="R537" s="40"/>
    </row>
    <row r="538" spans="18:18" ht="15.75" customHeight="1" x14ac:dyDescent="0.2">
      <c r="R538" s="40"/>
    </row>
    <row r="539" spans="18:18" ht="15.75" customHeight="1" x14ac:dyDescent="0.2">
      <c r="R539" s="40"/>
    </row>
    <row r="540" spans="18:18" ht="15.75" customHeight="1" x14ac:dyDescent="0.2">
      <c r="R540" s="40"/>
    </row>
    <row r="541" spans="18:18" ht="15.75" customHeight="1" x14ac:dyDescent="0.2">
      <c r="R541" s="40"/>
    </row>
    <row r="542" spans="18:18" ht="15.75" customHeight="1" x14ac:dyDescent="0.2">
      <c r="R542" s="40"/>
    </row>
    <row r="543" spans="18:18" ht="15.75" customHeight="1" x14ac:dyDescent="0.2">
      <c r="R543" s="40"/>
    </row>
    <row r="544" spans="18:18" ht="15.75" customHeight="1" x14ac:dyDescent="0.2">
      <c r="R544" s="40"/>
    </row>
    <row r="545" spans="18:18" ht="15.75" customHeight="1" x14ac:dyDescent="0.2">
      <c r="R545" s="40"/>
    </row>
    <row r="546" spans="18:18" ht="15.75" customHeight="1" x14ac:dyDescent="0.2">
      <c r="R546" s="40"/>
    </row>
    <row r="547" spans="18:18" ht="15.75" customHeight="1" x14ac:dyDescent="0.2">
      <c r="R547" s="40"/>
    </row>
    <row r="548" spans="18:18" ht="15.75" customHeight="1" x14ac:dyDescent="0.2">
      <c r="R548" s="40"/>
    </row>
    <row r="549" spans="18:18" ht="15.75" customHeight="1" x14ac:dyDescent="0.2">
      <c r="R549" s="40"/>
    </row>
    <row r="550" spans="18:18" ht="15.75" customHeight="1" x14ac:dyDescent="0.2">
      <c r="R550" s="40"/>
    </row>
    <row r="551" spans="18:18" ht="15.75" customHeight="1" x14ac:dyDescent="0.2">
      <c r="R551" s="40"/>
    </row>
    <row r="552" spans="18:18" ht="15.75" customHeight="1" x14ac:dyDescent="0.2">
      <c r="R552" s="40"/>
    </row>
    <row r="553" spans="18:18" ht="15.75" customHeight="1" x14ac:dyDescent="0.2">
      <c r="R553" s="40"/>
    </row>
    <row r="554" spans="18:18" ht="15.75" customHeight="1" x14ac:dyDescent="0.2">
      <c r="R554" s="40"/>
    </row>
    <row r="555" spans="18:18" ht="15.75" customHeight="1" x14ac:dyDescent="0.2">
      <c r="R555" s="40"/>
    </row>
    <row r="556" spans="18:18" ht="15.75" customHeight="1" x14ac:dyDescent="0.2">
      <c r="R556" s="40"/>
    </row>
    <row r="557" spans="18:18" ht="15.75" customHeight="1" x14ac:dyDescent="0.2">
      <c r="R557" s="40"/>
    </row>
    <row r="558" spans="18:18" ht="15.75" customHeight="1" x14ac:dyDescent="0.2">
      <c r="R558" s="40"/>
    </row>
    <row r="559" spans="18:18" ht="15.75" customHeight="1" x14ac:dyDescent="0.2">
      <c r="R559" s="40"/>
    </row>
    <row r="560" spans="18:18" ht="15.75" customHeight="1" x14ac:dyDescent="0.2">
      <c r="R560" s="40"/>
    </row>
    <row r="561" spans="18:18" ht="15.75" customHeight="1" x14ac:dyDescent="0.2">
      <c r="R561" s="40"/>
    </row>
    <row r="562" spans="18:18" ht="15.75" customHeight="1" x14ac:dyDescent="0.2">
      <c r="R562" s="40"/>
    </row>
    <row r="563" spans="18:18" ht="15.75" customHeight="1" x14ac:dyDescent="0.2">
      <c r="R563" s="40"/>
    </row>
    <row r="564" spans="18:18" ht="15.75" customHeight="1" x14ac:dyDescent="0.2">
      <c r="R564" s="40"/>
    </row>
    <row r="565" spans="18:18" ht="15.75" customHeight="1" x14ac:dyDescent="0.2">
      <c r="R565" s="40"/>
    </row>
    <row r="566" spans="18:18" ht="15.75" customHeight="1" x14ac:dyDescent="0.2">
      <c r="R566" s="40"/>
    </row>
    <row r="567" spans="18:18" ht="15.75" customHeight="1" x14ac:dyDescent="0.2">
      <c r="R567" s="40"/>
    </row>
    <row r="568" spans="18:18" ht="15.75" customHeight="1" x14ac:dyDescent="0.2">
      <c r="R568" s="40"/>
    </row>
    <row r="569" spans="18:18" ht="15.75" customHeight="1" x14ac:dyDescent="0.2">
      <c r="R569" s="40"/>
    </row>
    <row r="570" spans="18:18" ht="15.75" customHeight="1" x14ac:dyDescent="0.2">
      <c r="R570" s="40"/>
    </row>
    <row r="571" spans="18:18" ht="15.75" customHeight="1" x14ac:dyDescent="0.2">
      <c r="R571" s="40"/>
    </row>
    <row r="572" spans="18:18" ht="15.75" customHeight="1" x14ac:dyDescent="0.2">
      <c r="R572" s="40"/>
    </row>
    <row r="573" spans="18:18" ht="15.75" customHeight="1" x14ac:dyDescent="0.2">
      <c r="R573" s="40"/>
    </row>
    <row r="574" spans="18:18" ht="15.75" customHeight="1" x14ac:dyDescent="0.2">
      <c r="R574" s="40"/>
    </row>
    <row r="575" spans="18:18" ht="15.75" customHeight="1" x14ac:dyDescent="0.2">
      <c r="R575" s="40"/>
    </row>
    <row r="576" spans="18:18" ht="15.75" customHeight="1" x14ac:dyDescent="0.2">
      <c r="R576" s="40"/>
    </row>
    <row r="577" spans="18:18" ht="15.75" customHeight="1" x14ac:dyDescent="0.2">
      <c r="R577" s="40"/>
    </row>
    <row r="578" spans="18:18" ht="15.75" customHeight="1" x14ac:dyDescent="0.2">
      <c r="R578" s="40"/>
    </row>
    <row r="579" spans="18:18" ht="15.75" customHeight="1" x14ac:dyDescent="0.2">
      <c r="R579" s="40"/>
    </row>
    <row r="580" spans="18:18" ht="15.75" customHeight="1" x14ac:dyDescent="0.2">
      <c r="R580" s="40"/>
    </row>
    <row r="581" spans="18:18" ht="15.75" customHeight="1" x14ac:dyDescent="0.2">
      <c r="R581" s="40"/>
    </row>
    <row r="582" spans="18:18" ht="15.75" customHeight="1" x14ac:dyDescent="0.2">
      <c r="R582" s="40"/>
    </row>
    <row r="583" spans="18:18" ht="15.75" customHeight="1" x14ac:dyDescent="0.2">
      <c r="R583" s="40"/>
    </row>
    <row r="584" spans="18:18" ht="15.75" customHeight="1" x14ac:dyDescent="0.2">
      <c r="R584" s="40"/>
    </row>
    <row r="585" spans="18:18" ht="15.75" customHeight="1" x14ac:dyDescent="0.2">
      <c r="R585" s="40"/>
    </row>
    <row r="586" spans="18:18" ht="15.75" customHeight="1" x14ac:dyDescent="0.2">
      <c r="R586" s="40"/>
    </row>
    <row r="587" spans="18:18" ht="15.75" customHeight="1" x14ac:dyDescent="0.2">
      <c r="R587" s="40"/>
    </row>
    <row r="588" spans="18:18" ht="15.75" customHeight="1" x14ac:dyDescent="0.2">
      <c r="R588" s="40"/>
    </row>
    <row r="589" spans="18:18" ht="15.75" customHeight="1" x14ac:dyDescent="0.2">
      <c r="R589" s="40"/>
    </row>
    <row r="590" spans="18:18" ht="15.75" customHeight="1" x14ac:dyDescent="0.2">
      <c r="R590" s="40"/>
    </row>
    <row r="591" spans="18:18" ht="15.75" customHeight="1" x14ac:dyDescent="0.2">
      <c r="R591" s="40"/>
    </row>
    <row r="592" spans="18:18" ht="15.75" customHeight="1" x14ac:dyDescent="0.2">
      <c r="R592" s="40"/>
    </row>
    <row r="593" spans="18:18" ht="15.75" customHeight="1" x14ac:dyDescent="0.2">
      <c r="R593" s="40"/>
    </row>
    <row r="594" spans="18:18" ht="15.75" customHeight="1" x14ac:dyDescent="0.2">
      <c r="R594" s="40"/>
    </row>
    <row r="595" spans="18:18" ht="15.75" customHeight="1" x14ac:dyDescent="0.2">
      <c r="R595" s="40"/>
    </row>
    <row r="596" spans="18:18" ht="15.75" customHeight="1" x14ac:dyDescent="0.2">
      <c r="R596" s="40"/>
    </row>
    <row r="597" spans="18:18" ht="15.75" customHeight="1" x14ac:dyDescent="0.2">
      <c r="R597" s="40"/>
    </row>
    <row r="598" spans="18:18" ht="15.75" customHeight="1" x14ac:dyDescent="0.2">
      <c r="R598" s="40"/>
    </row>
    <row r="599" spans="18:18" ht="15.75" customHeight="1" x14ac:dyDescent="0.2">
      <c r="R599" s="40"/>
    </row>
    <row r="600" spans="18:18" ht="15.75" customHeight="1" x14ac:dyDescent="0.2">
      <c r="R600" s="40"/>
    </row>
    <row r="601" spans="18:18" ht="15.75" customHeight="1" x14ac:dyDescent="0.2">
      <c r="R601" s="40"/>
    </row>
    <row r="602" spans="18:18" ht="15.75" customHeight="1" x14ac:dyDescent="0.2">
      <c r="R602" s="40"/>
    </row>
    <row r="603" spans="18:18" ht="15.75" customHeight="1" x14ac:dyDescent="0.2">
      <c r="R603" s="40"/>
    </row>
    <row r="604" spans="18:18" ht="15.75" customHeight="1" x14ac:dyDescent="0.2">
      <c r="R604" s="40"/>
    </row>
    <row r="605" spans="18:18" ht="15.75" customHeight="1" x14ac:dyDescent="0.2">
      <c r="R605" s="40"/>
    </row>
    <row r="606" spans="18:18" ht="15.75" customHeight="1" x14ac:dyDescent="0.2">
      <c r="R606" s="40"/>
    </row>
    <row r="607" spans="18:18" ht="15.75" customHeight="1" x14ac:dyDescent="0.2">
      <c r="R607" s="40"/>
    </row>
    <row r="608" spans="18:18" ht="15.75" customHeight="1" x14ac:dyDescent="0.2">
      <c r="R608" s="40"/>
    </row>
    <row r="609" spans="18:18" ht="15.75" customHeight="1" x14ac:dyDescent="0.2">
      <c r="R609" s="40"/>
    </row>
    <row r="610" spans="18:18" ht="15.75" customHeight="1" x14ac:dyDescent="0.2">
      <c r="R610" s="40"/>
    </row>
    <row r="611" spans="18:18" ht="15.75" customHeight="1" x14ac:dyDescent="0.2">
      <c r="R611" s="40"/>
    </row>
    <row r="612" spans="18:18" ht="15.75" customHeight="1" x14ac:dyDescent="0.2">
      <c r="R612" s="40"/>
    </row>
    <row r="613" spans="18:18" ht="15.75" customHeight="1" x14ac:dyDescent="0.2">
      <c r="R613" s="40"/>
    </row>
    <row r="614" spans="18:18" ht="15.75" customHeight="1" x14ac:dyDescent="0.2">
      <c r="R614" s="40"/>
    </row>
    <row r="615" spans="18:18" ht="15.75" customHeight="1" x14ac:dyDescent="0.2">
      <c r="R615" s="40"/>
    </row>
    <row r="616" spans="18:18" ht="15.75" customHeight="1" x14ac:dyDescent="0.2">
      <c r="R616" s="40"/>
    </row>
    <row r="617" spans="18:18" ht="15.75" customHeight="1" x14ac:dyDescent="0.2">
      <c r="R617" s="40"/>
    </row>
    <row r="618" spans="18:18" ht="15.75" customHeight="1" x14ac:dyDescent="0.2">
      <c r="R618" s="40"/>
    </row>
    <row r="619" spans="18:18" ht="15.75" customHeight="1" x14ac:dyDescent="0.2">
      <c r="R619" s="40"/>
    </row>
    <row r="620" spans="18:18" ht="15.75" customHeight="1" x14ac:dyDescent="0.2">
      <c r="R620" s="40"/>
    </row>
    <row r="621" spans="18:18" ht="15.75" customHeight="1" x14ac:dyDescent="0.2">
      <c r="R621" s="40"/>
    </row>
    <row r="622" spans="18:18" ht="15.75" customHeight="1" x14ac:dyDescent="0.2">
      <c r="R622" s="40"/>
    </row>
    <row r="623" spans="18:18" ht="15.75" customHeight="1" x14ac:dyDescent="0.2">
      <c r="R623" s="40"/>
    </row>
    <row r="624" spans="18:18" ht="15.75" customHeight="1" x14ac:dyDescent="0.2">
      <c r="R624" s="40"/>
    </row>
    <row r="625" spans="18:18" ht="15.75" customHeight="1" x14ac:dyDescent="0.2">
      <c r="R625" s="40"/>
    </row>
    <row r="626" spans="18:18" ht="15.75" customHeight="1" x14ac:dyDescent="0.2">
      <c r="R626" s="40"/>
    </row>
    <row r="627" spans="18:18" ht="15.75" customHeight="1" x14ac:dyDescent="0.2">
      <c r="R627" s="40"/>
    </row>
    <row r="628" spans="18:18" ht="15.75" customHeight="1" x14ac:dyDescent="0.2">
      <c r="R628" s="40"/>
    </row>
    <row r="629" spans="18:18" ht="15.75" customHeight="1" x14ac:dyDescent="0.2">
      <c r="R629" s="40"/>
    </row>
    <row r="630" spans="18:18" ht="15.75" customHeight="1" x14ac:dyDescent="0.2">
      <c r="R630" s="40"/>
    </row>
    <row r="631" spans="18:18" ht="15.75" customHeight="1" x14ac:dyDescent="0.2">
      <c r="R631" s="40"/>
    </row>
    <row r="632" spans="18:18" ht="15.75" customHeight="1" x14ac:dyDescent="0.2">
      <c r="R632" s="40"/>
    </row>
    <row r="633" spans="18:18" ht="15.75" customHeight="1" x14ac:dyDescent="0.2">
      <c r="R633" s="40"/>
    </row>
    <row r="634" spans="18:18" ht="15.75" customHeight="1" x14ac:dyDescent="0.2">
      <c r="R634" s="40"/>
    </row>
    <row r="635" spans="18:18" ht="15.75" customHeight="1" x14ac:dyDescent="0.2">
      <c r="R635" s="40"/>
    </row>
    <row r="636" spans="18:18" ht="15.75" customHeight="1" x14ac:dyDescent="0.2">
      <c r="R636" s="40"/>
    </row>
    <row r="637" spans="18:18" ht="15.75" customHeight="1" x14ac:dyDescent="0.2">
      <c r="R637" s="40"/>
    </row>
    <row r="638" spans="18:18" ht="15.75" customHeight="1" x14ac:dyDescent="0.2">
      <c r="R638" s="40"/>
    </row>
    <row r="639" spans="18:18" ht="15.75" customHeight="1" x14ac:dyDescent="0.2">
      <c r="R639" s="40"/>
    </row>
    <row r="640" spans="18:18" ht="15.75" customHeight="1" x14ac:dyDescent="0.2">
      <c r="R640" s="40"/>
    </row>
    <row r="641" spans="18:18" ht="15.75" customHeight="1" x14ac:dyDescent="0.2">
      <c r="R641" s="40"/>
    </row>
    <row r="642" spans="18:18" ht="15.75" customHeight="1" x14ac:dyDescent="0.2">
      <c r="R642" s="40"/>
    </row>
    <row r="643" spans="18:18" ht="15.75" customHeight="1" x14ac:dyDescent="0.2">
      <c r="R643" s="40"/>
    </row>
    <row r="644" spans="18:18" ht="15.75" customHeight="1" x14ac:dyDescent="0.2">
      <c r="R644" s="40"/>
    </row>
    <row r="645" spans="18:18" ht="15.75" customHeight="1" x14ac:dyDescent="0.2">
      <c r="R645" s="40"/>
    </row>
    <row r="646" spans="18:18" ht="15.75" customHeight="1" x14ac:dyDescent="0.2">
      <c r="R646" s="40"/>
    </row>
    <row r="647" spans="18:18" ht="15.75" customHeight="1" x14ac:dyDescent="0.2">
      <c r="R647" s="40"/>
    </row>
    <row r="648" spans="18:18" ht="15.75" customHeight="1" x14ac:dyDescent="0.2">
      <c r="R648" s="40"/>
    </row>
    <row r="649" spans="18:18" ht="15.75" customHeight="1" x14ac:dyDescent="0.2">
      <c r="R649" s="40"/>
    </row>
    <row r="650" spans="18:18" ht="15.75" customHeight="1" x14ac:dyDescent="0.2">
      <c r="R650" s="40"/>
    </row>
    <row r="651" spans="18:18" ht="15.75" customHeight="1" x14ac:dyDescent="0.2">
      <c r="R651" s="40"/>
    </row>
    <row r="652" spans="18:18" ht="15.75" customHeight="1" x14ac:dyDescent="0.2">
      <c r="R652" s="40"/>
    </row>
    <row r="653" spans="18:18" ht="15.75" customHeight="1" x14ac:dyDescent="0.2">
      <c r="R653" s="40"/>
    </row>
    <row r="654" spans="18:18" ht="15.75" customHeight="1" x14ac:dyDescent="0.2">
      <c r="R654" s="40"/>
    </row>
    <row r="655" spans="18:18" ht="15.75" customHeight="1" x14ac:dyDescent="0.2">
      <c r="R655" s="40"/>
    </row>
    <row r="656" spans="18:18" ht="15.75" customHeight="1" x14ac:dyDescent="0.2">
      <c r="R656" s="40"/>
    </row>
    <row r="657" spans="18:18" ht="15.75" customHeight="1" x14ac:dyDescent="0.2">
      <c r="R657" s="40"/>
    </row>
    <row r="658" spans="18:18" ht="15.75" customHeight="1" x14ac:dyDescent="0.2">
      <c r="R658" s="40"/>
    </row>
    <row r="659" spans="18:18" ht="15.75" customHeight="1" x14ac:dyDescent="0.2">
      <c r="R659" s="40"/>
    </row>
    <row r="660" spans="18:18" ht="15.75" customHeight="1" x14ac:dyDescent="0.2">
      <c r="R660" s="40"/>
    </row>
    <row r="661" spans="18:18" ht="15.75" customHeight="1" x14ac:dyDescent="0.2">
      <c r="R661" s="40"/>
    </row>
    <row r="662" spans="18:18" ht="15.75" customHeight="1" x14ac:dyDescent="0.2">
      <c r="R662" s="40"/>
    </row>
    <row r="663" spans="18:18" ht="15.75" customHeight="1" x14ac:dyDescent="0.2">
      <c r="R663" s="40"/>
    </row>
    <row r="664" spans="18:18" ht="15.75" customHeight="1" x14ac:dyDescent="0.2">
      <c r="R664" s="40"/>
    </row>
    <row r="665" spans="18:18" ht="15.75" customHeight="1" x14ac:dyDescent="0.2">
      <c r="R665" s="40"/>
    </row>
    <row r="666" spans="18:18" ht="15.75" customHeight="1" x14ac:dyDescent="0.2">
      <c r="R666" s="40"/>
    </row>
    <row r="667" spans="18:18" ht="15.75" customHeight="1" x14ac:dyDescent="0.2">
      <c r="R667" s="40"/>
    </row>
    <row r="668" spans="18:18" ht="15.75" customHeight="1" x14ac:dyDescent="0.2">
      <c r="R668" s="40"/>
    </row>
    <row r="669" spans="18:18" ht="15.75" customHeight="1" x14ac:dyDescent="0.2">
      <c r="R669" s="40"/>
    </row>
    <row r="670" spans="18:18" ht="15.75" customHeight="1" x14ac:dyDescent="0.2">
      <c r="R670" s="40"/>
    </row>
    <row r="671" spans="18:18" ht="15.75" customHeight="1" x14ac:dyDescent="0.2">
      <c r="R671" s="40"/>
    </row>
    <row r="672" spans="18:18" ht="15.75" customHeight="1" x14ac:dyDescent="0.2">
      <c r="R672" s="40"/>
    </row>
    <row r="673" spans="18:18" ht="15.75" customHeight="1" x14ac:dyDescent="0.2">
      <c r="R673" s="40"/>
    </row>
    <row r="674" spans="18:18" ht="15.75" customHeight="1" x14ac:dyDescent="0.2">
      <c r="R674" s="40"/>
    </row>
    <row r="675" spans="18:18" ht="15.75" customHeight="1" x14ac:dyDescent="0.2">
      <c r="R675" s="40"/>
    </row>
    <row r="676" spans="18:18" ht="15.75" customHeight="1" x14ac:dyDescent="0.2">
      <c r="R676" s="40"/>
    </row>
    <row r="677" spans="18:18" ht="15.75" customHeight="1" x14ac:dyDescent="0.2">
      <c r="R677" s="40"/>
    </row>
    <row r="678" spans="18:18" ht="15.75" customHeight="1" x14ac:dyDescent="0.2">
      <c r="R678" s="40"/>
    </row>
    <row r="679" spans="18:18" ht="15.75" customHeight="1" x14ac:dyDescent="0.2">
      <c r="R679" s="40"/>
    </row>
    <row r="680" spans="18:18" ht="15.75" customHeight="1" x14ac:dyDescent="0.2">
      <c r="R680" s="40"/>
    </row>
    <row r="681" spans="18:18" ht="15.75" customHeight="1" x14ac:dyDescent="0.2">
      <c r="R681" s="40"/>
    </row>
    <row r="682" spans="18:18" ht="15.75" customHeight="1" x14ac:dyDescent="0.2">
      <c r="R682" s="40"/>
    </row>
    <row r="683" spans="18:18" ht="15.75" customHeight="1" x14ac:dyDescent="0.2">
      <c r="R683" s="40"/>
    </row>
    <row r="684" spans="18:18" ht="15.75" customHeight="1" x14ac:dyDescent="0.2">
      <c r="R684" s="40"/>
    </row>
    <row r="685" spans="18:18" ht="15.75" customHeight="1" x14ac:dyDescent="0.2">
      <c r="R685" s="40"/>
    </row>
    <row r="686" spans="18:18" ht="15.75" customHeight="1" x14ac:dyDescent="0.2">
      <c r="R686" s="40"/>
    </row>
    <row r="687" spans="18:18" ht="15.75" customHeight="1" x14ac:dyDescent="0.2">
      <c r="R687" s="40"/>
    </row>
    <row r="688" spans="18:18" ht="15.75" customHeight="1" x14ac:dyDescent="0.2">
      <c r="R688" s="40"/>
    </row>
    <row r="689" spans="18:18" ht="15.75" customHeight="1" x14ac:dyDescent="0.2">
      <c r="R689" s="40"/>
    </row>
    <row r="690" spans="18:18" ht="15.75" customHeight="1" x14ac:dyDescent="0.2">
      <c r="R690" s="40"/>
    </row>
    <row r="691" spans="18:18" ht="15.75" customHeight="1" x14ac:dyDescent="0.2">
      <c r="R691" s="40"/>
    </row>
    <row r="692" spans="18:18" ht="15.75" customHeight="1" x14ac:dyDescent="0.2">
      <c r="R692" s="40"/>
    </row>
    <row r="693" spans="18:18" ht="15.75" customHeight="1" x14ac:dyDescent="0.2">
      <c r="R693" s="40"/>
    </row>
    <row r="694" spans="18:18" ht="15.75" customHeight="1" x14ac:dyDescent="0.2">
      <c r="R694" s="40"/>
    </row>
    <row r="695" spans="18:18" ht="15.75" customHeight="1" x14ac:dyDescent="0.2">
      <c r="R695" s="40"/>
    </row>
    <row r="696" spans="18:18" ht="15.75" customHeight="1" x14ac:dyDescent="0.2">
      <c r="R696" s="40"/>
    </row>
    <row r="697" spans="18:18" ht="15.75" customHeight="1" x14ac:dyDescent="0.2">
      <c r="R697" s="40"/>
    </row>
    <row r="698" spans="18:18" ht="15.75" customHeight="1" x14ac:dyDescent="0.2">
      <c r="R698" s="40"/>
    </row>
    <row r="699" spans="18:18" ht="15.75" customHeight="1" x14ac:dyDescent="0.2">
      <c r="R699" s="40"/>
    </row>
    <row r="700" spans="18:18" ht="15.75" customHeight="1" x14ac:dyDescent="0.2">
      <c r="R700" s="40"/>
    </row>
    <row r="701" spans="18:18" ht="15.75" customHeight="1" x14ac:dyDescent="0.2">
      <c r="R701" s="40"/>
    </row>
    <row r="702" spans="18:18" ht="15.75" customHeight="1" x14ac:dyDescent="0.2">
      <c r="R702" s="40"/>
    </row>
    <row r="703" spans="18:18" ht="15.75" customHeight="1" x14ac:dyDescent="0.2">
      <c r="R703" s="40"/>
    </row>
    <row r="704" spans="18:18" ht="15.75" customHeight="1" x14ac:dyDescent="0.2">
      <c r="R704" s="40"/>
    </row>
    <row r="705" spans="18:18" ht="15.75" customHeight="1" x14ac:dyDescent="0.2">
      <c r="R705" s="40"/>
    </row>
    <row r="706" spans="18:18" ht="15.75" customHeight="1" x14ac:dyDescent="0.2">
      <c r="R706" s="40"/>
    </row>
    <row r="707" spans="18:18" ht="15.75" customHeight="1" x14ac:dyDescent="0.2">
      <c r="R707" s="40"/>
    </row>
    <row r="708" spans="18:18" ht="15.75" customHeight="1" x14ac:dyDescent="0.2">
      <c r="R708" s="40"/>
    </row>
    <row r="709" spans="18:18" ht="15.75" customHeight="1" x14ac:dyDescent="0.2">
      <c r="R709" s="40"/>
    </row>
    <row r="710" spans="18:18" ht="15.75" customHeight="1" x14ac:dyDescent="0.2">
      <c r="R710" s="40"/>
    </row>
    <row r="711" spans="18:18" ht="15.75" customHeight="1" x14ac:dyDescent="0.2">
      <c r="R711" s="40"/>
    </row>
    <row r="712" spans="18:18" ht="15.75" customHeight="1" x14ac:dyDescent="0.2">
      <c r="R712" s="40"/>
    </row>
    <row r="713" spans="18:18" ht="15.75" customHeight="1" x14ac:dyDescent="0.2">
      <c r="R713" s="40"/>
    </row>
    <row r="714" spans="18:18" ht="15.75" customHeight="1" x14ac:dyDescent="0.2">
      <c r="R714" s="40"/>
    </row>
    <row r="715" spans="18:18" ht="15.75" customHeight="1" x14ac:dyDescent="0.2">
      <c r="R715" s="40"/>
    </row>
    <row r="716" spans="18:18" ht="15.75" customHeight="1" x14ac:dyDescent="0.2">
      <c r="R716" s="40"/>
    </row>
    <row r="717" spans="18:18" ht="15.75" customHeight="1" x14ac:dyDescent="0.2">
      <c r="R717" s="40"/>
    </row>
    <row r="718" spans="18:18" ht="15.75" customHeight="1" x14ac:dyDescent="0.2">
      <c r="R718" s="40"/>
    </row>
    <row r="719" spans="18:18" ht="15.75" customHeight="1" x14ac:dyDescent="0.2">
      <c r="R719" s="40"/>
    </row>
    <row r="720" spans="18:18" ht="15.75" customHeight="1" x14ac:dyDescent="0.2">
      <c r="R720" s="40"/>
    </row>
    <row r="721" spans="18:18" ht="15.75" customHeight="1" x14ac:dyDescent="0.2">
      <c r="R721" s="40"/>
    </row>
    <row r="722" spans="18:18" ht="15.75" customHeight="1" x14ac:dyDescent="0.2">
      <c r="R722" s="40"/>
    </row>
    <row r="723" spans="18:18" ht="15.75" customHeight="1" x14ac:dyDescent="0.2">
      <c r="R723" s="40"/>
    </row>
    <row r="724" spans="18:18" ht="15.75" customHeight="1" x14ac:dyDescent="0.2">
      <c r="R724" s="40"/>
    </row>
    <row r="725" spans="18:18" ht="15.75" customHeight="1" x14ac:dyDescent="0.2">
      <c r="R725" s="40"/>
    </row>
    <row r="726" spans="18:18" ht="15.75" customHeight="1" x14ac:dyDescent="0.2">
      <c r="R726" s="40"/>
    </row>
    <row r="727" spans="18:18" ht="15.75" customHeight="1" x14ac:dyDescent="0.2">
      <c r="R727" s="40"/>
    </row>
    <row r="728" spans="18:18" ht="15.75" customHeight="1" x14ac:dyDescent="0.2">
      <c r="R728" s="40"/>
    </row>
    <row r="729" spans="18:18" ht="15.75" customHeight="1" x14ac:dyDescent="0.2">
      <c r="R729" s="40"/>
    </row>
    <row r="730" spans="18:18" ht="15.75" customHeight="1" x14ac:dyDescent="0.2">
      <c r="R730" s="40"/>
    </row>
    <row r="731" spans="18:18" ht="15.75" customHeight="1" x14ac:dyDescent="0.2">
      <c r="R731" s="40"/>
    </row>
    <row r="732" spans="18:18" ht="15.75" customHeight="1" x14ac:dyDescent="0.2">
      <c r="R732" s="40"/>
    </row>
    <row r="733" spans="18:18" ht="15.75" customHeight="1" x14ac:dyDescent="0.2">
      <c r="R733" s="40"/>
    </row>
    <row r="734" spans="18:18" ht="15.75" customHeight="1" x14ac:dyDescent="0.2">
      <c r="R734" s="40"/>
    </row>
    <row r="735" spans="18:18" ht="15.75" customHeight="1" x14ac:dyDescent="0.2">
      <c r="R735" s="40"/>
    </row>
    <row r="736" spans="18:18" ht="15.75" customHeight="1" x14ac:dyDescent="0.2">
      <c r="R736" s="40"/>
    </row>
    <row r="737" spans="18:18" ht="15.75" customHeight="1" x14ac:dyDescent="0.2">
      <c r="R737" s="40"/>
    </row>
    <row r="738" spans="18:18" ht="15.75" customHeight="1" x14ac:dyDescent="0.2">
      <c r="R738" s="40"/>
    </row>
    <row r="739" spans="18:18" ht="15.75" customHeight="1" x14ac:dyDescent="0.2">
      <c r="R739" s="40"/>
    </row>
    <row r="740" spans="18:18" ht="15.75" customHeight="1" x14ac:dyDescent="0.2">
      <c r="R740" s="40"/>
    </row>
    <row r="741" spans="18:18" ht="15.75" customHeight="1" x14ac:dyDescent="0.2">
      <c r="R741" s="40"/>
    </row>
    <row r="742" spans="18:18" ht="15.75" customHeight="1" x14ac:dyDescent="0.2">
      <c r="R742" s="40"/>
    </row>
    <row r="743" spans="18:18" ht="15.75" customHeight="1" x14ac:dyDescent="0.2">
      <c r="R743" s="40"/>
    </row>
    <row r="744" spans="18:18" ht="15.75" customHeight="1" x14ac:dyDescent="0.2">
      <c r="R744" s="40"/>
    </row>
    <row r="745" spans="18:18" ht="15.75" customHeight="1" x14ac:dyDescent="0.2">
      <c r="R745" s="40"/>
    </row>
    <row r="746" spans="18:18" ht="15.75" customHeight="1" x14ac:dyDescent="0.2">
      <c r="R746" s="40"/>
    </row>
    <row r="747" spans="18:18" ht="15.75" customHeight="1" x14ac:dyDescent="0.2">
      <c r="R747" s="40"/>
    </row>
    <row r="748" spans="18:18" ht="15.75" customHeight="1" x14ac:dyDescent="0.2">
      <c r="R748" s="40"/>
    </row>
    <row r="749" spans="18:18" ht="15.75" customHeight="1" x14ac:dyDescent="0.2">
      <c r="R749" s="40"/>
    </row>
    <row r="750" spans="18:18" ht="15.75" customHeight="1" x14ac:dyDescent="0.2">
      <c r="R750" s="40"/>
    </row>
    <row r="751" spans="18:18" ht="15.75" customHeight="1" x14ac:dyDescent="0.2">
      <c r="R751" s="40"/>
    </row>
    <row r="752" spans="18:18" ht="15.75" customHeight="1" x14ac:dyDescent="0.2">
      <c r="R752" s="40"/>
    </row>
    <row r="753" spans="18:18" ht="15.75" customHeight="1" x14ac:dyDescent="0.2">
      <c r="R753" s="40"/>
    </row>
    <row r="754" spans="18:18" ht="15.75" customHeight="1" x14ac:dyDescent="0.2">
      <c r="R754" s="40"/>
    </row>
    <row r="755" spans="18:18" ht="15.75" customHeight="1" x14ac:dyDescent="0.2">
      <c r="R755" s="40"/>
    </row>
    <row r="756" spans="18:18" ht="15.75" customHeight="1" x14ac:dyDescent="0.2">
      <c r="R756" s="40"/>
    </row>
    <row r="757" spans="18:18" ht="15.75" customHeight="1" x14ac:dyDescent="0.2">
      <c r="R757" s="40"/>
    </row>
    <row r="758" spans="18:18" ht="15.75" customHeight="1" x14ac:dyDescent="0.2">
      <c r="R758" s="40"/>
    </row>
    <row r="759" spans="18:18" ht="15.75" customHeight="1" x14ac:dyDescent="0.2">
      <c r="R759" s="40"/>
    </row>
    <row r="760" spans="18:18" ht="15.75" customHeight="1" x14ac:dyDescent="0.2">
      <c r="R760" s="40"/>
    </row>
    <row r="761" spans="18:18" ht="15.75" customHeight="1" x14ac:dyDescent="0.2">
      <c r="R761" s="40"/>
    </row>
    <row r="762" spans="18:18" ht="15.75" customHeight="1" x14ac:dyDescent="0.2">
      <c r="R762" s="40"/>
    </row>
    <row r="763" spans="18:18" ht="15.75" customHeight="1" x14ac:dyDescent="0.2">
      <c r="R763" s="40"/>
    </row>
    <row r="764" spans="18:18" ht="15.75" customHeight="1" x14ac:dyDescent="0.2">
      <c r="R764" s="40"/>
    </row>
    <row r="765" spans="18:18" ht="15.75" customHeight="1" x14ac:dyDescent="0.2">
      <c r="R765" s="40"/>
    </row>
    <row r="766" spans="18:18" ht="15.75" customHeight="1" x14ac:dyDescent="0.2">
      <c r="R766" s="40"/>
    </row>
    <row r="767" spans="18:18" ht="15.75" customHeight="1" x14ac:dyDescent="0.2">
      <c r="R767" s="40"/>
    </row>
    <row r="768" spans="18:18" ht="15.75" customHeight="1" x14ac:dyDescent="0.2">
      <c r="R768" s="40"/>
    </row>
    <row r="769" spans="18:18" ht="15.75" customHeight="1" x14ac:dyDescent="0.2">
      <c r="R769" s="40"/>
    </row>
    <row r="770" spans="18:18" ht="15.75" customHeight="1" x14ac:dyDescent="0.2">
      <c r="R770" s="40"/>
    </row>
    <row r="771" spans="18:18" ht="15.75" customHeight="1" x14ac:dyDescent="0.2">
      <c r="R771" s="40"/>
    </row>
    <row r="772" spans="18:18" ht="15.75" customHeight="1" x14ac:dyDescent="0.2">
      <c r="R772" s="40"/>
    </row>
    <row r="773" spans="18:18" ht="15.75" customHeight="1" x14ac:dyDescent="0.2">
      <c r="R773" s="40"/>
    </row>
    <row r="774" spans="18:18" ht="15.75" customHeight="1" x14ac:dyDescent="0.2">
      <c r="R774" s="40"/>
    </row>
    <row r="775" spans="18:18" ht="15.75" customHeight="1" x14ac:dyDescent="0.2">
      <c r="R775" s="40"/>
    </row>
    <row r="776" spans="18:18" ht="15.75" customHeight="1" x14ac:dyDescent="0.2">
      <c r="R776" s="40"/>
    </row>
    <row r="777" spans="18:18" ht="15.75" customHeight="1" x14ac:dyDescent="0.2">
      <c r="R777" s="40"/>
    </row>
    <row r="778" spans="18:18" ht="15.75" customHeight="1" x14ac:dyDescent="0.2">
      <c r="R778" s="40"/>
    </row>
    <row r="779" spans="18:18" ht="15.75" customHeight="1" x14ac:dyDescent="0.2">
      <c r="R779" s="40"/>
    </row>
    <row r="780" spans="18:18" ht="15.75" customHeight="1" x14ac:dyDescent="0.2">
      <c r="R780" s="40"/>
    </row>
    <row r="781" spans="18:18" ht="15.75" customHeight="1" x14ac:dyDescent="0.2">
      <c r="R781" s="40"/>
    </row>
    <row r="782" spans="18:18" ht="15.75" customHeight="1" x14ac:dyDescent="0.2">
      <c r="R782" s="40"/>
    </row>
    <row r="783" spans="18:18" ht="15.75" customHeight="1" x14ac:dyDescent="0.2">
      <c r="R783" s="40"/>
    </row>
    <row r="784" spans="18:18" ht="15.75" customHeight="1" x14ac:dyDescent="0.2">
      <c r="R784" s="40"/>
    </row>
    <row r="785" spans="18:18" ht="15.75" customHeight="1" x14ac:dyDescent="0.2">
      <c r="R785" s="40"/>
    </row>
    <row r="786" spans="18:18" ht="15.75" customHeight="1" x14ac:dyDescent="0.2">
      <c r="R786" s="40"/>
    </row>
    <row r="787" spans="18:18" ht="15.75" customHeight="1" x14ac:dyDescent="0.2">
      <c r="R787" s="40"/>
    </row>
    <row r="788" spans="18:18" ht="15.75" customHeight="1" x14ac:dyDescent="0.2">
      <c r="R788" s="40"/>
    </row>
    <row r="789" spans="18:18" ht="15.75" customHeight="1" x14ac:dyDescent="0.2">
      <c r="R789" s="40"/>
    </row>
    <row r="790" spans="18:18" ht="15.75" customHeight="1" x14ac:dyDescent="0.2">
      <c r="R790" s="40"/>
    </row>
    <row r="791" spans="18:18" ht="15.75" customHeight="1" x14ac:dyDescent="0.2">
      <c r="R791" s="40"/>
    </row>
    <row r="792" spans="18:18" ht="15.75" customHeight="1" x14ac:dyDescent="0.2">
      <c r="R792" s="40"/>
    </row>
    <row r="793" spans="18:18" ht="15.75" customHeight="1" x14ac:dyDescent="0.2">
      <c r="R793" s="40"/>
    </row>
    <row r="794" spans="18:18" ht="15.75" customHeight="1" x14ac:dyDescent="0.2">
      <c r="R794" s="40"/>
    </row>
    <row r="795" spans="18:18" ht="15.75" customHeight="1" x14ac:dyDescent="0.2">
      <c r="R795" s="40"/>
    </row>
    <row r="796" spans="18:18" ht="15.75" customHeight="1" x14ac:dyDescent="0.2">
      <c r="R796" s="40"/>
    </row>
    <row r="797" spans="18:18" ht="15.75" customHeight="1" x14ac:dyDescent="0.2">
      <c r="R797" s="40"/>
    </row>
    <row r="798" spans="18:18" ht="15.75" customHeight="1" x14ac:dyDescent="0.2">
      <c r="R798" s="40"/>
    </row>
    <row r="799" spans="18:18" ht="15.75" customHeight="1" x14ac:dyDescent="0.2">
      <c r="R799" s="40"/>
    </row>
    <row r="800" spans="18:18" ht="15.75" customHeight="1" x14ac:dyDescent="0.2">
      <c r="R800" s="40"/>
    </row>
    <row r="801" spans="18:18" ht="15.75" customHeight="1" x14ac:dyDescent="0.2">
      <c r="R801" s="40"/>
    </row>
    <row r="802" spans="18:18" ht="15.75" customHeight="1" x14ac:dyDescent="0.2">
      <c r="R802" s="40"/>
    </row>
    <row r="803" spans="18:18" ht="15.75" customHeight="1" x14ac:dyDescent="0.2">
      <c r="R803" s="40"/>
    </row>
    <row r="804" spans="18:18" ht="15.75" customHeight="1" x14ac:dyDescent="0.2">
      <c r="R804" s="40"/>
    </row>
    <row r="805" spans="18:18" ht="15.75" customHeight="1" x14ac:dyDescent="0.2">
      <c r="R805" s="40"/>
    </row>
    <row r="806" spans="18:18" ht="15.75" customHeight="1" x14ac:dyDescent="0.2">
      <c r="R806" s="40"/>
    </row>
    <row r="807" spans="18:18" ht="15.75" customHeight="1" x14ac:dyDescent="0.2">
      <c r="R807" s="40"/>
    </row>
    <row r="808" spans="18:18" ht="15.75" customHeight="1" x14ac:dyDescent="0.2">
      <c r="R808" s="40"/>
    </row>
    <row r="809" spans="18:18" ht="15.75" customHeight="1" x14ac:dyDescent="0.2">
      <c r="R809" s="40"/>
    </row>
    <row r="810" spans="18:18" ht="15.75" customHeight="1" x14ac:dyDescent="0.2">
      <c r="R810" s="40"/>
    </row>
    <row r="811" spans="18:18" ht="15.75" customHeight="1" x14ac:dyDescent="0.2">
      <c r="R811" s="40"/>
    </row>
    <row r="812" spans="18:18" ht="15.75" customHeight="1" x14ac:dyDescent="0.2">
      <c r="R812" s="40"/>
    </row>
    <row r="813" spans="18:18" ht="15.75" customHeight="1" x14ac:dyDescent="0.2">
      <c r="R813" s="40"/>
    </row>
    <row r="814" spans="18:18" ht="15.75" customHeight="1" x14ac:dyDescent="0.2">
      <c r="R814" s="40"/>
    </row>
    <row r="815" spans="18:18" ht="15.75" customHeight="1" x14ac:dyDescent="0.2">
      <c r="R815" s="40"/>
    </row>
    <row r="816" spans="18:18" ht="15.75" customHeight="1" x14ac:dyDescent="0.2">
      <c r="R816" s="40"/>
    </row>
    <row r="817" spans="18:18" ht="15.75" customHeight="1" x14ac:dyDescent="0.2">
      <c r="R817" s="40"/>
    </row>
    <row r="818" spans="18:18" ht="15.75" customHeight="1" x14ac:dyDescent="0.2">
      <c r="R818" s="40"/>
    </row>
    <row r="819" spans="18:18" ht="15.75" customHeight="1" x14ac:dyDescent="0.2">
      <c r="R819" s="40"/>
    </row>
    <row r="820" spans="18:18" ht="15.75" customHeight="1" x14ac:dyDescent="0.2">
      <c r="R820" s="40"/>
    </row>
    <row r="821" spans="18:18" ht="15.75" customHeight="1" x14ac:dyDescent="0.2">
      <c r="R821" s="40"/>
    </row>
    <row r="822" spans="18:18" ht="15.75" customHeight="1" x14ac:dyDescent="0.2">
      <c r="R822" s="40"/>
    </row>
    <row r="823" spans="18:18" ht="15.75" customHeight="1" x14ac:dyDescent="0.2">
      <c r="R823" s="40"/>
    </row>
    <row r="824" spans="18:18" ht="15.75" customHeight="1" x14ac:dyDescent="0.2">
      <c r="R824" s="40"/>
    </row>
    <row r="825" spans="18:18" ht="15.75" customHeight="1" x14ac:dyDescent="0.2">
      <c r="R825" s="40"/>
    </row>
    <row r="826" spans="18:18" ht="15.75" customHeight="1" x14ac:dyDescent="0.2">
      <c r="R826" s="40"/>
    </row>
    <row r="827" spans="18:18" ht="15.75" customHeight="1" x14ac:dyDescent="0.2">
      <c r="R827" s="40"/>
    </row>
    <row r="828" spans="18:18" ht="15.75" customHeight="1" x14ac:dyDescent="0.2">
      <c r="R828" s="40"/>
    </row>
    <row r="829" spans="18:18" ht="15.75" customHeight="1" x14ac:dyDescent="0.2">
      <c r="R829" s="40"/>
    </row>
    <row r="830" spans="18:18" ht="15.75" customHeight="1" x14ac:dyDescent="0.2">
      <c r="R830" s="40"/>
    </row>
    <row r="831" spans="18:18" ht="15.75" customHeight="1" x14ac:dyDescent="0.2">
      <c r="R831" s="40"/>
    </row>
    <row r="832" spans="18:18" ht="15.75" customHeight="1" x14ac:dyDescent="0.2">
      <c r="R832" s="40"/>
    </row>
    <row r="833" spans="18:18" ht="15.75" customHeight="1" x14ac:dyDescent="0.2">
      <c r="R833" s="40"/>
    </row>
    <row r="834" spans="18:18" ht="15.75" customHeight="1" x14ac:dyDescent="0.2">
      <c r="R834" s="40"/>
    </row>
    <row r="835" spans="18:18" ht="15.75" customHeight="1" x14ac:dyDescent="0.2">
      <c r="R835" s="40"/>
    </row>
    <row r="836" spans="18:18" ht="15.75" customHeight="1" x14ac:dyDescent="0.2">
      <c r="R836" s="40"/>
    </row>
    <row r="837" spans="18:18" ht="15.75" customHeight="1" x14ac:dyDescent="0.2">
      <c r="R837" s="40"/>
    </row>
    <row r="838" spans="18:18" ht="15.75" customHeight="1" x14ac:dyDescent="0.2">
      <c r="R838" s="40"/>
    </row>
    <row r="839" spans="18:18" ht="15.75" customHeight="1" x14ac:dyDescent="0.2">
      <c r="R839" s="40"/>
    </row>
    <row r="840" spans="18:18" ht="15.75" customHeight="1" x14ac:dyDescent="0.2">
      <c r="R840" s="40"/>
    </row>
    <row r="841" spans="18:18" ht="15.75" customHeight="1" x14ac:dyDescent="0.2">
      <c r="R841" s="40"/>
    </row>
    <row r="842" spans="18:18" ht="15.75" customHeight="1" x14ac:dyDescent="0.2">
      <c r="R842" s="40"/>
    </row>
    <row r="843" spans="18:18" ht="15.75" customHeight="1" x14ac:dyDescent="0.2">
      <c r="R843" s="40"/>
    </row>
    <row r="844" spans="18:18" ht="15.75" customHeight="1" x14ac:dyDescent="0.2">
      <c r="R844" s="40"/>
    </row>
    <row r="845" spans="18:18" ht="15.75" customHeight="1" x14ac:dyDescent="0.2">
      <c r="R845" s="40"/>
    </row>
    <row r="846" spans="18:18" ht="15.75" customHeight="1" x14ac:dyDescent="0.2">
      <c r="R846" s="40"/>
    </row>
    <row r="847" spans="18:18" ht="15.75" customHeight="1" x14ac:dyDescent="0.2">
      <c r="R847" s="40"/>
    </row>
    <row r="848" spans="18:18" ht="15.75" customHeight="1" x14ac:dyDescent="0.2">
      <c r="R848" s="40"/>
    </row>
    <row r="849" spans="18:18" ht="15.75" customHeight="1" x14ac:dyDescent="0.2">
      <c r="R849" s="40"/>
    </row>
    <row r="850" spans="18:18" ht="15.75" customHeight="1" x14ac:dyDescent="0.2">
      <c r="R850" s="40"/>
    </row>
    <row r="851" spans="18:18" ht="15.75" customHeight="1" x14ac:dyDescent="0.2">
      <c r="R851" s="40"/>
    </row>
    <row r="852" spans="18:18" ht="15.75" customHeight="1" x14ac:dyDescent="0.2">
      <c r="R852" s="40"/>
    </row>
    <row r="853" spans="18:18" ht="15.75" customHeight="1" x14ac:dyDescent="0.2">
      <c r="R853" s="40"/>
    </row>
    <row r="854" spans="18:18" ht="15.75" customHeight="1" x14ac:dyDescent="0.2">
      <c r="R854" s="40"/>
    </row>
    <row r="855" spans="18:18" ht="15.75" customHeight="1" x14ac:dyDescent="0.2">
      <c r="R855" s="40"/>
    </row>
    <row r="856" spans="18:18" ht="15.75" customHeight="1" x14ac:dyDescent="0.2">
      <c r="R856" s="40"/>
    </row>
    <row r="857" spans="18:18" ht="15.75" customHeight="1" x14ac:dyDescent="0.2">
      <c r="R857" s="40"/>
    </row>
    <row r="858" spans="18:18" ht="15.75" customHeight="1" x14ac:dyDescent="0.2">
      <c r="R858" s="40"/>
    </row>
    <row r="859" spans="18:18" ht="15.75" customHeight="1" x14ac:dyDescent="0.2">
      <c r="R859" s="40"/>
    </row>
    <row r="860" spans="18:18" ht="15.75" customHeight="1" x14ac:dyDescent="0.2">
      <c r="R860" s="40"/>
    </row>
    <row r="861" spans="18:18" ht="15.75" customHeight="1" x14ac:dyDescent="0.2">
      <c r="R861" s="40"/>
    </row>
    <row r="862" spans="18:18" ht="15.75" customHeight="1" x14ac:dyDescent="0.2">
      <c r="R862" s="40"/>
    </row>
    <row r="863" spans="18:18" ht="15.75" customHeight="1" x14ac:dyDescent="0.2">
      <c r="R863" s="40"/>
    </row>
    <row r="864" spans="18:18" ht="15.75" customHeight="1" x14ac:dyDescent="0.2">
      <c r="R864" s="40"/>
    </row>
    <row r="865" spans="18:18" ht="15.75" customHeight="1" x14ac:dyDescent="0.2">
      <c r="R865" s="40"/>
    </row>
    <row r="866" spans="18:18" ht="15.75" customHeight="1" x14ac:dyDescent="0.2">
      <c r="R866" s="40"/>
    </row>
    <row r="867" spans="18:18" ht="15.75" customHeight="1" x14ac:dyDescent="0.2">
      <c r="R867" s="40"/>
    </row>
    <row r="868" spans="18:18" ht="15.75" customHeight="1" x14ac:dyDescent="0.2">
      <c r="R868" s="40"/>
    </row>
    <row r="869" spans="18:18" ht="15.75" customHeight="1" x14ac:dyDescent="0.2">
      <c r="R869" s="40"/>
    </row>
    <row r="870" spans="18:18" ht="15.75" customHeight="1" x14ac:dyDescent="0.2">
      <c r="R870" s="40"/>
    </row>
    <row r="871" spans="18:18" ht="15.75" customHeight="1" x14ac:dyDescent="0.2">
      <c r="R871" s="40"/>
    </row>
    <row r="872" spans="18:18" ht="15.75" customHeight="1" x14ac:dyDescent="0.2">
      <c r="R872" s="40"/>
    </row>
    <row r="873" spans="18:18" ht="15.75" customHeight="1" x14ac:dyDescent="0.2">
      <c r="R873" s="40"/>
    </row>
    <row r="874" spans="18:18" ht="15.75" customHeight="1" x14ac:dyDescent="0.2">
      <c r="R874" s="40"/>
    </row>
    <row r="875" spans="18:18" ht="15.75" customHeight="1" x14ac:dyDescent="0.2">
      <c r="R875" s="40"/>
    </row>
    <row r="876" spans="18:18" ht="15.75" customHeight="1" x14ac:dyDescent="0.2">
      <c r="R876" s="40"/>
    </row>
    <row r="877" spans="18:18" ht="15.75" customHeight="1" x14ac:dyDescent="0.2">
      <c r="R877" s="40"/>
    </row>
    <row r="878" spans="18:18" ht="15.75" customHeight="1" x14ac:dyDescent="0.2">
      <c r="R878" s="40"/>
    </row>
    <row r="879" spans="18:18" ht="15.75" customHeight="1" x14ac:dyDescent="0.2">
      <c r="R879" s="40"/>
    </row>
    <row r="880" spans="18:18" ht="15.75" customHeight="1" x14ac:dyDescent="0.2">
      <c r="R880" s="40"/>
    </row>
    <row r="881" spans="18:18" ht="15.75" customHeight="1" x14ac:dyDescent="0.2">
      <c r="R881" s="40"/>
    </row>
    <row r="882" spans="18:18" ht="15.75" customHeight="1" x14ac:dyDescent="0.2">
      <c r="R882" s="40"/>
    </row>
    <row r="883" spans="18:18" ht="15.75" customHeight="1" x14ac:dyDescent="0.2">
      <c r="R883" s="40"/>
    </row>
    <row r="884" spans="18:18" ht="15.75" customHeight="1" x14ac:dyDescent="0.2">
      <c r="R884" s="40"/>
    </row>
    <row r="885" spans="18:18" ht="15.75" customHeight="1" x14ac:dyDescent="0.2">
      <c r="R885" s="40"/>
    </row>
    <row r="886" spans="18:18" ht="15.75" customHeight="1" x14ac:dyDescent="0.2">
      <c r="R886" s="40"/>
    </row>
    <row r="887" spans="18:18" ht="15.75" customHeight="1" x14ac:dyDescent="0.2">
      <c r="R887" s="40"/>
    </row>
    <row r="888" spans="18:18" ht="15.75" customHeight="1" x14ac:dyDescent="0.2">
      <c r="R888" s="40"/>
    </row>
    <row r="889" spans="18:18" ht="15.75" customHeight="1" x14ac:dyDescent="0.2">
      <c r="R889" s="40"/>
    </row>
    <row r="890" spans="18:18" ht="15.75" customHeight="1" x14ac:dyDescent="0.2">
      <c r="R890" s="40"/>
    </row>
    <row r="891" spans="18:18" ht="15.75" customHeight="1" x14ac:dyDescent="0.2">
      <c r="R891" s="40"/>
    </row>
    <row r="892" spans="18:18" ht="15.75" customHeight="1" x14ac:dyDescent="0.2">
      <c r="R892" s="40"/>
    </row>
    <row r="893" spans="18:18" ht="15.75" customHeight="1" x14ac:dyDescent="0.2">
      <c r="R893" s="40"/>
    </row>
    <row r="894" spans="18:18" ht="15.75" customHeight="1" x14ac:dyDescent="0.2">
      <c r="R894" s="40"/>
    </row>
    <row r="895" spans="18:18" ht="15.75" customHeight="1" x14ac:dyDescent="0.2">
      <c r="R895" s="40"/>
    </row>
    <row r="896" spans="18:18" ht="15.75" customHeight="1" x14ac:dyDescent="0.2">
      <c r="R896" s="40"/>
    </row>
    <row r="897" spans="18:18" ht="15.75" customHeight="1" x14ac:dyDescent="0.2">
      <c r="R897" s="40"/>
    </row>
    <row r="898" spans="18:18" ht="15.75" customHeight="1" x14ac:dyDescent="0.2">
      <c r="R898" s="40"/>
    </row>
    <row r="899" spans="18:18" ht="15.75" customHeight="1" x14ac:dyDescent="0.2">
      <c r="R899" s="40"/>
    </row>
    <row r="900" spans="18:18" ht="15.75" customHeight="1" x14ac:dyDescent="0.2">
      <c r="R900" s="40"/>
    </row>
    <row r="901" spans="18:18" ht="15.75" customHeight="1" x14ac:dyDescent="0.2">
      <c r="R901" s="40"/>
    </row>
    <row r="902" spans="18:18" ht="15.75" customHeight="1" x14ac:dyDescent="0.2">
      <c r="R902" s="40"/>
    </row>
    <row r="903" spans="18:18" ht="15.75" customHeight="1" x14ac:dyDescent="0.2">
      <c r="R903" s="40"/>
    </row>
    <row r="904" spans="18:18" ht="15.75" customHeight="1" x14ac:dyDescent="0.2">
      <c r="R904" s="40"/>
    </row>
    <row r="905" spans="18:18" ht="15.75" customHeight="1" x14ac:dyDescent="0.2">
      <c r="R905" s="40"/>
    </row>
    <row r="906" spans="18:18" ht="15.75" customHeight="1" x14ac:dyDescent="0.2">
      <c r="R906" s="40"/>
    </row>
    <row r="907" spans="18:18" ht="15.75" customHeight="1" x14ac:dyDescent="0.2">
      <c r="R907" s="40"/>
    </row>
    <row r="908" spans="18:18" ht="15.75" customHeight="1" x14ac:dyDescent="0.2">
      <c r="R908" s="40"/>
    </row>
    <row r="909" spans="18:18" ht="15.75" customHeight="1" x14ac:dyDescent="0.2">
      <c r="R909" s="40"/>
    </row>
    <row r="910" spans="18:18" ht="15.75" customHeight="1" x14ac:dyDescent="0.2">
      <c r="R910" s="40"/>
    </row>
    <row r="911" spans="18:18" ht="15.75" customHeight="1" x14ac:dyDescent="0.2">
      <c r="R911" s="40"/>
    </row>
    <row r="912" spans="18:18" ht="15.75" customHeight="1" x14ac:dyDescent="0.2">
      <c r="R912" s="40"/>
    </row>
    <row r="913" spans="18:18" ht="15.75" customHeight="1" x14ac:dyDescent="0.2">
      <c r="R913" s="40"/>
    </row>
    <row r="914" spans="18:18" ht="15.75" customHeight="1" x14ac:dyDescent="0.2">
      <c r="R914" s="40"/>
    </row>
    <row r="915" spans="18:18" ht="15.75" customHeight="1" x14ac:dyDescent="0.2">
      <c r="R915" s="40"/>
    </row>
    <row r="916" spans="18:18" ht="15.75" customHeight="1" x14ac:dyDescent="0.2">
      <c r="R916" s="40"/>
    </row>
    <row r="917" spans="18:18" ht="15.75" customHeight="1" x14ac:dyDescent="0.2">
      <c r="R917" s="40"/>
    </row>
    <row r="918" spans="18:18" ht="15.75" customHeight="1" x14ac:dyDescent="0.2">
      <c r="R918" s="40"/>
    </row>
    <row r="919" spans="18:18" ht="15.75" customHeight="1" x14ac:dyDescent="0.2">
      <c r="R919" s="40"/>
    </row>
    <row r="920" spans="18:18" ht="15.75" customHeight="1" x14ac:dyDescent="0.2">
      <c r="R920" s="40"/>
    </row>
    <row r="921" spans="18:18" ht="15.75" customHeight="1" x14ac:dyDescent="0.2">
      <c r="R921" s="40"/>
    </row>
    <row r="922" spans="18:18" ht="15.75" customHeight="1" x14ac:dyDescent="0.2">
      <c r="R922" s="40"/>
    </row>
    <row r="923" spans="18:18" ht="15.75" customHeight="1" x14ac:dyDescent="0.2">
      <c r="R923" s="40"/>
    </row>
    <row r="924" spans="18:18" ht="15.75" customHeight="1" x14ac:dyDescent="0.2">
      <c r="R924" s="40"/>
    </row>
    <row r="925" spans="18:18" ht="15.75" customHeight="1" x14ac:dyDescent="0.2">
      <c r="R925" s="40"/>
    </row>
    <row r="926" spans="18:18" ht="15.75" customHeight="1" x14ac:dyDescent="0.2">
      <c r="R926" s="40"/>
    </row>
    <row r="927" spans="18:18" ht="15.75" customHeight="1" x14ac:dyDescent="0.2">
      <c r="R927" s="40"/>
    </row>
    <row r="928" spans="18:18" ht="15.75" customHeight="1" x14ac:dyDescent="0.2">
      <c r="R928" s="40"/>
    </row>
    <row r="929" spans="18:18" ht="15.75" customHeight="1" x14ac:dyDescent="0.2">
      <c r="R929" s="40"/>
    </row>
    <row r="930" spans="18:18" ht="15.75" customHeight="1" x14ac:dyDescent="0.2">
      <c r="R930" s="40"/>
    </row>
    <row r="931" spans="18:18" ht="15.75" customHeight="1" x14ac:dyDescent="0.2">
      <c r="R931" s="40"/>
    </row>
    <row r="932" spans="18:18" ht="15.75" customHeight="1" x14ac:dyDescent="0.2">
      <c r="R932" s="40"/>
    </row>
    <row r="933" spans="18:18" ht="15.75" customHeight="1" x14ac:dyDescent="0.2">
      <c r="R933" s="40"/>
    </row>
    <row r="934" spans="18:18" ht="15.75" customHeight="1" x14ac:dyDescent="0.2">
      <c r="R934" s="40"/>
    </row>
    <row r="935" spans="18:18" ht="15.75" customHeight="1" x14ac:dyDescent="0.2">
      <c r="R935" s="40"/>
    </row>
    <row r="936" spans="18:18" ht="15.75" customHeight="1" x14ac:dyDescent="0.2">
      <c r="R936" s="40"/>
    </row>
    <row r="937" spans="18:18" ht="15.75" customHeight="1" x14ac:dyDescent="0.2">
      <c r="R937" s="40"/>
    </row>
    <row r="938" spans="18:18" ht="15.75" customHeight="1" x14ac:dyDescent="0.2">
      <c r="R938" s="40"/>
    </row>
    <row r="939" spans="18:18" ht="15.75" customHeight="1" x14ac:dyDescent="0.2">
      <c r="R939" s="40"/>
    </row>
    <row r="940" spans="18:18" ht="15.75" customHeight="1" x14ac:dyDescent="0.2">
      <c r="R940" s="40"/>
    </row>
    <row r="941" spans="18:18" ht="15.75" customHeight="1" x14ac:dyDescent="0.2">
      <c r="R941" s="40"/>
    </row>
    <row r="942" spans="18:18" ht="15.75" customHeight="1" x14ac:dyDescent="0.2">
      <c r="R942" s="40"/>
    </row>
    <row r="943" spans="18:18" ht="15.75" customHeight="1" x14ac:dyDescent="0.2">
      <c r="R943" s="40"/>
    </row>
    <row r="944" spans="18:18" ht="15.75" customHeight="1" x14ac:dyDescent="0.2">
      <c r="R944" s="40"/>
    </row>
    <row r="945" spans="18:18" ht="15.75" customHeight="1" x14ac:dyDescent="0.2">
      <c r="R945" s="40"/>
    </row>
    <row r="946" spans="18:18" ht="15.75" customHeight="1" x14ac:dyDescent="0.2">
      <c r="R946" s="40"/>
    </row>
    <row r="947" spans="18:18" ht="15.75" customHeight="1" x14ac:dyDescent="0.2">
      <c r="R947" s="40"/>
    </row>
    <row r="948" spans="18:18" ht="15.75" customHeight="1" x14ac:dyDescent="0.2">
      <c r="R948" s="40"/>
    </row>
    <row r="949" spans="18:18" ht="15.75" customHeight="1" x14ac:dyDescent="0.2">
      <c r="R949" s="40"/>
    </row>
    <row r="950" spans="18:18" ht="15.75" customHeight="1" x14ac:dyDescent="0.2">
      <c r="R950" s="40"/>
    </row>
    <row r="951" spans="18:18" ht="15.75" customHeight="1" x14ac:dyDescent="0.2">
      <c r="R951" s="40"/>
    </row>
    <row r="952" spans="18:18" ht="15.75" customHeight="1" x14ac:dyDescent="0.2">
      <c r="R952" s="40"/>
    </row>
    <row r="953" spans="18:18" ht="15.75" customHeight="1" x14ac:dyDescent="0.2">
      <c r="R953" s="40"/>
    </row>
    <row r="954" spans="18:18" ht="15.75" customHeight="1" x14ac:dyDescent="0.2">
      <c r="R954" s="40"/>
    </row>
    <row r="955" spans="18:18" ht="15.75" customHeight="1" x14ac:dyDescent="0.2">
      <c r="R955" s="40"/>
    </row>
    <row r="956" spans="18:18" ht="15.75" customHeight="1" x14ac:dyDescent="0.2">
      <c r="R956" s="40"/>
    </row>
    <row r="957" spans="18:18" ht="15.75" customHeight="1" x14ac:dyDescent="0.2">
      <c r="R957" s="40"/>
    </row>
    <row r="958" spans="18:18" ht="15.75" customHeight="1" x14ac:dyDescent="0.2">
      <c r="R958" s="40"/>
    </row>
    <row r="959" spans="18:18" ht="15.75" customHeight="1" x14ac:dyDescent="0.2">
      <c r="R959" s="40"/>
    </row>
    <row r="960" spans="18:18" ht="15.75" customHeight="1" x14ac:dyDescent="0.2">
      <c r="R960" s="40"/>
    </row>
    <row r="961" spans="18:18" ht="15.75" customHeight="1" x14ac:dyDescent="0.2">
      <c r="R961" s="40"/>
    </row>
    <row r="962" spans="18:18" ht="15.75" customHeight="1" x14ac:dyDescent="0.2">
      <c r="R962" s="40"/>
    </row>
    <row r="963" spans="18:18" ht="15.75" customHeight="1" x14ac:dyDescent="0.2">
      <c r="R963" s="40"/>
    </row>
    <row r="964" spans="18:18" ht="15.75" customHeight="1" x14ac:dyDescent="0.2">
      <c r="R964" s="40"/>
    </row>
    <row r="965" spans="18:18" ht="15.75" customHeight="1" x14ac:dyDescent="0.2">
      <c r="R965" s="40"/>
    </row>
    <row r="966" spans="18:18" ht="15.75" customHeight="1" x14ac:dyDescent="0.2">
      <c r="R966" s="40"/>
    </row>
    <row r="967" spans="18:18" ht="15.75" customHeight="1" x14ac:dyDescent="0.2">
      <c r="R967" s="40"/>
    </row>
    <row r="968" spans="18:18" ht="15.75" customHeight="1" x14ac:dyDescent="0.2">
      <c r="R968" s="40"/>
    </row>
    <row r="969" spans="18:18" ht="15.75" customHeight="1" x14ac:dyDescent="0.2">
      <c r="R969" s="40"/>
    </row>
    <row r="970" spans="18:18" ht="15.75" customHeight="1" x14ac:dyDescent="0.2">
      <c r="R970" s="40"/>
    </row>
    <row r="971" spans="18:18" ht="15.75" customHeight="1" x14ac:dyDescent="0.2">
      <c r="R971" s="40"/>
    </row>
    <row r="972" spans="18:18" ht="15.75" customHeight="1" x14ac:dyDescent="0.2">
      <c r="R972" s="40"/>
    </row>
    <row r="973" spans="18:18" ht="15.75" customHeight="1" x14ac:dyDescent="0.2">
      <c r="R973" s="40"/>
    </row>
    <row r="974" spans="18:18" ht="15.75" customHeight="1" x14ac:dyDescent="0.2">
      <c r="R974" s="40"/>
    </row>
    <row r="975" spans="18:18" ht="15.75" customHeight="1" x14ac:dyDescent="0.2">
      <c r="R975" s="40"/>
    </row>
    <row r="976" spans="18:18" ht="15.75" customHeight="1" x14ac:dyDescent="0.2">
      <c r="R976" s="40"/>
    </row>
    <row r="977" spans="18:18" ht="15.75" customHeight="1" x14ac:dyDescent="0.2">
      <c r="R977" s="40"/>
    </row>
    <row r="978" spans="18:18" ht="15.75" customHeight="1" x14ac:dyDescent="0.2">
      <c r="R978" s="40"/>
    </row>
    <row r="979" spans="18:18" ht="15.75" customHeight="1" x14ac:dyDescent="0.2">
      <c r="R979" s="40"/>
    </row>
    <row r="980" spans="18:18" ht="15.75" customHeight="1" x14ac:dyDescent="0.2">
      <c r="R980" s="40"/>
    </row>
    <row r="981" spans="18:18" ht="15.75" customHeight="1" x14ac:dyDescent="0.2">
      <c r="R981" s="40"/>
    </row>
    <row r="982" spans="18:18" ht="15.75" customHeight="1" x14ac:dyDescent="0.2">
      <c r="R982" s="40"/>
    </row>
    <row r="983" spans="18:18" ht="15.75" customHeight="1" x14ac:dyDescent="0.2">
      <c r="R983" s="40"/>
    </row>
    <row r="984" spans="18:18" ht="15.75" customHeight="1" x14ac:dyDescent="0.2">
      <c r="R984" s="40"/>
    </row>
    <row r="985" spans="18:18" ht="15.75" customHeight="1" x14ac:dyDescent="0.2">
      <c r="R985" s="40"/>
    </row>
    <row r="986" spans="18:18" ht="15.75" customHeight="1" x14ac:dyDescent="0.2">
      <c r="R986" s="40"/>
    </row>
    <row r="987" spans="18:18" ht="15.75" customHeight="1" x14ac:dyDescent="0.2">
      <c r="R987" s="40"/>
    </row>
    <row r="988" spans="18:18" ht="15.75" customHeight="1" x14ac:dyDescent="0.2">
      <c r="R988" s="40"/>
    </row>
    <row r="989" spans="18:18" ht="15.75" customHeight="1" x14ac:dyDescent="0.2">
      <c r="R989" s="40"/>
    </row>
    <row r="990" spans="18:18" ht="15.75" customHeight="1" x14ac:dyDescent="0.2">
      <c r="R990" s="40"/>
    </row>
    <row r="991" spans="18:18" ht="15.75" customHeight="1" x14ac:dyDescent="0.2">
      <c r="R991" s="40"/>
    </row>
    <row r="992" spans="18:18" ht="15.75" customHeight="1" x14ac:dyDescent="0.2">
      <c r="R992" s="40"/>
    </row>
    <row r="993" spans="18:18" ht="15.75" customHeight="1" x14ac:dyDescent="0.2">
      <c r="R993" s="40"/>
    </row>
    <row r="994" spans="18:18" ht="15.75" customHeight="1" x14ac:dyDescent="0.2">
      <c r="R994" s="40"/>
    </row>
    <row r="995" spans="18:18" ht="15.75" customHeight="1" x14ac:dyDescent="0.2">
      <c r="R995" s="40"/>
    </row>
    <row r="996" spans="18:18" ht="15.75" customHeight="1" x14ac:dyDescent="0.2">
      <c r="R996" s="40"/>
    </row>
    <row r="997" spans="18:18" ht="15.75" customHeight="1" x14ac:dyDescent="0.2">
      <c r="R997" s="40"/>
    </row>
    <row r="998" spans="18:18" ht="15.75" customHeight="1" x14ac:dyDescent="0.2">
      <c r="R998" s="40"/>
    </row>
    <row r="999" spans="18:18" ht="15.75" customHeight="1" x14ac:dyDescent="0.2">
      <c r="R999" s="40"/>
    </row>
    <row r="1000" spans="18:18" ht="15.75" customHeight="1" x14ac:dyDescent="0.2">
      <c r="R1000" s="40"/>
    </row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PL-IL-BTL16A-12</vt:lpstr>
      <vt:lpstr>PL-IL-BTL16C-12-A</vt:lpstr>
      <vt:lpstr>PL-IL-BTL32A-6PK</vt:lpstr>
      <vt:lpstr>PL-IL-BTL32C-6PK</vt:lpstr>
      <vt:lpstr>PL-IL-SQBTL8C-12PK</vt:lpstr>
      <vt:lpstr>PL-IL-GRO64A-2PK</vt:lpstr>
      <vt:lpstr>PL-IL-GRO64A-3PK</vt:lpstr>
      <vt:lpstr>PL-IL-CM30X48LW-A-RL</vt:lpstr>
      <vt:lpstr>PL-IL-CM30X48RW-2PK-FN-RL</vt:lpstr>
      <vt:lpstr>PL-IL-CM30X48RW-RL</vt:lpstr>
      <vt:lpstr>PL-IL-CM36X48LW-A-RL</vt:lpstr>
      <vt:lpstr>PL-IL-CM36X48RW-2PK-FN-RL</vt:lpstr>
      <vt:lpstr>PL-IL-CM36X48RW-RL</vt:lpstr>
      <vt:lpstr>PL-IL-CM59X47RW</vt:lpstr>
      <vt:lpstr>PL-IL-DM17X28PU-EGBK</vt:lpstr>
      <vt:lpstr>PL-IL-DM17X28PU-GRBH</vt:lpstr>
      <vt:lpstr>PL-IL-DM17X36FELT-BK</vt:lpstr>
      <vt:lpstr>PL-IL-DM17X36NFELT-GRY</vt:lpstr>
      <vt:lpstr>PL-IL-DM17X36PU-BHMV</vt:lpstr>
      <vt:lpstr>PL-IL-DM17X36PU-EGCK</vt:lpstr>
      <vt:lpstr>PL-IL-DM17X36PU-GRBK</vt:lpstr>
      <vt:lpstr>PL-IL-DM17X36PU-GRLB</vt:lpstr>
      <vt:lpstr>PL-IL-DM17X36PU-MVBK</vt:lpstr>
      <vt:lpstr>PL-IL-DM17X36PU-TNBL</vt:lpstr>
      <vt:lpstr>PL-IL-DM17X36RW</vt:lpstr>
      <vt:lpstr>PL-IL-DM23X47PU-BHMV</vt:lpstr>
      <vt:lpstr>PL-IL-DM23X47PUC-EGCK</vt:lpstr>
      <vt:lpstr>PL-IL-DM23X47PUC-BKCK</vt:lpstr>
      <vt:lpstr>PL-IL-DM23X47PU-EGBK</vt:lpstr>
      <vt:lpstr>PL-IL-DM23X47PU-GRBH</vt:lpstr>
      <vt:lpstr>PL-IL-DM23X47PU-GRBK</vt:lpstr>
      <vt:lpstr>PL-IL-DM23X47PU-GRLB</vt:lpstr>
      <vt:lpstr>PL-IL-DM23X47PU-MVBK</vt:lpstr>
      <vt:lpstr>PL-IL-DM23X47RW-FN-RL</vt:lpstr>
      <vt:lpstr>PL-IL-MC2S-30</vt:lpstr>
      <vt:lpstr>PL-IL-SER2P3B</vt:lpstr>
      <vt:lpstr>PL-IL-MRH-BK-4PK</vt:lpstr>
      <vt:lpstr>PL-IL-MRH-BK-6PK</vt:lpstr>
      <vt:lpstr>PL-IL-MRH-BK-8PK</vt:lpstr>
      <vt:lpstr>PL-IL-ARH-BK-6PK</vt:lpstr>
      <vt:lpstr>PL-IL-ARH-CL-6PK</vt:lpstr>
      <vt:lpstr>PL-IL-ARH-CL-8PK</vt:lpstr>
      <vt:lpstr>PL-IL-MS15X11X4-VTD-2PK</vt:lpstr>
      <vt:lpstr>PL-IL-MS15X9X5-MADJ-2PK</vt:lpstr>
      <vt:lpstr>PL-IL-MS15X9X5-MADJ-2PK-SL</vt:lpstr>
      <vt:lpstr>PL-IL-MS16X9.5X3.5-GL-2PK</vt:lpstr>
      <vt:lpstr>PL-IL-MS16X9.5X3.5-GLBK-2PK</vt:lpstr>
      <vt:lpstr>PL-IL-CPUC-BL</vt:lpstr>
      <vt:lpstr>PL-IL-CPUU-360-BL</vt:lpstr>
      <vt:lpstr>PL-IL-CPUU-STA-SIL</vt:lpstr>
      <vt:lpstr>PL-IL-GALV-FP-13x6-3PK</vt:lpstr>
      <vt:lpstr>PL-IL-GALV-FP-9x5-3PK</vt:lpstr>
      <vt:lpstr>PL-IL-GALV-SER-2T</vt:lpstr>
      <vt:lpstr>PL-IL-GALV-SER-3T</vt:lpstr>
      <vt:lpstr>PL-IL-GALV-SERCU-2T</vt:lpstr>
      <vt:lpstr>PL-IL-GALV-SERCU-3T</vt:lpstr>
      <vt:lpstr>PL-IL-GALV-SERFL-2T</vt:lpstr>
      <vt:lpstr>PL-IL-GALV-SERFL-3T</vt:lpstr>
      <vt:lpstr>PL-IL-GALV-TB25x15x13</vt:lpstr>
      <vt:lpstr>PL-IL-GALV-TB5X6</vt:lpstr>
      <vt:lpstr>PL-IL-GALV-TB5X6-2PK</vt:lpstr>
      <vt:lpstr>PL-IL-GALV-WMP-10x6-2PK</vt:lpstr>
      <vt:lpstr>PL-IL-FRUIT-SER-2T</vt:lpstr>
      <vt:lpstr>PL-IL-FRUIT-SER-3T</vt:lpstr>
      <vt:lpstr>PL-IL-WD15X25PK1-SSP-FN</vt:lpstr>
      <vt:lpstr>PL-IL-WD15X25PK1-SSP-NSD-FN</vt:lpstr>
      <vt:lpstr>PL-IL-WD15X25-SSP</vt:lpstr>
      <vt:lpstr>PL-IL-2GAL-SSP</vt:lpstr>
      <vt:lpstr>PL-IL-1GALI-SSP-NSD</vt:lpstr>
      <vt:lpstr>PL-IL-2GAL-SSP-NSD</vt:lpstr>
      <vt:lpstr>PL-IL-2GAL-SSP-BSTD</vt:lpstr>
      <vt:lpstr>PL-IL-2GAL2PK-SSP</vt:lpstr>
      <vt:lpstr>PL-IL-DM17X36PU-BKCK</vt:lpstr>
      <vt:lpstr>PL-IL-DM23X47PU-TNBL</vt:lpstr>
      <vt:lpstr>PL-IL-GALV-3FPTRY</vt:lpstr>
      <vt:lpstr>PL-IL-GALV-WMP-16x8-2PK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2021-07-19T15:33:01Z</dcterms:modified>
</cp:coreProperties>
</file>